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860"/>
  </bookViews>
  <sheets>
    <sheet name="AP-CHK-RPT-20190201" sheetId="1" r:id="rId1"/>
  </sheets>
  <calcPr calcId="145621"/>
</workbook>
</file>

<file path=xl/calcChain.xml><?xml version="1.0" encoding="utf-8"?>
<calcChain xmlns="http://schemas.openxmlformats.org/spreadsheetml/2006/main">
  <c r="C3202" i="1" l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G249" i="1"/>
  <c r="H249" i="1"/>
  <c r="I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G258" i="1"/>
  <c r="H258" i="1"/>
  <c r="I258" i="1"/>
  <c r="G259" i="1"/>
  <c r="H259" i="1"/>
  <c r="I259" i="1"/>
  <c r="G260" i="1"/>
  <c r="H260" i="1"/>
  <c r="I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G313" i="1"/>
  <c r="H313" i="1"/>
  <c r="I313" i="1"/>
  <c r="E314" i="1"/>
  <c r="F314" i="1"/>
  <c r="H314" i="1"/>
  <c r="G315" i="1"/>
  <c r="H315" i="1"/>
  <c r="I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G353" i="1"/>
  <c r="H353" i="1"/>
  <c r="I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E449" i="1"/>
  <c r="F449" i="1"/>
  <c r="E450" i="1"/>
  <c r="F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G569" i="1"/>
  <c r="H569" i="1"/>
  <c r="I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G587" i="1"/>
  <c r="H587" i="1"/>
  <c r="I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G725" i="1"/>
  <c r="H725" i="1"/>
  <c r="I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G741" i="1"/>
  <c r="H741" i="1"/>
  <c r="I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G794" i="1"/>
  <c r="H794" i="1"/>
  <c r="I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G809" i="1"/>
  <c r="H809" i="1"/>
  <c r="I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G884" i="1"/>
  <c r="H884" i="1"/>
  <c r="I884" i="1"/>
  <c r="G885" i="1"/>
  <c r="H885" i="1"/>
  <c r="I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G895" i="1"/>
  <c r="H895" i="1"/>
  <c r="I895" i="1"/>
  <c r="G896" i="1"/>
  <c r="H896" i="1"/>
  <c r="I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G903" i="1"/>
  <c r="H903" i="1"/>
  <c r="I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G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G1022" i="1"/>
  <c r="H1022" i="1"/>
  <c r="I1022" i="1"/>
  <c r="E1023" i="1"/>
  <c r="F1023" i="1"/>
  <c r="H1023" i="1"/>
  <c r="G1024" i="1"/>
  <c r="H1024" i="1"/>
  <c r="I1024" i="1"/>
  <c r="E1025" i="1"/>
  <c r="F1025" i="1"/>
  <c r="H1025" i="1"/>
  <c r="E1026" i="1"/>
  <c r="F1026" i="1"/>
  <c r="H1026" i="1"/>
  <c r="G1027" i="1"/>
  <c r="H1027" i="1"/>
  <c r="I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G1176" i="1"/>
  <c r="H1176" i="1"/>
  <c r="I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E1354" i="1"/>
  <c r="F1354" i="1"/>
  <c r="G1355" i="1"/>
  <c r="H1355" i="1"/>
  <c r="I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G1504" i="1"/>
  <c r="H1504" i="1"/>
  <c r="I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G1651" i="1"/>
  <c r="H1651" i="1"/>
  <c r="I1651" i="1"/>
  <c r="G1652" i="1"/>
  <c r="H1652" i="1"/>
  <c r="I1652" i="1"/>
  <c r="G1653" i="1"/>
  <c r="H1653" i="1"/>
  <c r="I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G1740" i="1"/>
  <c r="H1740" i="1"/>
  <c r="I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E1785" i="1"/>
  <c r="F1785" i="1"/>
  <c r="E1786" i="1"/>
  <c r="F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E1885" i="1"/>
  <c r="F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  <c r="E2908" i="1"/>
  <c r="F2908" i="1"/>
  <c r="H2908" i="1"/>
  <c r="E2909" i="1"/>
  <c r="F2909" i="1"/>
  <c r="H2909" i="1"/>
  <c r="E2910" i="1"/>
  <c r="F2910" i="1"/>
  <c r="H2910" i="1"/>
  <c r="E2911" i="1"/>
  <c r="F2911" i="1"/>
  <c r="H2911" i="1"/>
  <c r="E2912" i="1"/>
  <c r="F2912" i="1"/>
  <c r="H2912" i="1"/>
  <c r="E2913" i="1"/>
  <c r="F2913" i="1"/>
  <c r="H2913" i="1"/>
  <c r="E2914" i="1"/>
  <c r="F2914" i="1"/>
  <c r="H2914" i="1"/>
  <c r="E2915" i="1"/>
  <c r="F2915" i="1"/>
  <c r="H2915" i="1"/>
  <c r="E2916" i="1"/>
  <c r="F2916" i="1"/>
  <c r="H2916" i="1"/>
  <c r="E2917" i="1"/>
  <c r="F2917" i="1"/>
  <c r="H2917" i="1"/>
  <c r="E2918" i="1"/>
  <c r="F2918" i="1"/>
  <c r="H2918" i="1"/>
  <c r="E2919" i="1"/>
  <c r="F2919" i="1"/>
  <c r="H2919" i="1"/>
  <c r="E2920" i="1"/>
  <c r="F2920" i="1"/>
  <c r="H2920" i="1"/>
  <c r="E2921" i="1"/>
  <c r="F2921" i="1"/>
  <c r="H2921" i="1"/>
  <c r="E2922" i="1"/>
  <c r="F2922" i="1"/>
  <c r="H2922" i="1"/>
  <c r="E2923" i="1"/>
  <c r="F2923" i="1"/>
  <c r="H2923" i="1"/>
  <c r="E2924" i="1"/>
  <c r="F2924" i="1"/>
  <c r="H2924" i="1"/>
  <c r="E2925" i="1"/>
  <c r="F2925" i="1"/>
  <c r="H2925" i="1"/>
  <c r="E2926" i="1"/>
  <c r="F2926" i="1"/>
  <c r="H2926" i="1"/>
  <c r="E2927" i="1"/>
  <c r="F2927" i="1"/>
  <c r="H2927" i="1"/>
  <c r="E2928" i="1"/>
  <c r="F2928" i="1"/>
  <c r="H2928" i="1"/>
  <c r="E2929" i="1"/>
  <c r="F2929" i="1"/>
  <c r="H2929" i="1"/>
  <c r="E2930" i="1"/>
  <c r="F2930" i="1"/>
  <c r="H2930" i="1"/>
  <c r="E2931" i="1"/>
  <c r="F2931" i="1"/>
  <c r="H2931" i="1"/>
  <c r="E2932" i="1"/>
  <c r="F2932" i="1"/>
  <c r="H2932" i="1"/>
  <c r="E2933" i="1"/>
  <c r="F2933" i="1"/>
  <c r="H2933" i="1"/>
  <c r="E2934" i="1"/>
  <c r="F2934" i="1"/>
  <c r="H2934" i="1"/>
  <c r="E2935" i="1"/>
  <c r="F2935" i="1"/>
  <c r="H2935" i="1"/>
  <c r="E2936" i="1"/>
  <c r="F2936" i="1"/>
  <c r="H2936" i="1"/>
  <c r="E2937" i="1"/>
  <c r="F2937" i="1"/>
  <c r="H2937" i="1"/>
  <c r="E2938" i="1"/>
  <c r="F2938" i="1"/>
  <c r="H2938" i="1"/>
  <c r="E2939" i="1"/>
  <c r="F2939" i="1"/>
  <c r="H2939" i="1"/>
  <c r="E2940" i="1"/>
  <c r="F2940" i="1"/>
  <c r="H2940" i="1"/>
  <c r="E2941" i="1"/>
  <c r="F2941" i="1"/>
  <c r="H2941" i="1"/>
  <c r="E2942" i="1"/>
  <c r="F2942" i="1"/>
  <c r="H2942" i="1"/>
  <c r="E2943" i="1"/>
  <c r="F2943" i="1"/>
  <c r="H2943" i="1"/>
  <c r="E2944" i="1"/>
  <c r="F2944" i="1"/>
  <c r="H2944" i="1"/>
  <c r="E2945" i="1"/>
  <c r="F2945" i="1"/>
  <c r="H2945" i="1"/>
  <c r="E2946" i="1"/>
  <c r="F2946" i="1"/>
  <c r="H2946" i="1"/>
  <c r="E2947" i="1"/>
  <c r="F2947" i="1"/>
  <c r="H2947" i="1"/>
  <c r="E2948" i="1"/>
  <c r="F2948" i="1"/>
  <c r="H2948" i="1"/>
  <c r="E2949" i="1"/>
  <c r="F2949" i="1"/>
  <c r="H2949" i="1"/>
  <c r="E2950" i="1"/>
  <c r="F2950" i="1"/>
  <c r="H2950" i="1"/>
  <c r="E2951" i="1"/>
  <c r="F2951" i="1"/>
  <c r="H2951" i="1"/>
  <c r="E2952" i="1"/>
  <c r="F2952" i="1"/>
  <c r="H2952" i="1"/>
  <c r="E2953" i="1"/>
  <c r="F2953" i="1"/>
  <c r="H2953" i="1"/>
  <c r="E2954" i="1"/>
  <c r="F2954" i="1"/>
  <c r="H2954" i="1"/>
  <c r="E2955" i="1"/>
  <c r="F2955" i="1"/>
  <c r="H2955" i="1"/>
  <c r="E2956" i="1"/>
  <c r="F2956" i="1"/>
  <c r="H2956" i="1"/>
  <c r="E2957" i="1"/>
  <c r="F2957" i="1"/>
  <c r="H2957" i="1"/>
  <c r="E2958" i="1"/>
  <c r="F2958" i="1"/>
  <c r="H2958" i="1"/>
  <c r="E2959" i="1"/>
  <c r="F2959" i="1"/>
  <c r="H2959" i="1"/>
  <c r="E2960" i="1"/>
  <c r="F2960" i="1"/>
  <c r="H2960" i="1"/>
  <c r="E2961" i="1"/>
  <c r="F2961" i="1"/>
  <c r="H2961" i="1"/>
  <c r="E2962" i="1"/>
  <c r="F2962" i="1"/>
  <c r="H2962" i="1"/>
  <c r="E2963" i="1"/>
  <c r="F2963" i="1"/>
  <c r="H2963" i="1"/>
  <c r="E2964" i="1"/>
  <c r="F2964" i="1"/>
  <c r="H2964" i="1"/>
  <c r="E2965" i="1"/>
  <c r="F2965" i="1"/>
  <c r="H2965" i="1"/>
  <c r="E2966" i="1"/>
  <c r="F2966" i="1"/>
  <c r="H2966" i="1"/>
  <c r="E2967" i="1"/>
  <c r="F2967" i="1"/>
  <c r="H2967" i="1"/>
  <c r="E2968" i="1"/>
  <c r="F2968" i="1"/>
  <c r="H2968" i="1"/>
  <c r="E2969" i="1"/>
  <c r="F2969" i="1"/>
  <c r="H2969" i="1"/>
  <c r="E2970" i="1"/>
  <c r="F2970" i="1"/>
  <c r="H2970" i="1"/>
  <c r="E2971" i="1"/>
  <c r="F2971" i="1"/>
  <c r="H2971" i="1"/>
  <c r="E2972" i="1"/>
  <c r="F2972" i="1"/>
  <c r="H2972" i="1"/>
  <c r="E2973" i="1"/>
  <c r="F2973" i="1"/>
  <c r="H2973" i="1"/>
  <c r="E2974" i="1"/>
  <c r="F2974" i="1"/>
  <c r="H2974" i="1"/>
  <c r="E2975" i="1"/>
  <c r="F2975" i="1"/>
  <c r="H2975" i="1"/>
  <c r="E2976" i="1"/>
  <c r="F2976" i="1"/>
  <c r="H2976" i="1"/>
  <c r="E2977" i="1"/>
  <c r="F2977" i="1"/>
  <c r="H2977" i="1"/>
  <c r="E2978" i="1"/>
  <c r="F2978" i="1"/>
  <c r="H2978" i="1"/>
  <c r="E2979" i="1"/>
  <c r="F2979" i="1"/>
  <c r="H2979" i="1"/>
  <c r="E2980" i="1"/>
  <c r="F2980" i="1"/>
  <c r="H2980" i="1"/>
  <c r="E2981" i="1"/>
  <c r="F2981" i="1"/>
  <c r="H2981" i="1"/>
  <c r="E2982" i="1"/>
  <c r="F2982" i="1"/>
  <c r="H2982" i="1"/>
  <c r="E2983" i="1"/>
  <c r="F2983" i="1"/>
  <c r="H2983" i="1"/>
  <c r="E2984" i="1"/>
  <c r="F2984" i="1"/>
  <c r="H2984" i="1"/>
  <c r="E2985" i="1"/>
  <c r="F2985" i="1"/>
  <c r="H2985" i="1"/>
  <c r="E2986" i="1"/>
  <c r="F2986" i="1"/>
  <c r="H2986" i="1"/>
  <c r="E2987" i="1"/>
  <c r="F2987" i="1"/>
  <c r="H2987" i="1"/>
  <c r="E2988" i="1"/>
  <c r="F2988" i="1"/>
  <c r="H2988" i="1"/>
  <c r="E2989" i="1"/>
  <c r="F2989" i="1"/>
  <c r="H2989" i="1"/>
  <c r="E2990" i="1"/>
  <c r="F2990" i="1"/>
  <c r="H2990" i="1"/>
  <c r="E2991" i="1"/>
  <c r="F2991" i="1"/>
  <c r="H2991" i="1"/>
  <c r="E2992" i="1"/>
  <c r="F2992" i="1"/>
  <c r="H2992" i="1"/>
  <c r="E2993" i="1"/>
  <c r="F2993" i="1"/>
  <c r="H2993" i="1"/>
  <c r="E2994" i="1"/>
  <c r="F2994" i="1"/>
  <c r="H2994" i="1"/>
  <c r="E2995" i="1"/>
  <c r="F2995" i="1"/>
  <c r="H2995" i="1"/>
  <c r="E2996" i="1"/>
  <c r="F2996" i="1"/>
  <c r="H2996" i="1"/>
  <c r="E2997" i="1"/>
  <c r="F2997" i="1"/>
  <c r="H2997" i="1"/>
  <c r="E2998" i="1"/>
  <c r="F2998" i="1"/>
  <c r="H2998" i="1"/>
  <c r="E2999" i="1"/>
  <c r="F2999" i="1"/>
  <c r="H2999" i="1"/>
  <c r="E3000" i="1"/>
  <c r="F3000" i="1"/>
  <c r="H3000" i="1"/>
  <c r="E3001" i="1"/>
  <c r="F3001" i="1"/>
  <c r="H3001" i="1"/>
  <c r="E3002" i="1"/>
  <c r="F3002" i="1"/>
  <c r="H3002" i="1"/>
  <c r="E3003" i="1"/>
  <c r="F3003" i="1"/>
  <c r="H3003" i="1"/>
  <c r="E3004" i="1"/>
  <c r="F3004" i="1"/>
  <c r="H3004" i="1"/>
  <c r="E3005" i="1"/>
  <c r="F3005" i="1"/>
  <c r="H3005" i="1"/>
  <c r="E3006" i="1"/>
  <c r="F3006" i="1"/>
  <c r="H3006" i="1"/>
  <c r="E3007" i="1"/>
  <c r="F3007" i="1"/>
  <c r="H3007" i="1"/>
  <c r="E3008" i="1"/>
  <c r="F3008" i="1"/>
  <c r="H3008" i="1"/>
  <c r="E3009" i="1"/>
  <c r="F3009" i="1"/>
  <c r="H3009" i="1"/>
  <c r="E3010" i="1"/>
  <c r="F3010" i="1"/>
  <c r="H3010" i="1"/>
  <c r="E3011" i="1"/>
  <c r="F3011" i="1"/>
  <c r="H3011" i="1"/>
  <c r="E3012" i="1"/>
  <c r="F3012" i="1"/>
  <c r="H3012" i="1"/>
  <c r="E3013" i="1"/>
  <c r="F3013" i="1"/>
  <c r="H3013" i="1"/>
  <c r="E3014" i="1"/>
  <c r="F3014" i="1"/>
  <c r="H3014" i="1"/>
  <c r="E3015" i="1"/>
  <c r="F3015" i="1"/>
  <c r="H3015" i="1"/>
  <c r="E3016" i="1"/>
  <c r="F3016" i="1"/>
  <c r="H3016" i="1"/>
  <c r="E3017" i="1"/>
  <c r="F3017" i="1"/>
  <c r="H3017" i="1"/>
  <c r="E3018" i="1"/>
  <c r="F3018" i="1"/>
  <c r="H3018" i="1"/>
  <c r="E3019" i="1"/>
  <c r="F3019" i="1"/>
  <c r="H3019" i="1"/>
  <c r="E3020" i="1"/>
  <c r="F3020" i="1"/>
  <c r="H3020" i="1"/>
  <c r="E3021" i="1"/>
  <c r="F3021" i="1"/>
  <c r="H3021" i="1"/>
  <c r="E3022" i="1"/>
  <c r="F3022" i="1"/>
  <c r="H3022" i="1"/>
  <c r="E3023" i="1"/>
  <c r="F3023" i="1"/>
  <c r="H3023" i="1"/>
  <c r="E3024" i="1"/>
  <c r="F3024" i="1"/>
  <c r="H3024" i="1"/>
  <c r="E3025" i="1"/>
  <c r="F3025" i="1"/>
  <c r="H3025" i="1"/>
  <c r="E3026" i="1"/>
  <c r="F3026" i="1"/>
  <c r="H3026" i="1"/>
  <c r="E3027" i="1"/>
  <c r="F3027" i="1"/>
  <c r="H3027" i="1"/>
  <c r="E3028" i="1"/>
  <c r="F3028" i="1"/>
  <c r="H3028" i="1"/>
  <c r="E3029" i="1"/>
  <c r="F3029" i="1"/>
  <c r="H3029" i="1"/>
  <c r="E3030" i="1"/>
  <c r="F3030" i="1"/>
  <c r="H3030" i="1"/>
  <c r="E3031" i="1"/>
  <c r="F3031" i="1"/>
  <c r="H3031" i="1"/>
  <c r="E3032" i="1"/>
  <c r="F3032" i="1"/>
  <c r="H3032" i="1"/>
  <c r="E3033" i="1"/>
  <c r="F3033" i="1"/>
  <c r="H3033" i="1"/>
  <c r="E3034" i="1"/>
  <c r="F3034" i="1"/>
  <c r="H3034" i="1"/>
  <c r="E3035" i="1"/>
  <c r="F3035" i="1"/>
  <c r="H3035" i="1"/>
  <c r="E3036" i="1"/>
  <c r="F3036" i="1"/>
  <c r="H3036" i="1"/>
  <c r="E3037" i="1"/>
  <c r="F3037" i="1"/>
  <c r="H3037" i="1"/>
  <c r="E3038" i="1"/>
  <c r="F3038" i="1"/>
  <c r="H3038" i="1"/>
  <c r="E3039" i="1"/>
  <c r="F3039" i="1"/>
  <c r="H3039" i="1"/>
  <c r="E3040" i="1"/>
  <c r="F3040" i="1"/>
  <c r="H3040" i="1"/>
  <c r="E3041" i="1"/>
  <c r="F3041" i="1"/>
  <c r="H3041" i="1"/>
  <c r="E3042" i="1"/>
  <c r="F3042" i="1"/>
  <c r="H3042" i="1"/>
  <c r="E3043" i="1"/>
  <c r="F3043" i="1"/>
  <c r="H3043" i="1"/>
  <c r="E3044" i="1"/>
  <c r="F3044" i="1"/>
  <c r="H3044" i="1"/>
  <c r="E3045" i="1"/>
  <c r="F3045" i="1"/>
  <c r="H3045" i="1"/>
  <c r="E3046" i="1"/>
  <c r="F3046" i="1"/>
  <c r="H3046" i="1"/>
  <c r="E3047" i="1"/>
  <c r="F3047" i="1"/>
  <c r="H3047" i="1"/>
  <c r="E3048" i="1"/>
  <c r="F3048" i="1"/>
  <c r="H3048" i="1"/>
  <c r="E3049" i="1"/>
  <c r="F3049" i="1"/>
  <c r="H3049" i="1"/>
  <c r="E3050" i="1"/>
  <c r="F3050" i="1"/>
  <c r="H3050" i="1"/>
  <c r="E3051" i="1"/>
  <c r="F3051" i="1"/>
  <c r="H3051" i="1"/>
  <c r="E3052" i="1"/>
  <c r="F3052" i="1"/>
  <c r="H3052" i="1"/>
  <c r="E3053" i="1"/>
  <c r="F3053" i="1"/>
  <c r="H3053" i="1"/>
  <c r="E3054" i="1"/>
  <c r="F3054" i="1"/>
  <c r="H3054" i="1"/>
  <c r="E3055" i="1"/>
  <c r="F3055" i="1"/>
  <c r="H3055" i="1"/>
  <c r="E3056" i="1"/>
  <c r="F3056" i="1"/>
  <c r="H3056" i="1"/>
  <c r="E3057" i="1"/>
  <c r="F3057" i="1"/>
  <c r="H3057" i="1"/>
  <c r="E3058" i="1"/>
  <c r="F3058" i="1"/>
  <c r="H3058" i="1"/>
  <c r="E3059" i="1"/>
  <c r="F3059" i="1"/>
  <c r="H3059" i="1"/>
  <c r="E3060" i="1"/>
  <c r="F3060" i="1"/>
  <c r="H3060" i="1"/>
  <c r="E3061" i="1"/>
  <c r="F3061" i="1"/>
  <c r="H3061" i="1"/>
  <c r="E3062" i="1"/>
  <c r="F3062" i="1"/>
  <c r="H3062" i="1"/>
  <c r="E3063" i="1"/>
  <c r="F3063" i="1"/>
  <c r="H3063" i="1"/>
  <c r="E3064" i="1"/>
  <c r="F3064" i="1"/>
  <c r="H3064" i="1"/>
  <c r="E3065" i="1"/>
  <c r="F3065" i="1"/>
  <c r="H3065" i="1"/>
  <c r="E3066" i="1"/>
  <c r="F3066" i="1"/>
  <c r="H3066" i="1"/>
  <c r="E3067" i="1"/>
  <c r="F3067" i="1"/>
  <c r="H3067" i="1"/>
  <c r="E3068" i="1"/>
  <c r="F3068" i="1"/>
  <c r="H3068" i="1"/>
  <c r="E3069" i="1"/>
  <c r="F3069" i="1"/>
  <c r="H3069" i="1"/>
  <c r="E3070" i="1"/>
  <c r="F3070" i="1"/>
  <c r="H3070" i="1"/>
  <c r="E3071" i="1"/>
  <c r="F3071" i="1"/>
  <c r="H3071" i="1"/>
  <c r="E3072" i="1"/>
  <c r="F3072" i="1"/>
  <c r="H3072" i="1"/>
  <c r="E3073" i="1"/>
  <c r="F3073" i="1"/>
  <c r="H3073" i="1"/>
  <c r="E3074" i="1"/>
  <c r="F3074" i="1"/>
  <c r="H3074" i="1"/>
  <c r="E3075" i="1"/>
  <c r="F3075" i="1"/>
  <c r="H3075" i="1"/>
  <c r="E3076" i="1"/>
  <c r="F3076" i="1"/>
  <c r="H3076" i="1"/>
  <c r="E3077" i="1"/>
  <c r="F3077" i="1"/>
  <c r="H3077" i="1"/>
  <c r="E3078" i="1"/>
  <c r="F3078" i="1"/>
  <c r="H3078" i="1"/>
  <c r="E3079" i="1"/>
  <c r="F3079" i="1"/>
  <c r="H3079" i="1"/>
  <c r="E3080" i="1"/>
  <c r="F3080" i="1"/>
  <c r="H3080" i="1"/>
  <c r="E3081" i="1"/>
  <c r="F3081" i="1"/>
  <c r="H3081" i="1"/>
  <c r="E3082" i="1"/>
  <c r="F3082" i="1"/>
  <c r="H3082" i="1"/>
  <c r="E3083" i="1"/>
  <c r="F3083" i="1"/>
  <c r="H3083" i="1"/>
  <c r="E3084" i="1"/>
  <c r="F3084" i="1"/>
  <c r="H3084" i="1"/>
  <c r="E3085" i="1"/>
  <c r="F3085" i="1"/>
  <c r="H3085" i="1"/>
  <c r="E3086" i="1"/>
  <c r="F3086" i="1"/>
  <c r="H3086" i="1"/>
  <c r="E3087" i="1"/>
  <c r="F3087" i="1"/>
  <c r="H3087" i="1"/>
  <c r="E3088" i="1"/>
  <c r="F3088" i="1"/>
  <c r="H3088" i="1"/>
  <c r="E3089" i="1"/>
  <c r="F3089" i="1"/>
  <c r="H3089" i="1"/>
  <c r="E3090" i="1"/>
  <c r="F3090" i="1"/>
  <c r="H3090" i="1"/>
  <c r="E3091" i="1"/>
  <c r="F3091" i="1"/>
  <c r="H3091" i="1"/>
  <c r="E3092" i="1"/>
  <c r="F3092" i="1"/>
  <c r="H3092" i="1"/>
  <c r="E3093" i="1"/>
  <c r="F3093" i="1"/>
  <c r="H3093" i="1"/>
  <c r="E3094" i="1"/>
  <c r="F3094" i="1"/>
  <c r="H3094" i="1"/>
  <c r="E3095" i="1"/>
  <c r="F3095" i="1"/>
  <c r="H3095" i="1"/>
  <c r="E3096" i="1"/>
  <c r="F3096" i="1"/>
  <c r="H3096" i="1"/>
  <c r="E3097" i="1"/>
  <c r="F3097" i="1"/>
  <c r="H3097" i="1"/>
  <c r="E3098" i="1"/>
  <c r="F3098" i="1"/>
  <c r="H3098" i="1"/>
  <c r="E3099" i="1"/>
  <c r="F3099" i="1"/>
  <c r="H3099" i="1"/>
  <c r="E3100" i="1"/>
  <c r="F3100" i="1"/>
  <c r="H3100" i="1"/>
  <c r="E3101" i="1"/>
  <c r="F3101" i="1"/>
  <c r="H3101" i="1"/>
  <c r="E3102" i="1"/>
  <c r="F3102" i="1"/>
  <c r="H3102" i="1"/>
  <c r="E3103" i="1"/>
  <c r="F3103" i="1"/>
  <c r="H3103" i="1"/>
  <c r="E3104" i="1"/>
  <c r="F3104" i="1"/>
  <c r="H3104" i="1"/>
  <c r="E3105" i="1"/>
  <c r="F3105" i="1"/>
  <c r="H3105" i="1"/>
  <c r="E3106" i="1"/>
  <c r="F3106" i="1"/>
  <c r="H3106" i="1"/>
  <c r="E3107" i="1"/>
  <c r="F3107" i="1"/>
  <c r="H3107" i="1"/>
  <c r="E3108" i="1"/>
  <c r="F3108" i="1"/>
  <c r="H3108" i="1"/>
  <c r="E3109" i="1"/>
  <c r="F3109" i="1"/>
  <c r="H3109" i="1"/>
  <c r="E3110" i="1"/>
  <c r="F3110" i="1"/>
  <c r="H3110" i="1"/>
  <c r="E3111" i="1"/>
  <c r="F3111" i="1"/>
  <c r="H3111" i="1"/>
  <c r="E3112" i="1"/>
  <c r="F3112" i="1"/>
  <c r="H3112" i="1"/>
  <c r="E3113" i="1"/>
  <c r="F3113" i="1"/>
  <c r="H3113" i="1"/>
  <c r="E3114" i="1"/>
  <c r="F3114" i="1"/>
  <c r="H3114" i="1"/>
  <c r="E3115" i="1"/>
  <c r="F3115" i="1"/>
  <c r="H3115" i="1"/>
  <c r="E3116" i="1"/>
  <c r="F3116" i="1"/>
  <c r="H3116" i="1"/>
  <c r="E3117" i="1"/>
  <c r="F3117" i="1"/>
  <c r="H3117" i="1"/>
  <c r="E3118" i="1"/>
  <c r="F3118" i="1"/>
  <c r="H3118" i="1"/>
  <c r="E3119" i="1"/>
  <c r="F3119" i="1"/>
  <c r="H3119" i="1"/>
  <c r="E3120" i="1"/>
  <c r="F3120" i="1"/>
  <c r="H3120" i="1"/>
  <c r="E3121" i="1"/>
  <c r="F3121" i="1"/>
  <c r="H3121" i="1"/>
  <c r="E3122" i="1"/>
  <c r="F3122" i="1"/>
  <c r="H3122" i="1"/>
  <c r="E3123" i="1"/>
  <c r="F3123" i="1"/>
  <c r="H3123" i="1"/>
  <c r="E3124" i="1"/>
  <c r="F3124" i="1"/>
  <c r="H3124" i="1"/>
  <c r="E3125" i="1"/>
  <c r="F3125" i="1"/>
  <c r="H3125" i="1"/>
  <c r="E3126" i="1"/>
  <c r="F3126" i="1"/>
  <c r="H3126" i="1"/>
  <c r="E3127" i="1"/>
  <c r="F3127" i="1"/>
  <c r="H3127" i="1"/>
  <c r="E3128" i="1"/>
  <c r="F3128" i="1"/>
  <c r="H3128" i="1"/>
  <c r="E3129" i="1"/>
  <c r="F3129" i="1"/>
  <c r="H3129" i="1"/>
  <c r="E3130" i="1"/>
  <c r="F3130" i="1"/>
  <c r="H3130" i="1"/>
  <c r="E3131" i="1"/>
  <c r="F3131" i="1"/>
  <c r="H3131" i="1"/>
  <c r="E3132" i="1"/>
  <c r="F3132" i="1"/>
  <c r="H3132" i="1"/>
  <c r="E3133" i="1"/>
  <c r="F3133" i="1"/>
  <c r="H3133" i="1"/>
  <c r="E3134" i="1"/>
  <c r="F3134" i="1"/>
  <c r="H3134" i="1"/>
  <c r="E3135" i="1"/>
  <c r="F3135" i="1"/>
  <c r="H3135" i="1"/>
  <c r="E3136" i="1"/>
  <c r="F3136" i="1"/>
  <c r="H3136" i="1"/>
  <c r="E3137" i="1"/>
  <c r="F3137" i="1"/>
  <c r="H3137" i="1"/>
  <c r="E3138" i="1"/>
  <c r="F3138" i="1"/>
  <c r="H3138" i="1"/>
  <c r="E3139" i="1"/>
  <c r="F3139" i="1"/>
  <c r="H3139" i="1"/>
  <c r="E3140" i="1"/>
  <c r="F3140" i="1"/>
  <c r="H3140" i="1"/>
  <c r="E3141" i="1"/>
  <c r="F3141" i="1"/>
  <c r="H3141" i="1"/>
  <c r="E3142" i="1"/>
  <c r="F3142" i="1"/>
  <c r="H3142" i="1"/>
  <c r="E3143" i="1"/>
  <c r="F3143" i="1"/>
  <c r="H3143" i="1"/>
  <c r="E3144" i="1"/>
  <c r="F3144" i="1"/>
  <c r="H3144" i="1"/>
  <c r="E3145" i="1"/>
  <c r="F3145" i="1"/>
  <c r="H3145" i="1"/>
  <c r="E3146" i="1"/>
  <c r="F3146" i="1"/>
  <c r="H3146" i="1"/>
  <c r="E3147" i="1"/>
  <c r="F3147" i="1"/>
  <c r="H3147" i="1"/>
  <c r="E3148" i="1"/>
  <c r="F3148" i="1"/>
  <c r="H3148" i="1"/>
  <c r="E3149" i="1"/>
  <c r="F3149" i="1"/>
  <c r="H3149" i="1"/>
  <c r="E3150" i="1"/>
  <c r="F3150" i="1"/>
  <c r="H3150" i="1"/>
  <c r="E3151" i="1"/>
  <c r="F3151" i="1"/>
  <c r="H3151" i="1"/>
  <c r="E3152" i="1"/>
  <c r="F3152" i="1"/>
  <c r="H3152" i="1"/>
  <c r="E3153" i="1"/>
  <c r="F3153" i="1"/>
  <c r="H3153" i="1"/>
  <c r="E3154" i="1"/>
  <c r="F3154" i="1"/>
  <c r="H3154" i="1"/>
  <c r="E3155" i="1"/>
  <c r="F3155" i="1"/>
  <c r="H3155" i="1"/>
  <c r="E3156" i="1"/>
  <c r="F3156" i="1"/>
  <c r="H3156" i="1"/>
  <c r="E3157" i="1"/>
  <c r="F3157" i="1"/>
  <c r="H3157" i="1"/>
  <c r="E3158" i="1"/>
  <c r="F3158" i="1"/>
  <c r="H3158" i="1"/>
  <c r="E3159" i="1"/>
  <c r="F3159" i="1"/>
  <c r="H3159" i="1"/>
  <c r="E3160" i="1"/>
  <c r="F3160" i="1"/>
  <c r="H3160" i="1"/>
  <c r="E3161" i="1"/>
  <c r="F3161" i="1"/>
  <c r="H3161" i="1"/>
  <c r="E3162" i="1"/>
  <c r="F3162" i="1"/>
  <c r="H3162" i="1"/>
  <c r="E3163" i="1"/>
  <c r="F3163" i="1"/>
  <c r="H3163" i="1"/>
  <c r="E3164" i="1"/>
  <c r="F3164" i="1"/>
  <c r="H3164" i="1"/>
  <c r="E3165" i="1"/>
  <c r="F3165" i="1"/>
  <c r="H3165" i="1"/>
  <c r="E3166" i="1"/>
  <c r="F3166" i="1"/>
  <c r="H3166" i="1"/>
  <c r="E3167" i="1"/>
  <c r="F3167" i="1"/>
  <c r="H3167" i="1"/>
  <c r="E3168" i="1"/>
  <c r="F3168" i="1"/>
  <c r="H3168" i="1"/>
  <c r="E3169" i="1"/>
  <c r="F3169" i="1"/>
  <c r="H3169" i="1"/>
  <c r="E3170" i="1"/>
  <c r="F3170" i="1"/>
  <c r="H3170" i="1"/>
  <c r="E3171" i="1"/>
  <c r="F3171" i="1"/>
  <c r="H3171" i="1"/>
  <c r="E3172" i="1"/>
  <c r="F3172" i="1"/>
  <c r="H3172" i="1"/>
  <c r="E3173" i="1"/>
  <c r="F3173" i="1"/>
  <c r="H3173" i="1"/>
  <c r="E3174" i="1"/>
  <c r="F3174" i="1"/>
  <c r="H3174" i="1"/>
  <c r="E3175" i="1"/>
  <c r="F3175" i="1"/>
  <c r="H3175" i="1"/>
  <c r="E3176" i="1"/>
  <c r="F3176" i="1"/>
  <c r="H3176" i="1"/>
  <c r="E3177" i="1"/>
  <c r="F3177" i="1"/>
  <c r="H3177" i="1"/>
  <c r="E3178" i="1"/>
  <c r="F3178" i="1"/>
  <c r="H3178" i="1"/>
  <c r="E3179" i="1"/>
  <c r="F3179" i="1"/>
  <c r="H3179" i="1"/>
  <c r="E3180" i="1"/>
  <c r="F3180" i="1"/>
  <c r="H3180" i="1"/>
  <c r="E3181" i="1"/>
  <c r="F3181" i="1"/>
  <c r="H3181" i="1"/>
  <c r="E3182" i="1"/>
  <c r="F3182" i="1"/>
  <c r="H3182" i="1"/>
  <c r="E3183" i="1"/>
  <c r="F3183" i="1"/>
  <c r="H3183" i="1"/>
  <c r="E3184" i="1"/>
  <c r="F3184" i="1"/>
  <c r="H3184" i="1"/>
  <c r="E3185" i="1"/>
  <c r="F3185" i="1"/>
  <c r="H3185" i="1"/>
  <c r="E3186" i="1"/>
  <c r="F3186" i="1"/>
  <c r="H3186" i="1"/>
  <c r="E3187" i="1"/>
  <c r="F3187" i="1"/>
  <c r="H3187" i="1"/>
  <c r="E3188" i="1"/>
  <c r="F3188" i="1"/>
  <c r="H3188" i="1"/>
  <c r="E3189" i="1"/>
  <c r="F3189" i="1"/>
  <c r="H3189" i="1"/>
  <c r="E3190" i="1"/>
  <c r="F3190" i="1"/>
  <c r="H3190" i="1"/>
  <c r="E3191" i="1"/>
  <c r="F3191" i="1"/>
  <c r="H3191" i="1"/>
  <c r="E3192" i="1"/>
  <c r="F3192" i="1"/>
  <c r="H3192" i="1"/>
  <c r="E3193" i="1"/>
  <c r="F3193" i="1"/>
  <c r="H3193" i="1"/>
  <c r="E3194" i="1"/>
  <c r="F3194" i="1"/>
  <c r="H3194" i="1"/>
  <c r="E3195" i="1"/>
  <c r="F3195" i="1"/>
  <c r="H3195" i="1"/>
  <c r="E3196" i="1"/>
  <c r="F3196" i="1"/>
  <c r="H3196" i="1"/>
  <c r="E3197" i="1"/>
  <c r="F3197" i="1"/>
  <c r="H3197" i="1"/>
  <c r="E3198" i="1"/>
  <c r="F3198" i="1"/>
  <c r="H3198" i="1"/>
  <c r="E3199" i="1"/>
  <c r="F3199" i="1"/>
  <c r="H3199" i="1"/>
  <c r="E3200" i="1"/>
  <c r="F3200" i="1"/>
  <c r="H3200" i="1"/>
  <c r="E3201" i="1"/>
  <c r="F3201" i="1"/>
  <c r="H3201" i="1"/>
  <c r="E3202" i="1"/>
  <c r="F3202" i="1"/>
  <c r="H3202" i="1"/>
</calcChain>
</file>

<file path=xl/sharedStrings.xml><?xml version="1.0" encoding="utf-8"?>
<sst xmlns="http://schemas.openxmlformats.org/spreadsheetml/2006/main" count="793" uniqueCount="612">
  <si>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</si>
  <si>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</si>
  <si>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</si>
  <si>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</si>
  <si>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</si>
  <si>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</si>
  <si>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</si>
  <si>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</si>
  <si>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AIRPLEXUS  INC</t>
  </si>
  <si>
    <t>ALTICE USA INC</t>
  </si>
  <si>
    <t>BASTROP COPIER</t>
  </si>
  <si>
    <t>BASTROP COUNTY TAX ASSESSOR</t>
  </si>
  <si>
    <t>BLUEBONNET PETROLEUM INC</t>
  </si>
  <si>
    <t>CENTURYLINK COMMUNICATIONS  LLC</t>
  </si>
  <si>
    <t>CITIBANK NA</t>
  </si>
  <si>
    <t>DONNA DAMON</t>
  </si>
  <si>
    <t>GEOFFREY HARLAN JOHNSON</t>
  </si>
  <si>
    <t>LaROCHE CHEVROLET CADILLAC INC</t>
  </si>
  <si>
    <t>LEXISNEXIS RISK DATA MANAGEMENT INC</t>
  </si>
  <si>
    <t>LLOYD GOSSELINK ROCHELLE &amp; TOWNSEND PC</t>
  </si>
  <si>
    <t>OFFICE DEPOT  INC</t>
  </si>
  <si>
    <t>ONE SOURCE TOXICOLOGY</t>
  </si>
  <si>
    <t>GE CAPITAL INFORMATION TECCHNOLOGY SOLUTIONS  INC</t>
  </si>
  <si>
    <t>ROBERT M &amp; DAN B ALFORD LLC</t>
  </si>
  <si>
    <t>RUBEN ORTIZ CALDERON</t>
  </si>
  <si>
    <t>SMART SALES  LLC</t>
  </si>
  <si>
    <t>CHARTER COMMUNICATIONS HOLDINGS  LLC</t>
  </si>
  <si>
    <t>STEPHANIE G CASEY</t>
  </si>
  <si>
    <t>TEXAS DEPARTMENT OF LICENSING &amp; REGULATION</t>
  </si>
  <si>
    <t>THOMAS DELGADO</t>
  </si>
  <si>
    <t>TIB-THE INDEPENDENT BANKERSBANK</t>
  </si>
  <si>
    <t>TRACY NORTH</t>
  </si>
  <si>
    <t>UBEO OF EAST TEXAS  INC.</t>
  </si>
  <si>
    <t>WALMART STORES TEXAS  LLC</t>
  </si>
  <si>
    <t>WHAC INC.</t>
  </si>
  <si>
    <t>304 CONSTRUCTION LLC</t>
  </si>
  <si>
    <t>4IMPRINT  INC</t>
  </si>
  <si>
    <t>973 MATERIALS  LLC</t>
  </si>
  <si>
    <t>A PLUS BAIL BONDS</t>
  </si>
  <si>
    <t>ARNOLD OIL COMPANY OF AUSTIN LP</t>
  </si>
  <si>
    <t>TIMOTHY HALL</t>
  </si>
  <si>
    <t>ABREO &amp; CARTER</t>
  </si>
  <si>
    <t>ACCO BRANDS DIRECT</t>
  </si>
  <si>
    <t>ACE MART RESTAURANT SUPPLY</t>
  </si>
  <si>
    <t>ADAM ALLMON</t>
  </si>
  <si>
    <t>ADAM DAKOTA ROWINS</t>
  </si>
  <si>
    <t>ADENA LEWIS</t>
  </si>
  <si>
    <t>ALAMO  GROUP (TX)  INC</t>
  </si>
  <si>
    <t>TEXAS ENTERPRISES INC.</t>
  </si>
  <si>
    <t>A.G.C.  LLC</t>
  </si>
  <si>
    <t>S &amp; D PLUMBING-GIDDINGS LLC</t>
  </si>
  <si>
    <t>AMAZON CAPITAL SERVICES INC</t>
  </si>
  <si>
    <t>AMBER QUINLEY</t>
  </si>
  <si>
    <t>AMERISOURCEBERGEN</t>
  </si>
  <si>
    <t>AMG PRINTING &amp; MAILING  LLC</t>
  </si>
  <si>
    <t>ANDERSON &amp; ANDERSON LAW FIRM PC</t>
  </si>
  <si>
    <t>ANDERSON MACHINERY AUSTIN INC</t>
  </si>
  <si>
    <t>APRIL KUCK</t>
  </si>
  <si>
    <t>AQUA BEVERAGE COMPANY/OZARKA</t>
  </si>
  <si>
    <t>AQUA WATER SUPPLY CORPORATION</t>
  </si>
  <si>
    <t>ARSENAL ADVERTISING LLC</t>
  </si>
  <si>
    <t>AT &amp; T</t>
  </si>
  <si>
    <t>AT&amp;T</t>
  </si>
  <si>
    <t>AT&amp;T MOBILITY</t>
  </si>
  <si>
    <t>AT&amp;T MOBILITY-SO</t>
  </si>
  <si>
    <t>AT&amp;T MOBILITY-W&amp;M</t>
  </si>
  <si>
    <t>THE AUBAINE SUPPLY COMPANY  INC</t>
  </si>
  <si>
    <t>AUGUST G MEDUNA  JR</t>
  </si>
  <si>
    <t>GRAND JUNCTION NEWSPAPERS INC</t>
  </si>
  <si>
    <t>AUSTIN ANESTHESIOLOGY GROUP</t>
  </si>
  <si>
    <t>RALPH E BONNELL CIH</t>
  </si>
  <si>
    <t>AUSTIN FLAG AND FLAGPOLE</t>
  </si>
  <si>
    <t>AUSTIN LLOYD</t>
  </si>
  <si>
    <t>PTL LAWN &amp; CLEANING SERVICE  INC</t>
  </si>
  <si>
    <t>AUSTIN PATHOLOGY ASSOCIATES</t>
  </si>
  <si>
    <t>AUSTIN RADIOLOGICAL ASSOC</t>
  </si>
  <si>
    <t>AUSTIN WOOD RECYCLING  LTD</t>
  </si>
  <si>
    <t>JIM ATTRA INC</t>
  </si>
  <si>
    <t>BBTC LLC</t>
  </si>
  <si>
    <t>BANDERA COUNTY CONSTABLE PCT 2</t>
  </si>
  <si>
    <t>="11</t>
  </si>
  <si>
    <t>864"</t>
  </si>
  <si>
    <t>BARBARA GOMEZ</t>
  </si>
  <si>
    <t>MICHAEL OLDHAM TIRE INC</t>
  </si>
  <si>
    <t>DEBORAH D. SPARKMAN</t>
  </si>
  <si>
    <t>BASTROP CENTRAL APPRAISAL DIST.</t>
  </si>
  <si>
    <t>BASTROP COUNTY SHERIFF'S DEPT</t>
  </si>
  <si>
    <t>="10</t>
  </si>
  <si>
    <t>756"</t>
  </si>
  <si>
    <t>092"</t>
  </si>
  <si>
    <t>763"</t>
  </si>
  <si>
    <t>DANIEL L HEPKER</t>
  </si>
  <si>
    <t>BASTROP COUNTY</t>
  </si>
  <si>
    <t>="16</t>
  </si>
  <si>
    <t>403"</t>
  </si>
  <si>
    <t>BASTROP COUNTY PROBATION DEPT</t>
  </si>
  <si>
    <t>BASTROP COUNTY SHERIFF</t>
  </si>
  <si>
    <t>="13</t>
  </si>
  <si>
    <t>304"</t>
  </si>
  <si>
    <t>BASTROP COUNTY CARES</t>
  </si>
  <si>
    <t>BASTROP COUNTY MEDICAL ASSOC PA</t>
  </si>
  <si>
    <t>BASTROP MEDICAL CLINIC</t>
  </si>
  <si>
    <t>BASTROP OPERA HOUSE INC</t>
  </si>
  <si>
    <t>BASTROP OUTDOOR</t>
  </si>
  <si>
    <t>BASTROP PROVIDENCE  LLC</t>
  </si>
  <si>
    <t>BASTROP SIGNS &amp; BANNERS</t>
  </si>
  <si>
    <t>BASTROP VETERINARY HOSPITAL  INC.</t>
  </si>
  <si>
    <t>DAVID H OUTON</t>
  </si>
  <si>
    <t>BEARD INTEGRATED SYSTEMS  INC.</t>
  </si>
  <si>
    <t>BEN E KEITH CO.</t>
  </si>
  <si>
    <t>BENJAMIN FOODS  LLC</t>
  </si>
  <si>
    <t>MULTI SERVICE CORP</t>
  </si>
  <si>
    <t>BEXAR COUNTY</t>
  </si>
  <si>
    <t>BEXAR COUNTY SHERIFF</t>
  </si>
  <si>
    <t>BICKERSTAFF HEATH DELGADO ACOSTA LLP</t>
  </si>
  <si>
    <t>BIG WRENCH ROAD SERVICE INC</t>
  </si>
  <si>
    <t>MAURINE MC LEAN</t>
  </si>
  <si>
    <t>BILL'S TRUCK &amp; TRAILER INC</t>
  </si>
  <si>
    <t>BILLY JOSHUA GILL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</si>
  <si>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</si>
  <si>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</si>
  <si>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</si>
  <si>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</si>
  <si>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</si>
  <si>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BMP SPECIALIST  LLC</t>
  </si>
  <si>
    <t>BOB BARKER COMPANY  INC.</t>
  </si>
  <si>
    <t>BOBBY BROWN</t>
  </si>
  <si>
    <t>BOEHM TRACTOR SALES INC</t>
  </si>
  <si>
    <t>BONNIE HELLUMS</t>
  </si>
  <si>
    <t>BRAUNTEX MATERIALS INC</t>
  </si>
  <si>
    <t>BRAZORIA COUNTY SHERIFF</t>
  </si>
  <si>
    <t>BUILDING SPECIALTIES</t>
  </si>
  <si>
    <t>BUREAU OF VITAL STATISTICS</t>
  </si>
  <si>
    <t>LIFELINE TRAINING</t>
  </si>
  <si>
    <t>CANDELARIO VALENZUELA</t>
  </si>
  <si>
    <t>CANNON PLUMBING AND DRAIN  LLC</t>
  </si>
  <si>
    <t>CAPITAL AREA COUNCIL OF GOVERNMENTS</t>
  </si>
  <si>
    <t>TIB-THE INDEPENDENT BANKERS BANK</t>
  </si>
  <si>
    <t>CDW GOVERNMENT INC</t>
  </si>
  <si>
    <t>CENTERPOINT ENERGY</t>
  </si>
  <si>
    <t>LARRY D. LYNN</t>
  </si>
  <si>
    <t>CENTEX MATERIALS LLC</t>
  </si>
  <si>
    <t>CENTRAL TEXAS BARRICADES INC</t>
  </si>
  <si>
    <t>CENTRAL TEXAS AUTOPSY</t>
  </si>
  <si>
    <t>CHARLES W CARVER</t>
  </si>
  <si>
    <t>CHARM-TEX</t>
  </si>
  <si>
    <t>CHRIS MATT DILLON</t>
  </si>
  <si>
    <t>CHRISTINE P FILES</t>
  </si>
  <si>
    <t>CINTAS</t>
  </si>
  <si>
    <t>CINTAS CORPORATION</t>
  </si>
  <si>
    <t>CINTAS CORPORATION #86</t>
  </si>
  <si>
    <t>CITY OF BASTROP</t>
  </si>
  <si>
    <t>="12</t>
  </si>
  <si>
    <t>756  06/26/18"</t>
  </si>
  <si>
    <t>CITY OF SMITHVILLE</t>
  </si>
  <si>
    <t>CLINICAL PATHOLOGY LABORATORIES INC</t>
  </si>
  <si>
    <t>CNA SURETY</t>
  </si>
  <si>
    <t>COLLIN COUNTY SHERIFF</t>
  </si>
  <si>
    <t>COMAL COUNTY SHERIFF</t>
  </si>
  <si>
    <t>JALAREM TRADING LLC</t>
  </si>
  <si>
    <t>COMMUNICATION BY HAND LLC</t>
  </si>
  <si>
    <t>COMMUNITY HEALTH CENTERS</t>
  </si>
  <si>
    <t>CONNIE SCHROEDER</t>
  </si>
  <si>
    <t>651  06/26/18"</t>
  </si>
  <si>
    <t>CONTECH ENGINEERED SOLUTIONS INC</t>
  </si>
  <si>
    <t>DAVID CONTI</t>
  </si>
  <si>
    <t>COOPER EQUIPMENT CO.</t>
  </si>
  <si>
    <t>CORRECTIONAL MANAGEMENT INSTITUTE OF TX</t>
  </si>
  <si>
    <t>COTHRON'S SAFE &amp; LOCK CO  INC</t>
  </si>
  <si>
    <t>SCIORTINO INVESTMENTS</t>
  </si>
  <si>
    <t>CRESSIDA EVELYN KWOLEK  Ph.D.</t>
  </si>
  <si>
    <t>CRYSTAL DEAR</t>
  </si>
  <si>
    <t>WILLIAM C. KENNEDY  IV</t>
  </si>
  <si>
    <t>CPI QUALIFIED PLAN CONSULTANTS  INC.</t>
  </si>
  <si>
    <t>D&amp;A COUNSELING</t>
  </si>
  <si>
    <t>DAHILL</t>
  </si>
  <si>
    <t>DALLAS COUNTY CONSTABLE PCT 1</t>
  </si>
  <si>
    <t>DAVID B BROOKS</t>
  </si>
  <si>
    <t>DAVID M COLLINS</t>
  </si>
  <si>
    <t>DELL</t>
  </si>
  <si>
    <t>DENTON COUNTY CONSTABLE PCT 2</t>
  </si>
  <si>
    <t>DENTRUST DENTAL TX PC</t>
  </si>
  <si>
    <t>DICKENS LOCKSMITH INC</t>
  </si>
  <si>
    <t>DEPARTMENT OF INFORMATION RESOURCES</t>
  </si>
  <si>
    <t>DISCOUNT DOOR &amp; METAL  LLC</t>
  </si>
  <si>
    <t>RAY R CASAS</t>
  </si>
  <si>
    <t>DONNIE STARK</t>
  </si>
  <si>
    <t>DOUBLE TUFF TRUCK TARPS INC</t>
  </si>
  <si>
    <t>DOUGLAS BERRYANN - BERRYANN ENTERPRISES</t>
  </si>
  <si>
    <t>DUNNE &amp; JUAREZ L.L.C.</t>
  </si>
  <si>
    <t>DURAN GRAVEL CO. INC</t>
  </si>
  <si>
    <t>ECOLAB INC</t>
  </si>
  <si>
    <t>EDGAR GASPAR</t>
  </si>
  <si>
    <t>ELECTION SYSTEMS &amp; SOFTWARE INC</t>
  </si>
  <si>
    <t>BLACKLANDS PUBLICATIONS INC</t>
  </si>
  <si>
    <t>RALPH DAVID GLASS</t>
  </si>
  <si>
    <t>CITY OF ELGIN UTILITIES</t>
  </si>
  <si>
    <t>ELLIOTT ELECTRIC SUPPLY INC</t>
  </si>
  <si>
    <t>ENTERPRISE TRAINING SOLUTIONS INC.</t>
  </si>
  <si>
    <t>ERGON ASPHALT &amp; EMULSIONS INC</t>
  </si>
  <si>
    <t>BASTROP COUNTY WOMEN'S SHELTER</t>
  </si>
  <si>
    <t>FAMILY HEALTH CENTER OF BASTROP PLLC</t>
  </si>
  <si>
    <t>FEDERAL EXPRESS</t>
  </si>
  <si>
    <t>FERGUSON ENTERPRISES  INC.</t>
  </si>
  <si>
    <t>FIRST NATIONAL BANK BASTROP</t>
  </si>
  <si>
    <t>="14</t>
  </si>
  <si>
    <t>861  06/26/18"</t>
  </si>
  <si>
    <t>FLASHBACK DATA  LLC</t>
  </si>
  <si>
    <t>FLEET COR TECHNOLOGIES INC</t>
  </si>
  <si>
    <t>FLEETPRIDE</t>
  </si>
  <si>
    <t>FOREMOST COUNTY MUTUAL INS CO</t>
  </si>
  <si>
    <t>="15</t>
  </si>
  <si>
    <t>347  06/05/18"</t>
  </si>
  <si>
    <t>FORREST L. SANDERSON</t>
  </si>
  <si>
    <t>FRANLAN MULTIMEDIA</t>
  </si>
  <si>
    <t>AUSTIN TRUCK &amp; EQUIPMENT  LTD</t>
  </si>
  <si>
    <t>EUGENE W BRIGGS JR</t>
  </si>
  <si>
    <t>GALLS PARENT HOLDINGS LLC</t>
  </si>
  <si>
    <t>GARLAND/DBS  INC.</t>
  </si>
  <si>
    <t>GARMENTS TO GO  INC</t>
  </si>
  <si>
    <t>BRIDGESTONE AMERICAS INC</t>
  </si>
  <si>
    <t>GENERAL SUPPLY &amp; SERVICES  INC.</t>
  </si>
  <si>
    <t>GIPSON PENDERGRASS PEOPLE'S MORTUARY LLC</t>
  </si>
  <si>
    <t>GOOSENECK TRAILER MFG CO INC</t>
  </si>
  <si>
    <t>GOVCONNECTION INC</t>
  </si>
  <si>
    <t>GRAINGER INC</t>
  </si>
  <si>
    <t>GT DISTRIBUTORS  INC.</t>
  </si>
  <si>
    <t>GULF COAST PAPER CO. INC.</t>
  </si>
  <si>
    <t>HALFF ASSOCIATES</t>
  </si>
  <si>
    <t>APKR LTD</t>
  </si>
  <si>
    <t>HANNAH FARREL</t>
  </si>
  <si>
    <t>320"</t>
  </si>
  <si>
    <t>HANNAH QUACKENBUSH</t>
  </si>
  <si>
    <t>DOUGLAS D. SPILLMAN</t>
  </si>
  <si>
    <t>HARRIS COUNTY CONSTABLE PCT 1</t>
  </si>
  <si>
    <t>HAYS COUNTY CONSTABLE PCT 4</t>
  </si>
  <si>
    <t>HENNA CHEVROLET</t>
  </si>
  <si>
    <t>BUTLER ANIMAL HEALTH</t>
  </si>
  <si>
    <t>HERSHCAP BACKHOE &amp; DITCHING  INC.</t>
  </si>
  <si>
    <t>658  06/12/18"</t>
  </si>
  <si>
    <t>HILLARY LONG</t>
  </si>
  <si>
    <t>BASCOM L HODGES JR</t>
  </si>
  <si>
    <t>HODGSON G ECKEL</t>
  </si>
  <si>
    <t>SILBER HOSPITALITY. LLC</t>
  </si>
  <si>
    <t>BD HOLT CO</t>
  </si>
  <si>
    <t>CITIBANK (SOUTH DAKOTA)N.A./THE HOME DEPOT</t>
  </si>
  <si>
    <t>HUDSON ENERGY CORP</t>
  </si>
  <si>
    <t>HVAC</t>
  </si>
  <si>
    <t>HYDRAULIC HOUSE INC</t>
  </si>
  <si>
    <t>IDEXX DISTRIBUTION INC</t>
  </si>
  <si>
    <t>INDIGENT HEALTHCARE SOLUTIONS</t>
  </si>
  <si>
    <t>INNOVATION EVENT MANAGEMENT  LP</t>
  </si>
  <si>
    <t>INTAB  LLC</t>
  </si>
  <si>
    <t>IRON MOUNTAIN RECORDS MGMT INC</t>
  </si>
  <si>
    <t>J D LANGLEY</t>
  </si>
  <si>
    <t>JAMES MILLER</t>
  </si>
  <si>
    <t>JAMES O. BURKE</t>
  </si>
  <si>
    <t>JAN LANGER  DVM</t>
  </si>
  <si>
    <t>JANA MCCURDY</t>
  </si>
  <si>
    <t>JAY'S TIRE &amp; AUTOMOTIVE REPAIR INC</t>
  </si>
  <si>
    <t>JENKINS &amp; JENKINS LLP</t>
  </si>
  <si>
    <t>JENNIFER MADDOX</t>
  </si>
  <si>
    <t>884"</t>
  </si>
  <si>
    <t>JERRY HOFROCK</t>
  </si>
  <si>
    <t>505  6/8/18"</t>
  </si>
  <si>
    <t>JERRY POWELL</t>
  </si>
  <si>
    <t>JERRY RUETHER</t>
  </si>
  <si>
    <t>DEERE CREDIT SERVICES INC</t>
  </si>
  <si>
    <t>JOHN DEERE FINANCIAL f.s.b.</t>
  </si>
  <si>
    <t>JOSEPHINE MORALES</t>
  </si>
  <si>
    <t>204  06/19/18"</t>
  </si>
  <si>
    <t>JUSTIN MATTHEW FOHN</t>
  </si>
  <si>
    <t>KATY NYC-LYYTINEN</t>
  </si>
  <si>
    <t>KENNETH E. LIMUEL JR</t>
  </si>
  <si>
    <t>KENNETH GONSOULIN</t>
  </si>
  <si>
    <t>181"</t>
  </si>
  <si>
    <t>KENT BROUSSARD TOWER RENTAL INC</t>
  </si>
  <si>
    <t>KLEIBER FORD TRACTOR  INC.</t>
  </si>
  <si>
    <t>KRISTIN BURNS</t>
  </si>
  <si>
    <t>LONGHORN INTERNATIONAL TRUCKS LTD</t>
  </si>
  <si>
    <t>THE LA GRANGE PARTS HOUSE INC</t>
  </si>
  <si>
    <t>LABATT INSTITUTIONAL SUPPLY CO</t>
  </si>
  <si>
    <t>LACKLAND  ITT</t>
  </si>
  <si>
    <t>LASHLEY SOUTH TEXAS  LLC</t>
  </si>
  <si>
    <t>LAW ENFORCEMENT RISK MANAGEMENT GROUP  INC.</t>
  </si>
  <si>
    <t>LUCIO LEAL</t>
  </si>
  <si>
    <t>LEE COUNTY WATER SUPPLY CORP</t>
  </si>
  <si>
    <t>AUSTIN L.T.  INC</t>
  </si>
  <si>
    <t>LEXISNEXIS RISK DATA MGMT INC</t>
  </si>
  <si>
    <t>LIBERTY TIRE RECYCLING</t>
  </si>
  <si>
    <t>LINDA HARMON-TAX ASSESSOR</t>
  </si>
  <si>
    <t>LINDSEY SIMMONS</t>
  </si>
  <si>
    <t>LISA M. MIMS</t>
  </si>
  <si>
    <t>LLOYD GOSSELINK ROCHELLE &amp; TOWNSEND. PC</t>
  </si>
  <si>
    <t>LONE STAR CIRCLE OF CARE</t>
  </si>
  <si>
    <t>UNITED KWB COLLABORATIONS LLC</t>
  </si>
  <si>
    <t>LONESTAR FREIGHTLINER GROUP  LLC</t>
  </si>
  <si>
    <t>LONGHORN EMERGENCY MEDICAL ASSOC PA</t>
  </si>
  <si>
    <t>LONNIE LAWRENCE DAVIS JR</t>
  </si>
  <si>
    <t>SCOTT BRYANT</t>
  </si>
  <si>
    <t>TRUBAR  LLC</t>
  </si>
  <si>
    <t>LOWE'S</t>
  </si>
  <si>
    <t>MAGIC TOUCH CLEANING SYSTEMS LLC</t>
  </si>
  <si>
    <t>MAIL &amp; SIGNS</t>
  </si>
  <si>
    <t>MARGARET A RAIFORD</t>
  </si>
  <si>
    <t>MARIA ANFOSSO</t>
  </si>
  <si>
    <t>MARIA FERNANDA CALDERON</t>
  </si>
  <si>
    <t>MARK A RUMPLE</t>
  </si>
  <si>
    <t>MARK DOUGLAS CUNNINGHAM</t>
  </si>
  <si>
    <t>MARK MEUTH</t>
  </si>
  <si>
    <t>MARK T. MALONE  M.D. P.A</t>
  </si>
  <si>
    <t>JOHN W GASPARINI INC</t>
  </si>
  <si>
    <t>MARY BETH SCOTT</t>
  </si>
  <si>
    <t>MATHESON TRI-GAS INC</t>
  </si>
  <si>
    <t>McCOY'S BUILDING SUPPLY CENTER</t>
  </si>
  <si>
    <t>McCREARY  VESELKA  BRAGG &amp; ALLEN P</t>
  </si>
  <si>
    <t>010  06/01/18"</t>
  </si>
  <si>
    <t>MECHANICAL REPS INC</t>
  </si>
  <si>
    <t>MEDIMPACT HEALTHCARE SYSTEMS INC</t>
  </si>
  <si>
    <t>MEGAN FAITH BROWN</t>
  </si>
  <si>
    <t>MELVIN TUCKER</t>
  </si>
  <si>
    <t>MICHELE FRITSCHE C.S.R.</t>
  </si>
  <si>
    <t>MIDTEX MATERIALS</t>
  </si>
  <si>
    <t>GALLS  LLC</t>
  </si>
  <si>
    <t>Family Crisis Center</t>
  </si>
  <si>
    <t>Children's Advocacy Center</t>
  </si>
  <si>
    <t>Child Protective Services</t>
  </si>
  <si>
    <t>COURT APPOINTED SPECIAL ADVOCA</t>
  </si>
  <si>
    <t>JUDITH KATHERINE GWIN</t>
  </si>
  <si>
    <t>PADEN GLENN WALKER</t>
  </si>
  <si>
    <t>SAMANTHA NICOLE WHEELER</t>
  </si>
  <si>
    <t>MARY CATHERINE WAGGONER</t>
  </si>
  <si>
    <t>RENEE FARLEY MOORE</t>
  </si>
  <si>
    <t>IMELDO SOLACHE</t>
  </si>
  <si>
    <t>BRADLEY WAYLAND SCOTT</t>
  </si>
  <si>
    <t>JOSE ALONSO GONZALES</t>
  </si>
  <si>
    <t>WILLIAM ADAM LAIRD</t>
  </si>
  <si>
    <t>ELSIE SUPAK HERRIN</t>
  </si>
  <si>
    <t>ERIN KATHLEEN WEHRLY</t>
  </si>
  <si>
    <t>BRIDGET BROOKE AHLGRIMM</t>
  </si>
  <si>
    <t>RODNEY LABAR MILLIGAN</t>
  </si>
  <si>
    <t>TABITHA LYNN HATHAWAY</t>
  </si>
  <si>
    <t>ROBERT CHAVARRIA JR</t>
  </si>
  <si>
    <t>KIRSTEN TAYLOR CANNON</t>
  </si>
  <si>
    <t>RANDAL PRICE VEST</t>
  </si>
  <si>
    <t>CLARISSA ANNE WELLS</t>
  </si>
  <si>
    <t>STEVEN MICHAEL WILLIAMS</t>
  </si>
  <si>
    <t>NORMA RIVAS JIMENEZ</t>
  </si>
  <si>
    <t>KEITH LANE ZIMMERHANZEL</t>
  </si>
  <si>
    <t>JEFFREY BRYAN ARCHERD</t>
  </si>
  <si>
    <t>TRACIE DELAINE CHAPA</t>
  </si>
  <si>
    <t>FELICIA GAIL JACKSON</t>
  </si>
  <si>
    <t>ANGELA CHRISTINE MURPHY</t>
  </si>
  <si>
    <t>VONDA CELINA GLOVER</t>
  </si>
  <si>
    <t>RICHARD RAYMOND STRATTON</t>
  </si>
  <si>
    <t>KEVIN G STONE</t>
  </si>
  <si>
    <t>CAROLINE ELIZABETH KAISER</t>
  </si>
  <si>
    <t>ELENA CARRILLO</t>
  </si>
  <si>
    <t>LORI ANN ELLIOTT</t>
  </si>
  <si>
    <t>ROBERT EDWARD MCCLENDON</t>
  </si>
  <si>
    <t>JERRY LLOYD WINKLER</t>
  </si>
  <si>
    <t>CANDICE BROOK ANDERSON CARRAWA</t>
  </si>
  <si>
    <t>LYNDA ANITA MACLEOD</t>
  </si>
  <si>
    <t>WILLIAM CLAIRE EVANS JR</t>
  </si>
  <si>
    <t>PAMELA MARIE ASHNESS</t>
  </si>
  <si>
    <t>JEREMIAH SKIE OMAHONEY</t>
  </si>
  <si>
    <t>MARIA ELENA SANCHEZ</t>
  </si>
  <si>
    <t>DALTON JAMES BANFIELD</t>
  </si>
  <si>
    <t>ANDREANNA KAY NEGLEY</t>
  </si>
  <si>
    <t>JUANITA GARCIA ACOSTA</t>
  </si>
  <si>
    <t>SANDRA ANN DUNAWAY</t>
  </si>
  <si>
    <t>JAMES DELEON</t>
  </si>
  <si>
    <t>BRENDA LYNN HILL</t>
  </si>
  <si>
    <t>JAMES KEITH REGIER</t>
  </si>
  <si>
    <t>DONALD DEWAYNE SNOOTS</t>
  </si>
  <si>
    <t>RHONDA CAROL LOONEY</t>
  </si>
  <si>
    <t>CHARLES EARL DILTZ III</t>
  </si>
  <si>
    <t>ALEXANDER ROSALES JR</t>
  </si>
  <si>
    <t>CHRISTIAN MUNOZ</t>
  </si>
  <si>
    <t>OLGA DAMARIS KOBASIC</t>
  </si>
  <si>
    <t>NICHOLAS LINCOLN RAY</t>
  </si>
  <si>
    <t>TINA JUNE SCHNEIDER</t>
  </si>
  <si>
    <t>DAVID GLENN FRANKLIN</t>
  </si>
  <si>
    <t>ELISE NICOLE BROWN</t>
  </si>
  <si>
    <t>CLAY ROYAL BARKER JR</t>
  </si>
  <si>
    <t>PATRICIA WILBUR ANDERSON</t>
  </si>
  <si>
    <t>LAURENCE EDWARD ALEXANDER</t>
  </si>
  <si>
    <t>RAFAEL ESTEBAN LOVINGTON</t>
  </si>
  <si>
    <t>VERNON JOEL BROWN JR</t>
  </si>
  <si>
    <t>GERALD DOUGLAS PEDDY</t>
  </si>
  <si>
    <t>RONDA LAURIE COOLEY</t>
  </si>
  <si>
    <t>GERALD RAY STRONG</t>
  </si>
  <si>
    <t>DUSTIN JOSIAH HAINES</t>
  </si>
  <si>
    <t>JULIA DAVIS SULSAR</t>
  </si>
  <si>
    <t>KERRI LYNETTE WASHINGTON</t>
  </si>
  <si>
    <t>SHARI JO WYATT</t>
  </si>
  <si>
    <t>HILLARY MARIE KVAMME</t>
  </si>
  <si>
    <t>DONNA BESS SCHUBERT</t>
  </si>
  <si>
    <t>DONNA RAE NONDORF</t>
  </si>
  <si>
    <t>DENA MARIE POUDRIER</t>
  </si>
  <si>
    <t>CAROL ANN DARLING</t>
  </si>
  <si>
    <t>DAVID GOSTECNIK</t>
  </si>
  <si>
    <t>MISTY STUBBS</t>
  </si>
  <si>
    <t>MOISES OR CAROLINE GUERRERO</t>
  </si>
  <si>
    <t>851  06/08/18"</t>
  </si>
  <si>
    <t>MONARCH DISPOSAL  LLC</t>
  </si>
  <si>
    <t>MOORE MEDICAL LLC</t>
  </si>
  <si>
    <t>MOTOROLA INC</t>
  </si>
  <si>
    <t>NALCO COMPANY LLC</t>
  </si>
  <si>
    <t>NATIONAL FOOD GROUP INC</t>
  </si>
  <si>
    <t>NAVARRO TAPIA LETICIA</t>
  </si>
  <si>
    <t>NEAFCS</t>
  </si>
  <si>
    <t>NEED FOR SPEED</t>
  </si>
  <si>
    <t>NUECES COUNTY CONSTABLE PCT 1</t>
  </si>
  <si>
    <t>O'REILLY AUTOMOTIVE  INC.</t>
  </si>
  <si>
    <t>SOUTHERN FOODS GROUP LP</t>
  </si>
  <si>
    <t>OFFICE DEPOT</t>
  </si>
  <si>
    <t>OLDHAM COUNTY SHERIFF</t>
  </si>
  <si>
    <t>OMNIBASE SERVICES OF TEXAS LP</t>
  </si>
  <si>
    <t>ROGER C. OSBORN</t>
  </si>
  <si>
    <t>OSBURN ASSOCIATES INC.</t>
  </si>
  <si>
    <t>OPERATIONAL SUPPORT SERVICES INC</t>
  </si>
  <si>
    <t>DURASERV CORP</t>
  </si>
  <si>
    <t>PAIGE TRACTORS INC</t>
  </si>
  <si>
    <t>SL PARKER PARTNERSHIP LLC</t>
  </si>
  <si>
    <t>PATRICK ELECTRIC SERVICE</t>
  </si>
  <si>
    <t>PATTERSON  VETERINARY SUPPLY INC</t>
  </si>
  <si>
    <t>PERDUE  BRANDON  FIELDER  COLLINS &amp; MOTT LLP</t>
  </si>
  <si>
    <t>PETHEALTH SERVICES(USA) INC.</t>
  </si>
  <si>
    <t>PHILIP A. GRANT</t>
  </si>
  <si>
    <t>PHILIP L HALL</t>
  </si>
  <si>
    <t>PHILIP R DUCLOUX</t>
  </si>
  <si>
    <t>PM WILSON &amp; ASSOCIATES PLLC</t>
  </si>
  <si>
    <t>PNEU-DART INC</t>
  </si>
  <si>
    <t>POSTMASTER</t>
  </si>
  <si>
    <t>POTTER COUNTY SHERIFF</t>
  </si>
  <si>
    <t>PRAXAIR DISTRIBUTION  INC.</t>
  </si>
  <si>
    <t>PROGRESSIVE - RESTITUTION ACCT</t>
  </si>
  <si>
    <t>ELGIN PROVIDENCE LLC</t>
  </si>
  <si>
    <t>AEGEAN  LLC</t>
  </si>
  <si>
    <t>R &amp; D BISHOP INC</t>
  </si>
  <si>
    <t>RACHEL A BAUER</t>
  </si>
  <si>
    <t>NESTLE WATERS N AMERICA INC</t>
  </si>
  <si>
    <t>REBECCA STRNAD</t>
  </si>
  <si>
    <t>RED WING BUSINESS ADVANTAGE ACCOUNT</t>
  </si>
  <si>
    <t>REPUBLIC SERVICES INC BFI WASTE SERVICE</t>
  </si>
  <si>
    <t>PAULINE SPURLOCK</t>
  </si>
  <si>
    <t>RESERVE ACCOUNT</t>
  </si>
  <si>
    <t>REYNOLDS &amp; KEINARTH</t>
  </si>
  <si>
    <t>RIATA FORD</t>
  </si>
  <si>
    <t>RICHARD ALLAN DICKMAN JR</t>
  </si>
  <si>
    <t>RICHARD RALPH</t>
  </si>
  <si>
    <t>RICOH USA INC</t>
  </si>
  <si>
    <t>CIT TECHNOLOGY FINANCE</t>
  </si>
  <si>
    <t>MIKE DAVIS</t>
  </si>
  <si>
    <t>RUNKLE ENTERPRISES</t>
  </si>
  <si>
    <t>ROADRUNNER RADIOLOGY EQUIP LLC</t>
  </si>
  <si>
    <t>ROBERT CARVIN</t>
  </si>
  <si>
    <t>ROBERT MADDEN INDUSTRIES LTD</t>
  </si>
  <si>
    <t>ROCKY ROAD PRINTING</t>
  </si>
  <si>
    <t>RODGER KRUEGER</t>
  </si>
  <si>
    <t>ROSE PIETSCH COUNTY CLERK</t>
  </si>
  <si>
    <t>RUSH TRUCK CENTERS OF TEXAS  LP</t>
  </si>
  <si>
    <t>RUSSELL ABEL</t>
  </si>
  <si>
    <t>RUSSELL DOUGLAS HILL</t>
  </si>
  <si>
    <t>SAFELITE FULFILLMENT INC</t>
  </si>
  <si>
    <t>TRAVIS CNTY DOMESTIC VIOLENCE &amp; SEXUAL ASSAULT</t>
  </si>
  <si>
    <t>SAMMY LERMA III MD</t>
  </si>
  <si>
    <t>FERTITTA HOSPITALITY LLC</t>
  </si>
  <si>
    <t>SAN SABA COUNTY SHERIFF</t>
  </si>
  <si>
    <t>SANTIAGO ULISES IBARRA</t>
  </si>
  <si>
    <t>SCOTT &amp; WHITE CLINIC</t>
  </si>
  <si>
    <t>SCOTT &amp; WHITE HOSPITAL - TAYLOR</t>
  </si>
  <si>
    <t>SCOTT MERRIMAN INC</t>
  </si>
  <si>
    <t>SECURETECH SYSTEMS  INC.</t>
  </si>
  <si>
    <t>RANIA LANGE</t>
  </si>
  <si>
    <t>SETON MEDICAL CENTER</t>
  </si>
  <si>
    <t>SETON FAMILY OF HOSPITALS</t>
  </si>
  <si>
    <t>SHARON HANCOCK</t>
  </si>
  <si>
    <t>962  06/05/18"</t>
  </si>
  <si>
    <t>SHEA MAYBERRY</t>
  </si>
  <si>
    <t>SHI GOVERNMENT SOLUTIONS INC.</t>
  </si>
  <si>
    <t>SHOPPA'S FARM SUPPLY</t>
  </si>
  <si>
    <t>SHRED-IT US HOLDCO  INC</t>
  </si>
  <si>
    <t>SIGNATURE SMILES</t>
  </si>
  <si>
    <t>SKYLINE EQUIPMENT INC.</t>
  </si>
  <si>
    <t>SMITH STORES  INC.</t>
  </si>
  <si>
    <t>SMITHVILLE  FIRE DEPT</t>
  </si>
  <si>
    <t>SMITHVILLE AUTO PARTS  INC</t>
  </si>
  <si>
    <t>LAVACA COUNTY OFFICE SUPPLY  INC</t>
  </si>
  <si>
    <t>SOUTHWEST SOLUTIONS GROUP</t>
  </si>
  <si>
    <t>DS WATERS OF AMERICA INC</t>
  </si>
  <si>
    <t>SPARKLETTS &amp; SIERRA SPRINGS</t>
  </si>
  <si>
    <t>ST. JOSEPH REGIONAL HEALTH CENTER</t>
  </si>
  <si>
    <t>ST.DAVID'S HEALTHCARE PARTNERSHIP</t>
  </si>
  <si>
    <t>ST.DAVIDS HEART &amp; VASCULAR  PLLC</t>
  </si>
  <si>
    <t>STAPLES ADVANTAGE</t>
  </si>
  <si>
    <t>STATE BAR OF TEXAS</t>
  </si>
  <si>
    <t>STATE OF TEXAS</t>
  </si>
  <si>
    <t>STERICYCLE  INC.</t>
  </si>
  <si>
    <t>STEVE GRANADO</t>
  </si>
  <si>
    <t>MATTHEW LEE SULLINS</t>
  </si>
  <si>
    <t>SUN COAST RESOURCES</t>
  </si>
  <si>
    <t>SUPERCIRCUITS INC.</t>
  </si>
  <si>
    <t>TEXAS ASSOCIATION OF ASSESSING OFFICERS</t>
  </si>
  <si>
    <t>TARRANT COUNTY CONSTABLE PCT 1</t>
  </si>
  <si>
    <t>TARRANT COUNTY CONSTABLE PCT 7</t>
  </si>
  <si>
    <t>TAVCO SERVICES INC</t>
  </si>
  <si>
    <t>TEXAS DISTRICT &amp; COUNTY ATTORNEYS ASSOCIATION</t>
  </si>
  <si>
    <t>TEXAS DEPARTMENT OF CRIMINAL JUSTICE</t>
  </si>
  <si>
    <t>TEJAS ELEVATOR COMPANY</t>
  </si>
  <si>
    <t>TERRA EXCAVATION &amp; CONSTRUCTION LLC</t>
  </si>
  <si>
    <t>TERRI  ROBASON</t>
  </si>
  <si>
    <t>TERRILL L FLENNIKEN</t>
  </si>
  <si>
    <t>AIR RELIEF TECHNOLOGIES  INC</t>
  </si>
  <si>
    <t>JOHN J FIETSAM INC</t>
  </si>
  <si>
    <t>TEX-CON OIL CO</t>
  </si>
  <si>
    <t>TEXAS A&amp;M AGRILIFE EXTENSION</t>
  </si>
  <si>
    <t>TEXAS AGGREGATES  LLC</t>
  </si>
  <si>
    <t>TEXAS ASSOCIATES INSURORS AGENCY</t>
  </si>
  <si>
    <t>TEXAS ASSOCIATION FOR COURT ADMINISTRATION</t>
  </si>
  <si>
    <t>TEXAS ASSOCIATION OF COUNTIES</t>
  </si>
  <si>
    <t>TEXAS BLACKLAND HARDWARE</t>
  </si>
  <si>
    <t>TEXAS CRIME PREVENTION ASSOCIATION  INC.</t>
  </si>
  <si>
    <t>TEXAS DEPARTMENT OF AGRICULTURE</t>
  </si>
  <si>
    <t>TEXAS DEPT OF PUBLIC SAFETY</t>
  </si>
  <si>
    <t>257"</t>
  </si>
  <si>
    <t>935  06/29/18"</t>
  </si>
  <si>
    <t>399"</t>
  </si>
  <si>
    <t>TEXAS DOWNTOWN ASSOCIATION</t>
  </si>
  <si>
    <t>TEXAS ECONOMIC DEVELOPMENT COUNCIL</t>
  </si>
  <si>
    <t>TXFACT  LLC</t>
  </si>
  <si>
    <t>TEXAS MUNICIPAL LEAGUE</t>
  </si>
  <si>
    <t>TEXAS PARKS &amp; WILDLIFE DEPARTMENT</t>
  </si>
  <si>
    <t>TEXAS PRISONER TRANSPORTATION DIVISION LLC</t>
  </si>
  <si>
    <t>UNIVERSITY OF TEXAS AT SAN ANTONIO</t>
  </si>
  <si>
    <t>BUG MASTER EXTERMINATING SERVICES  LTD</t>
  </si>
  <si>
    <t>THE EXPO GROUP  INC.</t>
  </si>
  <si>
    <t>RICHARD NELSON MOORE</t>
  </si>
  <si>
    <t>THE NITSCHE GROUP</t>
  </si>
  <si>
    <t>THE TRAVELERS INDEMNITY COMPANY</t>
  </si>
  <si>
    <t>WEST PUBLISHING CORPORATION</t>
  </si>
  <si>
    <t>TIM MAHONEY  ATTORNEY AT LAW  PC</t>
  </si>
  <si>
    <t>TWE-ADVANCE/NEWHOUSE PARTNERSHIP</t>
  </si>
  <si>
    <t>TRACTOR SUPPLY CREDIT PLAN</t>
  </si>
  <si>
    <t>TRAVIS COUNTY CONSTABLE PCT 5</t>
  </si>
  <si>
    <t>TRAVIS COUNTY MEDICAL EXAMINER</t>
  </si>
  <si>
    <t>KAUFFMAN TIRE</t>
  </si>
  <si>
    <t>TULL FARLEY</t>
  </si>
  <si>
    <t>LINDA WALKER</t>
  </si>
  <si>
    <t>TX COMMISSION ON ENVIRONMENTAL QUAL</t>
  </si>
  <si>
    <t>TX COMMISSION ON JAIL STANDARDS</t>
  </si>
  <si>
    <t>ULINE</t>
  </si>
  <si>
    <t>COUFAL-PRATER EQUIPMENT  LLC</t>
  </si>
  <si>
    <t>UPS</t>
  </si>
  <si>
    <t>VETERINARY ANESTHESIA SYSTEMS INC</t>
  </si>
  <si>
    <t>VIRNA JAMESON</t>
  </si>
  <si>
    <t>TEXAS DEPARTMENT OF STATE HEALTH SERVICES</t>
  </si>
  <si>
    <t>US BANK NA</t>
  </si>
  <si>
    <t>VULCAN  INC.</t>
  </si>
  <si>
    <t>WAGEWORKS INC  FSA/HSA</t>
  </si>
  <si>
    <t>WALLER COUNTY ASPHALT INC</t>
  </si>
  <si>
    <t>WALMART COMMUNITY BRC</t>
  </si>
  <si>
    <t>WASHINGTON COUNTY CONSTABLE PCT 2</t>
  </si>
  <si>
    <t>WASTE MANAGEMENT OF TEXAS INC</t>
  </si>
  <si>
    <t>PROGRESSIVE WASTE SOLUTIONS OF TX. INC.</t>
  </si>
  <si>
    <t>WIND KNOT INCORPORATED</t>
  </si>
  <si>
    <t>COBRA EQUIPMENT RENTALS</t>
  </si>
  <si>
    <t>WEI-ANN LIN  MD PA</t>
  </si>
  <si>
    <t>MAO PHARMACY INC</t>
  </si>
  <si>
    <t>WILLIAMSON COUNTY CONSTABLE PCT 1</t>
  </si>
  <si>
    <t>WILLIAMSON COUNTY CONSTABLE PCT 4</t>
  </si>
  <si>
    <t>WJC CONSTRUCTORS SERVICES  LLC</t>
  </si>
  <si>
    <t>WOOLERY CUSTOM FENCE CO</t>
  </si>
  <si>
    <t>XEROX CORPORATION</t>
  </si>
  <si>
    <t>YOKA INC</t>
  </si>
  <si>
    <t>YOLANDA WHEATON</t>
  </si>
  <si>
    <t>ZACHARY CARTER</t>
  </si>
  <si>
    <t>BASTROP COUNTY ESD #2</t>
  </si>
  <si>
    <t>BASTROP INDEPENDENT SCHOOL DISTRICT</t>
  </si>
  <si>
    <t>JEROME REESE</t>
  </si>
  <si>
    <t>JOHN HESTER</t>
  </si>
  <si>
    <t>K PLUS K ASSOCIATES  LLP</t>
  </si>
  <si>
    <t>KIRKSEY ARCHITECTS  INC.</t>
  </si>
  <si>
    <t>KOETTER FIRE PROTECTION OF AUSTIN  LLC</t>
  </si>
  <si>
    <t>LANGFORD COMMUNITY MGMT INC</t>
  </si>
  <si>
    <t>MARK BRITTON WHITE</t>
  </si>
  <si>
    <t>NATHANIEL BLACK</t>
  </si>
  <si>
    <t>OXLEY WILLIAMS THARP ARCHITECTS  PLLC</t>
  </si>
  <si>
    <t>SMITHVILLE VOLUNTEER FIRE DEPARTMENT</t>
  </si>
  <si>
    <t>TCB CONSTRUCTION INC</t>
  </si>
  <si>
    <t>TEXAS STATE UNIVERSITY</t>
  </si>
  <si>
    <t>THE BANK OF NEW YORK MELLON</t>
  </si>
  <si>
    <t>WELLS FARGO BANK</t>
  </si>
  <si>
    <t>ALLSTATE-AMERICAN HERITAGE LIFE INS CO</t>
  </si>
  <si>
    <t>BASTROP CNTY ADULT PROBATION</t>
  </si>
  <si>
    <t>COLONIAL LIFE &amp; ACCIDENT INS. CO.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</si>
  <si>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</si>
  <si>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</si>
  <si>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</si>
  <si>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</si>
  <si>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</si>
  <si>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</si>
  <si>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NYS CHILD SUPPORT PROCESSING CENTER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</si>
  <si>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</si>
  <si>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</si>
  <si>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</si>
  <si>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</si>
  <si>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</si>
  <si>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LOAN/TRELLIS CO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</si>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</sst>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75"/>
  <sheetViews>
    <sheetView tabSelected="1" workbookViewId="0"/>
  </sheetViews>
  <sheetFormatPr defaultRowHeight="15" x14ac:dyDescent="0.25"/>
  <cols>
    <col min="1" max="1" width="53.7109375" bestFit="1" customWidth="1"/>
    <col min="2" max="2" width="7.7109375" bestFit="1" customWidth="1"/>
    <col min="3" max="3" width="14" style="3" bestFit="1" customWidth="1"/>
    <col min="4" max="4" width="10.85546875" bestFit="1" customWidth="1"/>
    <col min="5" max="5" width="19.7109375" bestFit="1" customWidth="1"/>
    <col min="6" max="6" width="35.85546875" bestFit="1" customWidth="1"/>
    <col min="7" max="7" width="32.7109375" style="2" bestFit="1" customWidth="1"/>
    <col min="8" max="8" width="36.42578125" bestFit="1" customWidth="1"/>
  </cols>
  <sheetData>
    <row r="1" spans="1:8" x14ac:dyDescent="0.25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999999</v>
      </c>
      <c r="C2" s="3">
        <v>190.25</v>
      </c>
      <c r="D2" s="1">
        <v>43326</v>
      </c>
      <c r="E2" t="str">
        <f>"43946"</f>
        <v>43946</v>
      </c>
      <c r="F2" t="str">
        <f>"BUSINESS INTERNET/IP ADDRESS"</f>
        <v>BUSINESS INTERNET/IP ADDRESS</v>
      </c>
      <c r="G2" s="2">
        <v>145.5</v>
      </c>
      <c r="H2" t="str">
        <f>"BUSINESS INTERNET/IP ADDRESS"</f>
        <v>BUSINESS INTERNET/IP ADDRESS</v>
      </c>
    </row>
    <row r="3" spans="1:8" x14ac:dyDescent="0.25">
      <c r="E3" t="str">
        <f>"43947"</f>
        <v>43947</v>
      </c>
      <c r="F3" t="str">
        <f>"DOMAIN HOSTING"</f>
        <v>DOMAIN HOSTING</v>
      </c>
      <c r="G3" s="2">
        <v>44.75</v>
      </c>
      <c r="H3" t="str">
        <f>"DOMAIN HOSTING"</f>
        <v>DOMAIN HOSTING</v>
      </c>
    </row>
    <row r="4" spans="1:8" x14ac:dyDescent="0.25">
      <c r="A4" t="s">
        <v>9</v>
      </c>
      <c r="B4">
        <v>2353</v>
      </c>
      <c r="C4" s="3">
        <v>221.49</v>
      </c>
      <c r="D4" s="1">
        <v>43325</v>
      </c>
      <c r="E4" t="str">
        <f>"201808082851"</f>
        <v>201808082851</v>
      </c>
      <c r="F4" t="str">
        <f>"ACCT#100001-8659-708279001"</f>
        <v>ACCT#100001-8659-708279001</v>
      </c>
      <c r="G4" s="2">
        <v>221.49</v>
      </c>
      <c r="H4" t="str">
        <f>"ACCT#100001-8659-708279001"</f>
        <v>ACCT#100001-8659-708279001</v>
      </c>
    </row>
    <row r="5" spans="1:8" x14ac:dyDescent="0.25">
      <c r="A5" t="s">
        <v>10</v>
      </c>
      <c r="B5">
        <v>2349</v>
      </c>
      <c r="C5" s="3">
        <v>214</v>
      </c>
      <c r="D5" s="1">
        <v>43325</v>
      </c>
      <c r="E5" t="str">
        <f>"11992  &amp; 12111"</f>
        <v>11992  &amp; 12111</v>
      </c>
      <c r="F5" t="str">
        <f>"BUSINESS CARDS/TONER"</f>
        <v>BUSINESS CARDS/TONER</v>
      </c>
      <c r="G5" s="2">
        <v>214</v>
      </c>
      <c r="H5" t="str">
        <f>"BUSINESS CARDS/TONER"</f>
        <v>BUSINESS CARDS/TONER</v>
      </c>
    </row>
    <row r="6" spans="1:8" x14ac:dyDescent="0.25">
      <c r="A6" t="s">
        <v>11</v>
      </c>
      <c r="B6">
        <v>2350</v>
      </c>
      <c r="C6" s="3">
        <v>7.5</v>
      </c>
      <c r="D6" s="1">
        <v>43325</v>
      </c>
      <c r="E6" t="str">
        <f>"1262220"</f>
        <v>1262220</v>
      </c>
      <c r="F6" t="str">
        <f>"2016 FORD REGISTRATION"</f>
        <v>2016 FORD REGISTRATION</v>
      </c>
      <c r="G6" s="2">
        <v>7.5</v>
      </c>
      <c r="H6" t="str">
        <f>"2016 FORD REGISTRATION"</f>
        <v>2016 FORD REGISTRATION</v>
      </c>
    </row>
    <row r="7" spans="1:8" x14ac:dyDescent="0.25">
      <c r="A7" t="s">
        <v>12</v>
      </c>
      <c r="B7">
        <v>2351</v>
      </c>
      <c r="C7" s="3">
        <v>29.42</v>
      </c>
      <c r="D7" s="1">
        <v>43325</v>
      </c>
      <c r="E7" t="str">
        <f>"120073"</f>
        <v>120073</v>
      </c>
      <c r="F7" t="str">
        <f>"VEHICLE FUEL"</f>
        <v>VEHICLE FUEL</v>
      </c>
      <c r="G7" s="2">
        <v>29.42</v>
      </c>
      <c r="H7" t="str">
        <f>"VEHICLE FUEL"</f>
        <v>VEHICLE FUEL</v>
      </c>
    </row>
    <row r="8" spans="1:8" x14ac:dyDescent="0.25">
      <c r="A8" t="s">
        <v>13</v>
      </c>
      <c r="B8">
        <v>2352</v>
      </c>
      <c r="C8" s="3">
        <v>31.12</v>
      </c>
      <c r="D8" s="1">
        <v>43325</v>
      </c>
      <c r="E8" t="str">
        <f>"1446931364"</f>
        <v>1446931364</v>
      </c>
      <c r="F8" t="str">
        <f>"ACCT#36550462/PHONE SVC"</f>
        <v>ACCT#36550462/PHONE SVC</v>
      </c>
      <c r="G8" s="2">
        <v>31.12</v>
      </c>
      <c r="H8" t="str">
        <f>"ACCT#36550462/PHONE SVC"</f>
        <v>ACCT#36550462/PHONE SVC</v>
      </c>
    </row>
    <row r="9" spans="1:8" x14ac:dyDescent="0.25">
      <c r="A9" t="s">
        <v>14</v>
      </c>
      <c r="B9">
        <v>2369</v>
      </c>
      <c r="C9" s="3">
        <v>210.73</v>
      </c>
      <c r="D9" s="1">
        <v>43339</v>
      </c>
      <c r="E9" t="str">
        <f>"65155376808"</f>
        <v>65155376808</v>
      </c>
      <c r="F9" t="str">
        <f>"ACCT#065155376/VEHICLE FUEL"</f>
        <v>ACCT#065155376/VEHICLE FUEL</v>
      </c>
      <c r="G9" s="2">
        <v>210.73</v>
      </c>
      <c r="H9" t="str">
        <f>"ACCT#065155376/VEHICLE FUEL"</f>
        <v>ACCT#065155376/VEHICLE FUEL</v>
      </c>
    </row>
    <row r="10" spans="1:8" x14ac:dyDescent="0.25">
      <c r="E10" t="str">
        <f>""</f>
        <v/>
      </c>
      <c r="F10" t="str">
        <f>""</f>
        <v/>
      </c>
      <c r="H10" t="str">
        <f>"ACCT#065155376/VEHICLE FUEL"</f>
        <v>ACCT#065155376/VEHICLE FUEL</v>
      </c>
    </row>
    <row r="11" spans="1:8" x14ac:dyDescent="0.25">
      <c r="E11" t="str">
        <f>""</f>
        <v/>
      </c>
      <c r="F11" t="str">
        <f>""</f>
        <v/>
      </c>
      <c r="H11" t="str">
        <f>"ACCT#065155376/VEHICLE FUEL"</f>
        <v>ACCT#065155376/VEHICLE FUEL</v>
      </c>
    </row>
    <row r="12" spans="1:8" x14ac:dyDescent="0.25">
      <c r="A12" t="s">
        <v>15</v>
      </c>
      <c r="B12">
        <v>2354</v>
      </c>
      <c r="C12" s="3">
        <v>113.62</v>
      </c>
      <c r="D12" s="1">
        <v>43325</v>
      </c>
      <c r="E12" t="str">
        <f>"201808082852"</f>
        <v>201808082852</v>
      </c>
      <c r="F12" t="str">
        <f>"INTERLOCK SYMPOSIUM"</f>
        <v>INTERLOCK SYMPOSIUM</v>
      </c>
      <c r="G12" s="2">
        <v>113.62</v>
      </c>
      <c r="H12" t="str">
        <f>"INTERLOCK SYMPOSIUM"</f>
        <v>INTERLOCK SYMPOSIUM</v>
      </c>
    </row>
    <row r="13" spans="1:8" x14ac:dyDescent="0.25">
      <c r="A13" t="s">
        <v>16</v>
      </c>
      <c r="B13">
        <v>2355</v>
      </c>
      <c r="C13" s="3">
        <v>102</v>
      </c>
      <c r="D13" s="1">
        <v>43325</v>
      </c>
      <c r="E13" t="str">
        <f>"12431"</f>
        <v>12431</v>
      </c>
      <c r="F13" t="str">
        <f>"TIRE/CSR EQUIP"</f>
        <v>TIRE/CSR EQUIP</v>
      </c>
      <c r="G13" s="2">
        <v>102</v>
      </c>
      <c r="H13" t="str">
        <f>"TIRE/CSR EQUIP"</f>
        <v>TIRE/CSR EQUIP</v>
      </c>
    </row>
    <row r="14" spans="1:8" x14ac:dyDescent="0.25">
      <c r="A14" t="s">
        <v>17</v>
      </c>
      <c r="B14">
        <v>2356</v>
      </c>
      <c r="C14" s="3">
        <v>15106.75</v>
      </c>
      <c r="D14" s="1">
        <v>43325</v>
      </c>
      <c r="E14" t="str">
        <f>"201808082853"</f>
        <v>201808082853</v>
      </c>
      <c r="F14" t="str">
        <f>"2019 EQUINOX"</f>
        <v>2019 EQUINOX</v>
      </c>
      <c r="G14" s="2">
        <v>15106.75</v>
      </c>
      <c r="H14" t="str">
        <f>"2019 EQUINOX"</f>
        <v>2019 EQUINOX</v>
      </c>
    </row>
    <row r="15" spans="1:8" x14ac:dyDescent="0.25">
      <c r="A15" t="s">
        <v>18</v>
      </c>
      <c r="B15">
        <v>2370</v>
      </c>
      <c r="C15" s="3">
        <v>50</v>
      </c>
      <c r="D15" s="1">
        <v>43339</v>
      </c>
      <c r="E15" t="str">
        <f>"1223984-20180731"</f>
        <v>1223984-20180731</v>
      </c>
      <c r="F15" t="str">
        <f>"BILLING ID:1223984/CSCD"</f>
        <v>BILLING ID:1223984/CSCD</v>
      </c>
      <c r="G15" s="2">
        <v>50</v>
      </c>
      <c r="H15" t="str">
        <f>"BILLING ID:1223984/CSCD"</f>
        <v>BILLING ID:1223984/CSCD</v>
      </c>
    </row>
    <row r="16" spans="1:8" x14ac:dyDescent="0.25">
      <c r="A16" t="s">
        <v>19</v>
      </c>
      <c r="B16">
        <v>2371</v>
      </c>
      <c r="C16" s="3">
        <v>61</v>
      </c>
      <c r="D16" s="1">
        <v>43339</v>
      </c>
      <c r="E16" t="str">
        <f>"97494072"</f>
        <v>97494072</v>
      </c>
      <c r="F16" t="str">
        <f>"CLIENT:2972/LEGAL SERVICE"</f>
        <v>CLIENT:2972/LEGAL SERVICE</v>
      </c>
      <c r="G16" s="2">
        <v>61</v>
      </c>
      <c r="H16" t="str">
        <f>"CLIENT:2972/LEGAL SERVICE"</f>
        <v>CLIENT:2972/LEGAL SERVICE</v>
      </c>
    </row>
    <row r="17" spans="1:8" x14ac:dyDescent="0.25">
      <c r="A17" t="s">
        <v>20</v>
      </c>
      <c r="B17">
        <v>2357</v>
      </c>
      <c r="C17" s="3">
        <v>540.58000000000004</v>
      </c>
      <c r="D17" s="1">
        <v>43325</v>
      </c>
      <c r="E17" t="str">
        <f>"165231155001"</f>
        <v>165231155001</v>
      </c>
      <c r="F17" t="str">
        <f>"ACCT#60805099/BILL ID:3755073"</f>
        <v>ACCT#60805099/BILL ID:3755073</v>
      </c>
      <c r="G17" s="2">
        <v>105.38</v>
      </c>
      <c r="H17" t="str">
        <f>"ACCT#60805099/BILL ID:3755073"</f>
        <v>ACCT#60805099/BILL ID:3755073</v>
      </c>
    </row>
    <row r="18" spans="1:8" x14ac:dyDescent="0.25">
      <c r="E18" t="str">
        <f>"174436027001"</f>
        <v>174436027001</v>
      </c>
      <c r="F18" t="str">
        <f>"ACCT#60805099/BILL ID:3755073"</f>
        <v>ACCT#60805099/BILL ID:3755073</v>
      </c>
      <c r="G18" s="2">
        <v>131.96</v>
      </c>
      <c r="H18" t="str">
        <f>"ACCT#60805099/BILL ID:3755073"</f>
        <v>ACCT#60805099/BILL ID:3755073</v>
      </c>
    </row>
    <row r="19" spans="1:8" x14ac:dyDescent="0.25">
      <c r="E19" t="str">
        <f>"174499853001"</f>
        <v>174499853001</v>
      </c>
      <c r="F19" t="str">
        <f>"ACCT#60805099/BILL ID:3755073"</f>
        <v>ACCT#60805099/BILL ID:3755073</v>
      </c>
      <c r="G19" s="2">
        <v>49.78</v>
      </c>
      <c r="H19" t="str">
        <f>"ACCT#60805099/BILL ID:3755073"</f>
        <v>ACCT#60805099/BILL ID:3755073</v>
      </c>
    </row>
    <row r="20" spans="1:8" x14ac:dyDescent="0.25">
      <c r="E20" t="str">
        <f>"174784493001"</f>
        <v>174784493001</v>
      </c>
      <c r="F20" t="str">
        <f>"ACCT#60805099/BILL ID:3755073"</f>
        <v>ACCT#60805099/BILL ID:3755073</v>
      </c>
      <c r="G20" s="2">
        <v>253.46</v>
      </c>
      <c r="H20" t="str">
        <f>"ACCT#60805099/BILL ID:3755073"</f>
        <v>ACCT#60805099/BILL ID:3755073</v>
      </c>
    </row>
    <row r="21" spans="1:8" x14ac:dyDescent="0.25">
      <c r="A21" t="s">
        <v>20</v>
      </c>
      <c r="B21">
        <v>2372</v>
      </c>
      <c r="C21" s="3">
        <v>450.97</v>
      </c>
      <c r="D21" s="1">
        <v>43339</v>
      </c>
      <c r="E21" t="str">
        <f>"176898794001"</f>
        <v>176898794001</v>
      </c>
      <c r="F21" t="str">
        <f>"ACCT#60805099/ORD#176898794001"</f>
        <v>ACCT#60805099/ORD#176898794001</v>
      </c>
      <c r="G21" s="2">
        <v>89.97</v>
      </c>
      <c r="H21" t="str">
        <f>"OFFICE DEPOT  INC"</f>
        <v>OFFICE DEPOT  INC</v>
      </c>
    </row>
    <row r="22" spans="1:8" x14ac:dyDescent="0.25">
      <c r="E22" t="str">
        <f>"176904063001"</f>
        <v>176904063001</v>
      </c>
      <c r="F22" t="str">
        <f>"ACCT#60805099/ORD#176904063001"</f>
        <v>ACCT#60805099/ORD#176904063001</v>
      </c>
      <c r="G22" s="2">
        <v>87.02</v>
      </c>
      <c r="H22" t="str">
        <f>"ACCT#60805099/ORD#176904063001"</f>
        <v>ACCT#60805099/ORD#176904063001</v>
      </c>
    </row>
    <row r="23" spans="1:8" x14ac:dyDescent="0.25">
      <c r="E23" t="str">
        <f>"176920642001"</f>
        <v>176920642001</v>
      </c>
      <c r="F23" t="str">
        <f>"ACCT#60805099/ORD#176920642001"</f>
        <v>ACCT#60805099/ORD#176920642001</v>
      </c>
      <c r="G23" s="2">
        <v>136.99</v>
      </c>
      <c r="H23" t="str">
        <f>"ACCT#60805099/ORD#176920642001"</f>
        <v>ACCT#60805099/ORD#176920642001</v>
      </c>
    </row>
    <row r="24" spans="1:8" x14ac:dyDescent="0.25">
      <c r="E24" t="str">
        <f>"177065024001"</f>
        <v>177065024001</v>
      </c>
      <c r="F24" t="str">
        <f>"ACCT#60805099/ORD#177065024001"</f>
        <v>ACCT#60805099/ORD#177065024001</v>
      </c>
      <c r="G24" s="2">
        <v>136.99</v>
      </c>
      <c r="H24" t="str">
        <f>"ACCT#60805099/ORD#177065024001"</f>
        <v>ACCT#60805099/ORD#177065024001</v>
      </c>
    </row>
    <row r="25" spans="1:8" x14ac:dyDescent="0.25">
      <c r="A25" t="s">
        <v>21</v>
      </c>
      <c r="B25">
        <v>2358</v>
      </c>
      <c r="C25" s="3">
        <v>287</v>
      </c>
      <c r="D25" s="1">
        <v>43325</v>
      </c>
      <c r="E25" t="str">
        <f>"82960"</f>
        <v>82960</v>
      </c>
      <c r="F25" t="str">
        <f>"CLIENT ID:21254/U/A CONFIRM"</f>
        <v>CLIENT ID:21254/U/A CONFIRM</v>
      </c>
      <c r="G25" s="2">
        <v>146</v>
      </c>
      <c r="H25" t="str">
        <f>"CLIENT ID:21254/U/A CONFIRM"</f>
        <v>CLIENT ID:21254/U/A CONFIRM</v>
      </c>
    </row>
    <row r="26" spans="1:8" x14ac:dyDescent="0.25">
      <c r="E26" t="str">
        <f>"82961"</f>
        <v>82961</v>
      </c>
      <c r="F26" t="str">
        <f>"CLIENT ID:21263/U/A CONFIRM"</f>
        <v>CLIENT ID:21263/U/A CONFIRM</v>
      </c>
      <c r="G26" s="2">
        <v>129</v>
      </c>
      <c r="H26" t="str">
        <f>"CLIENT ID:21263/U/A CONFIRM"</f>
        <v>CLIENT ID:21263/U/A CONFIRM</v>
      </c>
    </row>
    <row r="27" spans="1:8" x14ac:dyDescent="0.25">
      <c r="E27" t="str">
        <f>"82963"</f>
        <v>82963</v>
      </c>
      <c r="F27" t="str">
        <f>"CLIENT ID:21287/U/A CONFIRM"</f>
        <v>CLIENT ID:21287/U/A CONFIRM</v>
      </c>
      <c r="G27" s="2">
        <v>12</v>
      </c>
      <c r="H27" t="str">
        <f>"CLIENT ID:21287/U/A CONFIRM"</f>
        <v>CLIENT ID:21287/U/A CONFIRM</v>
      </c>
    </row>
    <row r="28" spans="1:8" x14ac:dyDescent="0.25">
      <c r="A28" t="s">
        <v>22</v>
      </c>
      <c r="B28">
        <v>2359</v>
      </c>
      <c r="C28" s="3">
        <v>346</v>
      </c>
      <c r="D28" s="1">
        <v>43325</v>
      </c>
      <c r="E28" t="str">
        <f>"100880137"</f>
        <v>100880137</v>
      </c>
      <c r="F28" t="str">
        <f>"ACCT#969045-1009520A9/WASHINGT"</f>
        <v>ACCT#969045-1009520A9/WASHINGT</v>
      </c>
      <c r="G28" s="2">
        <v>178</v>
      </c>
      <c r="H28" t="str">
        <f>"ACCT#969045-1009520A9/WASHINGT"</f>
        <v>ACCT#969045-1009520A9/WASHINGT</v>
      </c>
    </row>
    <row r="29" spans="1:8" x14ac:dyDescent="0.25">
      <c r="E29" t="str">
        <f>"100882676"</f>
        <v>100882676</v>
      </c>
      <c r="F29" t="str">
        <f>"ACCT#1581891-1029681ML BURLESO"</f>
        <v>ACCT#1581891-1029681ML BURLESO</v>
      </c>
      <c r="G29" s="2">
        <v>168</v>
      </c>
      <c r="H29" t="str">
        <f>"ACCT#1581891-1029681ML BURLESO"</f>
        <v>ACCT#1581891-1029681ML BURLESO</v>
      </c>
    </row>
    <row r="30" spans="1:8" x14ac:dyDescent="0.25">
      <c r="A30" t="s">
        <v>23</v>
      </c>
      <c r="B30">
        <v>999999</v>
      </c>
      <c r="C30" s="3">
        <v>8.2200000000000006</v>
      </c>
      <c r="D30" s="1">
        <v>43326</v>
      </c>
      <c r="E30" t="str">
        <f>"170096"</f>
        <v>170096</v>
      </c>
      <c r="F30" t="str">
        <f>"ACCT#PROBAT/DIESEL"</f>
        <v>ACCT#PROBAT/DIESEL</v>
      </c>
      <c r="G30" s="2">
        <v>8.2200000000000006</v>
      </c>
      <c r="H30" t="str">
        <f>"ACCT#PROBAT/DIESEL"</f>
        <v>ACCT#PROBAT/DIESEL</v>
      </c>
    </row>
    <row r="31" spans="1:8" x14ac:dyDescent="0.25">
      <c r="A31" t="s">
        <v>24</v>
      </c>
      <c r="B31">
        <v>2360</v>
      </c>
      <c r="C31" s="3">
        <v>1090.3800000000001</v>
      </c>
      <c r="D31" s="1">
        <v>43325</v>
      </c>
      <c r="E31" t="str">
        <f>"201808082854"</f>
        <v>201808082854</v>
      </c>
      <c r="F31" t="str">
        <f>"HOTEL/PER DIEM"</f>
        <v>HOTEL/PER DIEM</v>
      </c>
      <c r="G31" s="2">
        <v>1090.3800000000001</v>
      </c>
      <c r="H31" t="str">
        <f>"HOTEL/PER DIEM"</f>
        <v>HOTEL/PER DIEM</v>
      </c>
    </row>
    <row r="32" spans="1:8" x14ac:dyDescent="0.25">
      <c r="A32" t="s">
        <v>25</v>
      </c>
      <c r="B32">
        <v>2361</v>
      </c>
      <c r="C32" s="3">
        <v>295</v>
      </c>
      <c r="D32" s="1">
        <v>43325</v>
      </c>
      <c r="E32" t="str">
        <f>"11206"</f>
        <v>11206</v>
      </c>
      <c r="F32" t="str">
        <f>"UA SUPPLIES-BASIC"</f>
        <v>UA SUPPLIES-BASIC</v>
      </c>
      <c r="G32" s="2">
        <v>295</v>
      </c>
      <c r="H32" t="str">
        <f>"UA SUPPLIES-BASIC"</f>
        <v>UA SUPPLIES-BASIC</v>
      </c>
    </row>
    <row r="33" spans="1:8" x14ac:dyDescent="0.25">
      <c r="A33" t="s">
        <v>25</v>
      </c>
      <c r="B33">
        <v>2373</v>
      </c>
      <c r="C33" s="3">
        <v>295</v>
      </c>
      <c r="D33" s="1">
        <v>43339</v>
      </c>
      <c r="E33" t="str">
        <f>"11276"</f>
        <v>11276</v>
      </c>
      <c r="F33" t="str">
        <f>"U/A SUPPLIES"</f>
        <v>U/A SUPPLIES</v>
      </c>
      <c r="G33" s="2">
        <v>295</v>
      </c>
      <c r="H33" t="str">
        <f>"U/A SUPPLIES"</f>
        <v>U/A SUPPLIES</v>
      </c>
    </row>
    <row r="34" spans="1:8" x14ac:dyDescent="0.25">
      <c r="A34" t="s">
        <v>26</v>
      </c>
      <c r="B34">
        <v>2362</v>
      </c>
      <c r="C34" s="3">
        <v>407.13</v>
      </c>
      <c r="D34" s="1">
        <v>43325</v>
      </c>
      <c r="E34" t="str">
        <f>"0047972071918"</f>
        <v>0047972071918</v>
      </c>
      <c r="F34" t="str">
        <f>"INTERNET/FAX/ACCT#826016111004"</f>
        <v>INTERNET/FAX/ACCT#826016111004</v>
      </c>
      <c r="G34" s="2">
        <v>407.13</v>
      </c>
      <c r="H34" t="str">
        <f>"INTERNET/FAX/ACCT#826016111004"</f>
        <v>INTERNET/FAX/ACCT#826016111004</v>
      </c>
    </row>
    <row r="35" spans="1:8" x14ac:dyDescent="0.25">
      <c r="A35" t="s">
        <v>27</v>
      </c>
      <c r="B35">
        <v>2363</v>
      </c>
      <c r="C35" s="3">
        <v>3840</v>
      </c>
      <c r="D35" s="1">
        <v>43325</v>
      </c>
      <c r="E35" t="str">
        <f>"201808082855"</f>
        <v>201808082855</v>
      </c>
      <c r="F35" t="str">
        <f>"IOPT SVC-JULY"</f>
        <v>IOPT SVC-JULY</v>
      </c>
      <c r="G35" s="2">
        <v>3840</v>
      </c>
      <c r="H35" t="str">
        <f>"IOPT SVC-JULY"</f>
        <v>IOPT SVC-JULY</v>
      </c>
    </row>
    <row r="36" spans="1:8" x14ac:dyDescent="0.25">
      <c r="E36" t="str">
        <f>""</f>
        <v/>
      </c>
      <c r="F36" t="str">
        <f>""</f>
        <v/>
      </c>
      <c r="H36" t="str">
        <f>"IOPT SVC-JULY"</f>
        <v>IOPT SVC-JULY</v>
      </c>
    </row>
    <row r="37" spans="1:8" x14ac:dyDescent="0.25">
      <c r="A37" t="s">
        <v>28</v>
      </c>
      <c r="B37">
        <v>2364</v>
      </c>
      <c r="C37" s="3">
        <v>200</v>
      </c>
      <c r="D37" s="1">
        <v>43325</v>
      </c>
      <c r="E37" t="str">
        <f>"201808082858"</f>
        <v>201808082858</v>
      </c>
      <c r="F37" t="str">
        <f>"DWIE #108 RENEW/TDLR FILE#96"</f>
        <v>DWIE #108 RENEW/TDLR FILE#96</v>
      </c>
      <c r="G37" s="2">
        <v>200</v>
      </c>
      <c r="H37" t="str">
        <f>"DWIE #108 RENEW/TDLR FILE#96"</f>
        <v>DWIE #108 RENEW/TDLR FILE#96</v>
      </c>
    </row>
    <row r="38" spans="1:8" x14ac:dyDescent="0.25">
      <c r="A38" t="s">
        <v>29</v>
      </c>
      <c r="B38">
        <v>2365</v>
      </c>
      <c r="C38" s="3">
        <v>174.14</v>
      </c>
      <c r="D38" s="1">
        <v>43325</v>
      </c>
      <c r="E38" t="str">
        <f>"201808082856"</f>
        <v>201808082856</v>
      </c>
      <c r="F38" t="str">
        <f>"PER DIEM-SEX OFF PROG"</f>
        <v>PER DIEM-SEX OFF PROG</v>
      </c>
      <c r="G38" s="2">
        <v>174.14</v>
      </c>
      <c r="H38" t="str">
        <f>"PER DIEM-SEX OFF PROG"</f>
        <v>PER DIEM-SEX OFF PROG</v>
      </c>
    </row>
    <row r="39" spans="1:8" x14ac:dyDescent="0.25">
      <c r="A39" t="s">
        <v>30</v>
      </c>
      <c r="B39">
        <v>0</v>
      </c>
      <c r="C39" s="3">
        <v>2103.2199999999998</v>
      </c>
      <c r="D39" s="1">
        <v>43339</v>
      </c>
      <c r="E39" t="str">
        <f>"201808223025"</f>
        <v>201808223025</v>
      </c>
      <c r="F39" t="str">
        <f>"ACCT#XXXX0132"</f>
        <v>ACCT#XXXX0132</v>
      </c>
      <c r="G39" s="2">
        <v>2103.2199999999998</v>
      </c>
      <c r="H39" t="str">
        <f>"ACCT#XXXX0132"</f>
        <v>ACCT#XXXX0132</v>
      </c>
    </row>
    <row r="40" spans="1:8" x14ac:dyDescent="0.25">
      <c r="E40" t="str">
        <f>""</f>
        <v/>
      </c>
      <c r="F40" t="str">
        <f>""</f>
        <v/>
      </c>
      <c r="H40" t="str">
        <f>"ACCT#XXXX0132"</f>
        <v>ACCT#XXXX0132</v>
      </c>
    </row>
    <row r="41" spans="1:8" x14ac:dyDescent="0.25">
      <c r="E41" t="str">
        <f>""</f>
        <v/>
      </c>
      <c r="F41" t="str">
        <f>""</f>
        <v/>
      </c>
      <c r="H41" t="str">
        <f>"ACCT#XXXX0132"</f>
        <v>ACCT#XXXX0132</v>
      </c>
    </row>
    <row r="42" spans="1:8" x14ac:dyDescent="0.25">
      <c r="E42" t="str">
        <f>""</f>
        <v/>
      </c>
      <c r="F42" t="str">
        <f>""</f>
        <v/>
      </c>
      <c r="H42" t="str">
        <f>"ACCT#XXXX0132"</f>
        <v>ACCT#XXXX0132</v>
      </c>
    </row>
    <row r="43" spans="1:8" x14ac:dyDescent="0.25">
      <c r="E43" t="str">
        <f>""</f>
        <v/>
      </c>
      <c r="F43" t="str">
        <f>""</f>
        <v/>
      </c>
      <c r="H43" t="str">
        <f>"ACCT#XXXX0132"</f>
        <v>ACCT#XXXX0132</v>
      </c>
    </row>
    <row r="44" spans="1:8" x14ac:dyDescent="0.25">
      <c r="A44" t="s">
        <v>31</v>
      </c>
      <c r="B44">
        <v>2366</v>
      </c>
      <c r="C44" s="3">
        <v>149.03</v>
      </c>
      <c r="D44" s="1">
        <v>43325</v>
      </c>
      <c r="E44" t="str">
        <f>"201808082857"</f>
        <v>201808082857</v>
      </c>
      <c r="F44" t="str">
        <f>"HOTEL/MILEAGE/PER DIEM"</f>
        <v>HOTEL/MILEAGE/PER DIEM</v>
      </c>
      <c r="G44" s="2">
        <v>149.03</v>
      </c>
      <c r="H44" t="str">
        <f>"HOTEL/MILEAGE/PER DIEM"</f>
        <v>HOTEL/MILEAGE/PER DIEM</v>
      </c>
    </row>
    <row r="45" spans="1:8" x14ac:dyDescent="0.25">
      <c r="A45" t="s">
        <v>31</v>
      </c>
      <c r="B45">
        <v>2374</v>
      </c>
      <c r="C45" s="3">
        <v>100.28</v>
      </c>
      <c r="D45" s="1">
        <v>43339</v>
      </c>
      <c r="E45" t="str">
        <f>"201808223023"</f>
        <v>201808223023</v>
      </c>
      <c r="F45" t="str">
        <f>"TRAS TRAINING"</f>
        <v>TRAS TRAINING</v>
      </c>
      <c r="G45" s="2">
        <v>100.28</v>
      </c>
      <c r="H45" t="str">
        <f>"TRAS TRAINING"</f>
        <v>TRAS TRAINING</v>
      </c>
    </row>
    <row r="46" spans="1:8" x14ac:dyDescent="0.25">
      <c r="A46" t="s">
        <v>32</v>
      </c>
      <c r="B46">
        <v>2367</v>
      </c>
      <c r="C46" s="3">
        <v>195</v>
      </c>
      <c r="D46" s="1">
        <v>43325</v>
      </c>
      <c r="E46" t="str">
        <f>"23072464"</f>
        <v>23072464</v>
      </c>
      <c r="F46" t="str">
        <f>"AGREEMENT#012-1173727-000"</f>
        <v>AGREEMENT#012-1173727-000</v>
      </c>
      <c r="G46" s="2">
        <v>195</v>
      </c>
      <c r="H46" t="str">
        <f>"AGREEMENT#012-1173727-000"</f>
        <v>AGREEMENT#012-1173727-000</v>
      </c>
    </row>
    <row r="47" spans="1:8" x14ac:dyDescent="0.25">
      <c r="A47" t="s">
        <v>33</v>
      </c>
      <c r="B47">
        <v>2375</v>
      </c>
      <c r="C47" s="3">
        <v>42.76</v>
      </c>
      <c r="D47" s="1">
        <v>43339</v>
      </c>
      <c r="E47" t="str">
        <f>"201808223024"</f>
        <v>201808223024</v>
      </c>
      <c r="F47" t="str">
        <f>"ACCT#6032202005314019/PROBATIO"</f>
        <v>ACCT#6032202005314019/PROBATIO</v>
      </c>
      <c r="G47" s="2">
        <v>42.76</v>
      </c>
      <c r="H47" t="str">
        <f>"ACCT#6032202005314019/PROBATIO"</f>
        <v>ACCT#6032202005314019/PROBATIO</v>
      </c>
    </row>
    <row r="48" spans="1:8" x14ac:dyDescent="0.25">
      <c r="A48" t="s">
        <v>34</v>
      </c>
      <c r="B48">
        <v>2368</v>
      </c>
      <c r="C48" s="3">
        <v>31</v>
      </c>
      <c r="D48" s="1">
        <v>43325</v>
      </c>
      <c r="E48" t="str">
        <f>"175311"</f>
        <v>175311</v>
      </c>
      <c r="F48" t="str">
        <f>"JOB#0332729/VINYL LETTERS"</f>
        <v>JOB#0332729/VINYL LETTERS</v>
      </c>
      <c r="G48" s="2">
        <v>31</v>
      </c>
    </row>
    <row r="49" spans="1:8" x14ac:dyDescent="0.25">
      <c r="A49" t="s">
        <v>35</v>
      </c>
      <c r="B49">
        <v>77893</v>
      </c>
      <c r="C49" s="3">
        <v>9000</v>
      </c>
      <c r="D49" s="1">
        <v>43318</v>
      </c>
      <c r="E49" t="str">
        <f>"18-1028"</f>
        <v>18-1028</v>
      </c>
      <c r="F49" t="str">
        <f>"RIDDEL RD / PCT #3"</f>
        <v>RIDDEL RD / PCT #3</v>
      </c>
      <c r="G49" s="2">
        <v>4200</v>
      </c>
      <c r="H49" t="str">
        <f>"RIDDEL RD / PCT #3"</f>
        <v>RIDDEL RD / PCT #3</v>
      </c>
    </row>
    <row r="50" spans="1:8" x14ac:dyDescent="0.25">
      <c r="E50" t="str">
        <f>"18-1029"</f>
        <v>18-1029</v>
      </c>
      <c r="F50" t="str">
        <f>"RIDDEL RD / PCT #3"</f>
        <v>RIDDEL RD / PCT #3</v>
      </c>
      <c r="G50" s="2">
        <v>4800</v>
      </c>
      <c r="H50" t="str">
        <f>"RIDDEL RD / PCT #3"</f>
        <v>RIDDEL RD / PCT #3</v>
      </c>
    </row>
    <row r="51" spans="1:8" x14ac:dyDescent="0.25">
      <c r="A51" t="s">
        <v>36</v>
      </c>
      <c r="B51">
        <v>999999</v>
      </c>
      <c r="C51" s="3">
        <v>884.75</v>
      </c>
      <c r="D51" s="1">
        <v>43340</v>
      </c>
      <c r="E51" t="str">
        <f>"16334815"</f>
        <v>16334815</v>
      </c>
      <c r="F51" t="str">
        <f>"Acct#4294699 Stickers"</f>
        <v>Acct#4294699 Stickers</v>
      </c>
      <c r="G51" s="2">
        <v>884.75</v>
      </c>
      <c r="H51" t="str">
        <f>"3550-FC"</f>
        <v>3550-FC</v>
      </c>
    </row>
    <row r="52" spans="1:8" x14ac:dyDescent="0.25">
      <c r="E52" t="str">
        <f>""</f>
        <v/>
      </c>
      <c r="F52" t="str">
        <f>""</f>
        <v/>
      </c>
      <c r="H52" t="str">
        <f>"Freight"</f>
        <v>Freight</v>
      </c>
    </row>
    <row r="53" spans="1:8" x14ac:dyDescent="0.25">
      <c r="A53" t="s">
        <v>37</v>
      </c>
      <c r="B53">
        <v>77902</v>
      </c>
      <c r="C53" s="3">
        <v>818.04</v>
      </c>
      <c r="D53" s="1">
        <v>43325</v>
      </c>
      <c r="E53" t="str">
        <f>"9725-001-101486"</f>
        <v>9725-001-101486</v>
      </c>
      <c r="F53" t="str">
        <f>"ACCT#9725-001/REC BASE/PCT#2"</f>
        <v>ACCT#9725-001/REC BASE/PCT#2</v>
      </c>
      <c r="G53" s="2">
        <v>618.79999999999995</v>
      </c>
      <c r="H53" t="str">
        <f>"ACCT#9725-001/REC BASE/PCT#2"</f>
        <v>ACCT#9725-001/REC BASE/PCT#2</v>
      </c>
    </row>
    <row r="54" spans="1:8" x14ac:dyDescent="0.25">
      <c r="E54" t="str">
        <f>"9725-001-101597"</f>
        <v>9725-001-101597</v>
      </c>
      <c r="F54" t="str">
        <f>"ACCT#9725-001/REC BASE/PCT#2"</f>
        <v>ACCT#9725-001/REC BASE/PCT#2</v>
      </c>
      <c r="G54" s="2">
        <v>199.24</v>
      </c>
      <c r="H54" t="str">
        <f>"ACCT#9725-001/REC BASE/PCT#2"</f>
        <v>ACCT#9725-001/REC BASE/PCT#2</v>
      </c>
    </row>
    <row r="55" spans="1:8" x14ac:dyDescent="0.25">
      <c r="A55" t="s">
        <v>38</v>
      </c>
      <c r="B55">
        <v>77903</v>
      </c>
      <c r="C55" s="3">
        <v>15</v>
      </c>
      <c r="D55" s="1">
        <v>43325</v>
      </c>
      <c r="E55" t="str">
        <f>"201807272409"</f>
        <v>201807272409</v>
      </c>
      <c r="F55" t="str">
        <f>"REFUND COUPON #20461"</f>
        <v>REFUND COUPON #20461</v>
      </c>
      <c r="G55" s="2">
        <v>15</v>
      </c>
      <c r="H55" t="str">
        <f>"REFUND COUPON #20461"</f>
        <v>REFUND COUPON #20461</v>
      </c>
    </row>
    <row r="56" spans="1:8" x14ac:dyDescent="0.25">
      <c r="A56" t="s">
        <v>39</v>
      </c>
      <c r="B56">
        <v>77904</v>
      </c>
      <c r="C56" s="3">
        <v>348.66</v>
      </c>
      <c r="D56" s="1">
        <v>43325</v>
      </c>
      <c r="E56" t="str">
        <f>"315016"</f>
        <v>315016</v>
      </c>
      <c r="F56" t="str">
        <f>"CUST ID:16500/PCT#4"</f>
        <v>CUST ID:16500/PCT#4</v>
      </c>
      <c r="G56" s="2">
        <v>348.66</v>
      </c>
      <c r="H56" t="str">
        <f>"CUST ID:16500/PCT#4"</f>
        <v>CUST ID:16500/PCT#4</v>
      </c>
    </row>
    <row r="57" spans="1:8" x14ac:dyDescent="0.25">
      <c r="A57" t="s">
        <v>40</v>
      </c>
      <c r="B57">
        <v>999999</v>
      </c>
      <c r="C57" s="3">
        <v>4367.9799999999996</v>
      </c>
      <c r="D57" s="1">
        <v>43326</v>
      </c>
      <c r="E57" t="str">
        <f>"201808062647"</f>
        <v>201808062647</v>
      </c>
      <c r="F57" t="str">
        <f>"HAULING EXPS 07/10 - 07/27/P1"</f>
        <v>HAULING EXPS 07/10 - 07/27/P1</v>
      </c>
      <c r="G57" s="2">
        <v>4367.9799999999996</v>
      </c>
      <c r="H57" t="str">
        <f>"HAULING EXPS 07/10 - 07/27/P1"</f>
        <v>HAULING EXPS 07/10 - 07/27/P1</v>
      </c>
    </row>
    <row r="58" spans="1:8" x14ac:dyDescent="0.25">
      <c r="A58" t="s">
        <v>40</v>
      </c>
      <c r="B58">
        <v>999999</v>
      </c>
      <c r="C58" s="3">
        <v>8137.31</v>
      </c>
      <c r="D58" s="1">
        <v>43340</v>
      </c>
      <c r="E58" t="str">
        <f>"201808212957"</f>
        <v>201808212957</v>
      </c>
      <c r="F58" t="str">
        <f>"HAULING EXPS 08/13-08/15/PCT#4"</f>
        <v>HAULING EXPS 08/13-08/15/PCT#4</v>
      </c>
      <c r="G58" s="2">
        <v>8137.31</v>
      </c>
      <c r="H58" t="str">
        <f>"HAULING EXPS 08/13-08/15/PCT#4"</f>
        <v>HAULING EXPS 08/13-08/15/PCT#4</v>
      </c>
    </row>
    <row r="59" spans="1:8" x14ac:dyDescent="0.25">
      <c r="A59" t="s">
        <v>41</v>
      </c>
      <c r="B59">
        <v>78244</v>
      </c>
      <c r="C59" s="3">
        <v>7497.5</v>
      </c>
      <c r="D59" s="1">
        <v>43339</v>
      </c>
      <c r="E59" t="str">
        <f>"201808212977"</f>
        <v>201808212977</v>
      </c>
      <c r="F59" t="str">
        <f>"16-17977  08/07/17-02/20/18"</f>
        <v>16-17977  08/07/17-02/20/18</v>
      </c>
      <c r="G59" s="2">
        <v>807.5</v>
      </c>
      <c r="H59" t="str">
        <f>"16-17977"</f>
        <v>16-17977</v>
      </c>
    </row>
    <row r="60" spans="1:8" x14ac:dyDescent="0.25">
      <c r="E60" t="str">
        <f>"201808212978"</f>
        <v>201808212978</v>
      </c>
      <c r="F60" t="str">
        <f>"16-18105  01/12/17-02/27/18"</f>
        <v>16-18105  01/12/17-02/27/18</v>
      </c>
      <c r="G60" s="2">
        <v>518.75</v>
      </c>
      <c r="H60" t="str">
        <f>"16-18105  01/12/17-02/27/18"</f>
        <v>16-18105  01/12/17-02/27/18</v>
      </c>
    </row>
    <row r="61" spans="1:8" x14ac:dyDescent="0.25">
      <c r="E61" t="str">
        <f>"201808212979"</f>
        <v>201808212979</v>
      </c>
      <c r="F61" t="str">
        <f>"16-18023  10/21/16-03/20/18"</f>
        <v>16-18023  10/21/16-03/20/18</v>
      </c>
      <c r="G61" s="2">
        <v>1560</v>
      </c>
      <c r="H61" t="str">
        <f>"16-18023  10/21/16-03/20/18"</f>
        <v>16-18023  10/21/16-03/20/18</v>
      </c>
    </row>
    <row r="62" spans="1:8" x14ac:dyDescent="0.25">
      <c r="E62" t="str">
        <f>"201808212980"</f>
        <v>201808212980</v>
      </c>
      <c r="F62" t="str">
        <f>"17-18564  09/13/17-07/03/18"</f>
        <v>17-18564  09/13/17-07/03/18</v>
      </c>
      <c r="G62" s="2">
        <v>1026.25</v>
      </c>
      <c r="H62" t="str">
        <f>"17-18564  09/13/17-07/03/18"</f>
        <v>17-18564  09/13/17-07/03/18</v>
      </c>
    </row>
    <row r="63" spans="1:8" x14ac:dyDescent="0.25">
      <c r="E63" t="str">
        <f>"201808212981"</f>
        <v>201808212981</v>
      </c>
      <c r="F63" t="str">
        <f>"17-18543  08/22/17-06/05/18"</f>
        <v>17-18543  08/22/17-06/05/18</v>
      </c>
      <c r="G63" s="2">
        <v>1687.5</v>
      </c>
      <c r="H63" t="str">
        <f>"17-18543  08/22/17-06/05/18"</f>
        <v>17-18543  08/22/17-06/05/18</v>
      </c>
    </row>
    <row r="64" spans="1:8" x14ac:dyDescent="0.25">
      <c r="E64" t="str">
        <f>"201808212982"</f>
        <v>201808212982</v>
      </c>
      <c r="F64" t="str">
        <f>"17-18578  10/05/17-02/27/18"</f>
        <v>17-18578  10/05/17-02/27/18</v>
      </c>
      <c r="G64" s="2">
        <v>432.5</v>
      </c>
      <c r="H64" t="str">
        <f>"17-18578  10/05/17-02/27/18"</f>
        <v>17-18578  10/05/17-02/27/18</v>
      </c>
    </row>
    <row r="65" spans="1:8" x14ac:dyDescent="0.25">
      <c r="E65" t="str">
        <f>"201808212983"</f>
        <v>201808212983</v>
      </c>
      <c r="F65" t="str">
        <f>"17-18317  04/26/17-06/26/18"</f>
        <v>17-18317  04/26/17-06/26/18</v>
      </c>
      <c r="G65" s="2">
        <v>572.5</v>
      </c>
      <c r="H65" t="str">
        <f>"17-18317  04/26/17-06/26/18"</f>
        <v>17-18317  04/26/17-06/26/18</v>
      </c>
    </row>
    <row r="66" spans="1:8" x14ac:dyDescent="0.25">
      <c r="E66" t="str">
        <f>"201808212984"</f>
        <v>201808212984</v>
      </c>
      <c r="F66" t="str">
        <f>"16-17713  02/27/17-02/20/18"</f>
        <v>16-17713  02/27/17-02/20/18</v>
      </c>
      <c r="G66" s="2">
        <v>892.5</v>
      </c>
      <c r="H66" t="str">
        <f>"16-17713  02/27/17-02/20/18"</f>
        <v>16-17713  02/27/17-02/20/18</v>
      </c>
    </row>
    <row r="67" spans="1:8" x14ac:dyDescent="0.25">
      <c r="A67" t="s">
        <v>42</v>
      </c>
      <c r="B67">
        <v>78245</v>
      </c>
      <c r="C67" s="3">
        <v>25.29</v>
      </c>
      <c r="D67" s="1">
        <v>43339</v>
      </c>
      <c r="E67" t="str">
        <f>"201808172948"</f>
        <v>201808172948</v>
      </c>
      <c r="F67" t="str">
        <f>"481-285Y WEEKLY PLANNER REFILL"</f>
        <v>481-285Y WEEKLY PLANNER REFILL</v>
      </c>
      <c r="G67" s="2">
        <v>25.29</v>
      </c>
      <c r="H67" t="str">
        <f>"481-285Y WEEKLY PLANNER REFILL"</f>
        <v>481-285Y WEEKLY PLANNER REFILL</v>
      </c>
    </row>
    <row r="68" spans="1:8" x14ac:dyDescent="0.25">
      <c r="A68" t="s">
        <v>43</v>
      </c>
      <c r="B68">
        <v>999999</v>
      </c>
      <c r="C68" s="3">
        <v>898.14</v>
      </c>
      <c r="D68" s="1">
        <v>43340</v>
      </c>
      <c r="E68" t="str">
        <f>"21954030"</f>
        <v>21954030</v>
      </c>
      <c r="F68" t="str">
        <f>"INV 21954030"</f>
        <v>INV 21954030</v>
      </c>
      <c r="G68" s="2">
        <v>898.14</v>
      </c>
      <c r="H68" t="str">
        <f>"INV 21954030"</f>
        <v>INV 21954030</v>
      </c>
    </row>
    <row r="69" spans="1:8" x14ac:dyDescent="0.25">
      <c r="A69" t="s">
        <v>44</v>
      </c>
      <c r="B69">
        <v>78246</v>
      </c>
      <c r="C69" s="3">
        <v>500</v>
      </c>
      <c r="D69" s="1">
        <v>43339</v>
      </c>
      <c r="E69" t="str">
        <f>"201808162932"</f>
        <v>201808162932</v>
      </c>
      <c r="F69" t="str">
        <f>"CASE#2016-06JP1-REFUND CASH BO"</f>
        <v>CASE#2016-06JP1-REFUND CASH BO</v>
      </c>
      <c r="G69" s="2">
        <v>500</v>
      </c>
      <c r="H69" t="str">
        <f>"CASE#2016-06JP1-REFUND CASH BO"</f>
        <v>CASE#2016-06JP1-REFUND CASH BO</v>
      </c>
    </row>
    <row r="70" spans="1:8" x14ac:dyDescent="0.25">
      <c r="A70" t="s">
        <v>45</v>
      </c>
      <c r="B70">
        <v>77905</v>
      </c>
      <c r="C70" s="3">
        <v>1652.5</v>
      </c>
      <c r="D70" s="1">
        <v>43325</v>
      </c>
      <c r="E70" t="str">
        <f>"201808082740"</f>
        <v>201808082740</v>
      </c>
      <c r="F70" t="str">
        <f>"14-16907"</f>
        <v>14-16907</v>
      </c>
      <c r="G70" s="2">
        <v>127.5</v>
      </c>
      <c r="H70" t="str">
        <f>"14-16907"</f>
        <v>14-16907</v>
      </c>
    </row>
    <row r="71" spans="1:8" x14ac:dyDescent="0.25">
      <c r="E71" t="str">
        <f>"201808082758"</f>
        <v>201808082758</v>
      </c>
      <c r="F71" t="str">
        <f>"18-19093"</f>
        <v>18-19093</v>
      </c>
      <c r="G71" s="2">
        <v>332.5</v>
      </c>
      <c r="H71" t="str">
        <f>"18-19093"</f>
        <v>18-19093</v>
      </c>
    </row>
    <row r="72" spans="1:8" x14ac:dyDescent="0.25">
      <c r="E72" t="str">
        <f>"201808082759"</f>
        <v>201808082759</v>
      </c>
      <c r="F72" t="str">
        <f>"18-19142"</f>
        <v>18-19142</v>
      </c>
      <c r="G72" s="2">
        <v>325</v>
      </c>
      <c r="H72" t="str">
        <f>"18-19142"</f>
        <v>18-19142</v>
      </c>
    </row>
    <row r="73" spans="1:8" x14ac:dyDescent="0.25">
      <c r="E73" t="str">
        <f>"201808082760"</f>
        <v>201808082760</v>
      </c>
      <c r="F73" t="str">
        <f>"18-18227"</f>
        <v>18-18227</v>
      </c>
      <c r="G73" s="2">
        <v>145</v>
      </c>
      <c r="H73" t="str">
        <f>"18-18227"</f>
        <v>18-18227</v>
      </c>
    </row>
    <row r="74" spans="1:8" x14ac:dyDescent="0.25">
      <c r="E74" t="str">
        <f>"201808082761"</f>
        <v>201808082761</v>
      </c>
      <c r="F74" t="str">
        <f>"18-19016"</f>
        <v>18-19016</v>
      </c>
      <c r="G74" s="2">
        <v>122.5</v>
      </c>
      <c r="H74" t="str">
        <f>"18-19016"</f>
        <v>18-19016</v>
      </c>
    </row>
    <row r="75" spans="1:8" x14ac:dyDescent="0.25">
      <c r="E75" t="str">
        <f>"201808082762"</f>
        <v>201808082762</v>
      </c>
      <c r="F75" t="str">
        <f>"17-18229"</f>
        <v>17-18229</v>
      </c>
      <c r="G75" s="2">
        <v>600</v>
      </c>
      <c r="H75" t="str">
        <f>"17-18229"</f>
        <v>17-18229</v>
      </c>
    </row>
    <row r="76" spans="1:8" x14ac:dyDescent="0.25">
      <c r="A76" t="s">
        <v>46</v>
      </c>
      <c r="B76">
        <v>999999</v>
      </c>
      <c r="C76" s="3">
        <v>176.6</v>
      </c>
      <c r="D76" s="1">
        <v>43326</v>
      </c>
      <c r="E76" t="str">
        <f>"201808062654"</f>
        <v>201808062654</v>
      </c>
      <c r="F76" t="str">
        <f>"REIMBURSE MAIL CHIMP/POSTAGE"</f>
        <v>REIMBURSE MAIL CHIMP/POSTAGE</v>
      </c>
      <c r="G76" s="2">
        <v>101.6</v>
      </c>
      <c r="H76" t="str">
        <f>"REIMBURSE MAIL CHIMP/POSTAGE"</f>
        <v>REIMBURSE MAIL CHIMP/POSTAGE</v>
      </c>
    </row>
    <row r="77" spans="1:8" x14ac:dyDescent="0.25">
      <c r="E77" t="str">
        <f>"201808062655"</f>
        <v>201808062655</v>
      </c>
      <c r="F77" t="str">
        <f>"PER DIEM"</f>
        <v>PER DIEM</v>
      </c>
      <c r="G77" s="2">
        <v>75</v>
      </c>
      <c r="H77" t="str">
        <f>"PER DIEM"</f>
        <v>PER DIEM</v>
      </c>
    </row>
    <row r="78" spans="1:8" x14ac:dyDescent="0.25">
      <c r="A78" t="s">
        <v>46</v>
      </c>
      <c r="B78">
        <v>999999</v>
      </c>
      <c r="C78" s="3">
        <v>756.67</v>
      </c>
      <c r="D78" s="1">
        <v>43340</v>
      </c>
      <c r="E78" t="str">
        <f>"201808172952"</f>
        <v>201808172952</v>
      </c>
      <c r="F78" t="str">
        <f>"REIMBURSE POSTAGE"</f>
        <v>REIMBURSE POSTAGE</v>
      </c>
      <c r="G78" s="2">
        <v>67.67</v>
      </c>
      <c r="H78" t="str">
        <f>"REIMBURSE POSTAGE"</f>
        <v>REIMBURSE POSTAGE</v>
      </c>
    </row>
    <row r="79" spans="1:8" x14ac:dyDescent="0.25">
      <c r="E79" t="str">
        <f>"201808223006"</f>
        <v>201808223006</v>
      </c>
      <c r="F79" t="str">
        <f>"MAIL CHIMP-AUGUST BILLING"</f>
        <v>MAIL CHIMP-AUGUST BILLING</v>
      </c>
      <c r="G79" s="2">
        <v>75</v>
      </c>
      <c r="H79" t="str">
        <f>"MAIL CHIMP-AUGUST BILLING"</f>
        <v>MAIL CHIMP-AUGUST BILLING</v>
      </c>
    </row>
    <row r="80" spans="1:8" x14ac:dyDescent="0.25">
      <c r="E80" t="str">
        <f>"201808223007"</f>
        <v>201808223007</v>
      </c>
      <c r="F80" t="str">
        <f>"LODGING-TACVB"</f>
        <v>LODGING-TACVB</v>
      </c>
      <c r="G80" s="2">
        <v>614</v>
      </c>
      <c r="H80" t="str">
        <f>"LODGING-TACVB"</f>
        <v>LODGING-TACVB</v>
      </c>
    </row>
    <row r="81" spans="1:8" x14ac:dyDescent="0.25">
      <c r="A81" t="s">
        <v>47</v>
      </c>
      <c r="B81">
        <v>77906</v>
      </c>
      <c r="C81" s="3">
        <v>1355.87</v>
      </c>
      <c r="D81" s="1">
        <v>43325</v>
      </c>
      <c r="E81" t="str">
        <f>"6249386"</f>
        <v>6249386</v>
      </c>
      <c r="F81" t="str">
        <f>"CUST#17295/ORD#5021599-S6/P3"</f>
        <v>CUST#17295/ORD#5021599-S6/P3</v>
      </c>
      <c r="G81" s="2">
        <v>548.30999999999995</v>
      </c>
      <c r="H81" t="str">
        <f>"CUST#17295/ORD#5021599-S6/P3"</f>
        <v>CUST#17295/ORD#5021599-S6/P3</v>
      </c>
    </row>
    <row r="82" spans="1:8" x14ac:dyDescent="0.25">
      <c r="E82" t="str">
        <f>"6279964"</f>
        <v>6279964</v>
      </c>
      <c r="F82" t="str">
        <f>"CUST#17295/PCT#3"</f>
        <v>CUST#17295/PCT#3</v>
      </c>
      <c r="G82" s="2">
        <v>235.61</v>
      </c>
      <c r="H82" t="str">
        <f>"CUST#17295/PCT#3"</f>
        <v>CUST#17295/PCT#3</v>
      </c>
    </row>
    <row r="83" spans="1:8" x14ac:dyDescent="0.25">
      <c r="E83" t="str">
        <f>"6284706"</f>
        <v>6284706</v>
      </c>
      <c r="F83" t="str">
        <f>"CUST#17295/ORD#5051969-S6/P4"</f>
        <v>CUST#17295/ORD#5051969-S6/P4</v>
      </c>
      <c r="G83" s="2">
        <v>571.95000000000005</v>
      </c>
      <c r="H83" t="str">
        <f>"CUST#17295/ORD#5051969-S6/P4"</f>
        <v>CUST#17295/ORD#5051969-S6/P4</v>
      </c>
    </row>
    <row r="84" spans="1:8" x14ac:dyDescent="0.25">
      <c r="A84" t="s">
        <v>48</v>
      </c>
      <c r="B84">
        <v>999999</v>
      </c>
      <c r="C84" s="3">
        <v>6860.89</v>
      </c>
      <c r="D84" s="1">
        <v>43340</v>
      </c>
      <c r="E84" t="str">
        <f>"31665939"</f>
        <v>31665939</v>
      </c>
      <c r="F84" t="str">
        <f>"CUST#39329/ORD#10672687/PCT#4"</f>
        <v>CUST#39329/ORD#10672687/PCT#4</v>
      </c>
      <c r="G84" s="2">
        <v>6860.89</v>
      </c>
      <c r="H84" t="str">
        <f>"CUST#39329/ORD#10672687/PCT#4"</f>
        <v>CUST#39329/ORD#10672687/PCT#4</v>
      </c>
    </row>
    <row r="85" spans="1:8" x14ac:dyDescent="0.25">
      <c r="A85" t="s">
        <v>49</v>
      </c>
      <c r="B85">
        <v>77907</v>
      </c>
      <c r="C85" s="3">
        <v>556.26</v>
      </c>
      <c r="D85" s="1">
        <v>43325</v>
      </c>
      <c r="E85" t="str">
        <f>"052418-01"</f>
        <v>052418-01</v>
      </c>
      <c r="F85" t="str">
        <f>"Replace glass at DPS"</f>
        <v>Replace glass at DPS</v>
      </c>
      <c r="G85" s="2">
        <v>556.26</v>
      </c>
      <c r="H85" t="str">
        <f>"materials"</f>
        <v>materials</v>
      </c>
    </row>
    <row r="86" spans="1:8" x14ac:dyDescent="0.25">
      <c r="E86" t="str">
        <f>""</f>
        <v/>
      </c>
      <c r="F86" t="str">
        <f>""</f>
        <v/>
      </c>
      <c r="H86" t="str">
        <f>"labor"</f>
        <v>labor</v>
      </c>
    </row>
    <row r="87" spans="1:8" x14ac:dyDescent="0.25">
      <c r="A87" t="s">
        <v>50</v>
      </c>
      <c r="B87">
        <v>77908</v>
      </c>
      <c r="C87" s="3">
        <v>668</v>
      </c>
      <c r="D87" s="1">
        <v>43325</v>
      </c>
      <c r="E87" t="str">
        <f>"31542"</f>
        <v>31542</v>
      </c>
      <c r="F87" t="str">
        <f>"RENTAL/SHILOH RD &amp; HWY 304"</f>
        <v>RENTAL/SHILOH RD &amp; HWY 304</v>
      </c>
      <c r="G87" s="2">
        <v>97</v>
      </c>
      <c r="H87" t="str">
        <f>"RENTAL/SHILOH RD &amp; HWY 304"</f>
        <v>RENTAL/SHILOH RD &amp; HWY 304</v>
      </c>
    </row>
    <row r="88" spans="1:8" x14ac:dyDescent="0.25">
      <c r="E88" t="str">
        <f>"31650"</f>
        <v>31650</v>
      </c>
      <c r="F88" t="str">
        <f>"RENTAL-COOL WATER DR/PCT#1"</f>
        <v>RENTAL-COOL WATER DR/PCT#1</v>
      </c>
      <c r="G88" s="2">
        <v>215</v>
      </c>
      <c r="H88" t="str">
        <f>"RENTAL-COOL WATER DR/PCT#1"</f>
        <v>RENTAL-COOL WATER DR/PCT#1</v>
      </c>
    </row>
    <row r="89" spans="1:8" x14ac:dyDescent="0.25">
      <c r="E89" t="str">
        <f>"31651"</f>
        <v>31651</v>
      </c>
      <c r="F89" t="str">
        <f>"RENTAL-RIVERSIDE DR"</f>
        <v>RENTAL-RIVERSIDE DR</v>
      </c>
      <c r="G89" s="2">
        <v>259</v>
      </c>
      <c r="H89" t="str">
        <f>"RENTAL-RIVERSIDE DR"</f>
        <v>RENTAL-RIVERSIDE DR</v>
      </c>
    </row>
    <row r="90" spans="1:8" x14ac:dyDescent="0.25">
      <c r="E90" t="str">
        <f>"31652"</f>
        <v>31652</v>
      </c>
      <c r="F90" t="str">
        <f>"RENTAL-589 COOL WATER"</f>
        <v>RENTAL-589 COOL WATER</v>
      </c>
      <c r="G90" s="2">
        <v>97</v>
      </c>
      <c r="H90" t="str">
        <f>"RENTAL-589 COOL WATER"</f>
        <v>RENTAL-589 COOL WATER</v>
      </c>
    </row>
    <row r="91" spans="1:8" x14ac:dyDescent="0.25">
      <c r="A91" t="s">
        <v>50</v>
      </c>
      <c r="B91">
        <v>78247</v>
      </c>
      <c r="C91" s="3">
        <v>97</v>
      </c>
      <c r="D91" s="1">
        <v>43339</v>
      </c>
      <c r="E91" t="str">
        <f>"32171"</f>
        <v>32171</v>
      </c>
      <c r="F91" t="str">
        <f>"RENTAL-SHILOH RD &amp; HWY 304"</f>
        <v>RENTAL-SHILOH RD &amp; HWY 304</v>
      </c>
      <c r="G91" s="2">
        <v>97</v>
      </c>
      <c r="H91" t="str">
        <f>"RENTAL-SHILOH RD &amp; HWY 304"</f>
        <v>RENTAL-SHILOH RD &amp; HWY 304</v>
      </c>
    </row>
    <row r="92" spans="1:8" x14ac:dyDescent="0.25">
      <c r="A92" t="s">
        <v>51</v>
      </c>
      <c r="B92">
        <v>999999</v>
      </c>
      <c r="C92" s="3">
        <v>1878.61</v>
      </c>
      <c r="D92" s="1">
        <v>43326</v>
      </c>
      <c r="E92" t="str">
        <f>"14FC-K71X-HC7J"</f>
        <v>14FC-K71X-HC7J</v>
      </c>
      <c r="F92" t="str">
        <f>"Card Scanner"</f>
        <v>Card Scanner</v>
      </c>
      <c r="G92" s="2">
        <v>139.94999999999999</v>
      </c>
      <c r="H92" t="str">
        <f>"Price"</f>
        <v>Price</v>
      </c>
    </row>
    <row r="93" spans="1:8" x14ac:dyDescent="0.25">
      <c r="E93" t="str">
        <f>"169W-V3H7-QHTF"</f>
        <v>169W-V3H7-QHTF</v>
      </c>
      <c r="F93" t="str">
        <f>"Desk Organizer"</f>
        <v>Desk Organizer</v>
      </c>
      <c r="G93" s="2">
        <v>173.02</v>
      </c>
      <c r="H93" t="str">
        <f>"Desk Organizer"</f>
        <v>Desk Organizer</v>
      </c>
    </row>
    <row r="94" spans="1:8" x14ac:dyDescent="0.25">
      <c r="E94" t="str">
        <f>"17WV-DQGN-RXCM"</f>
        <v>17WV-DQGN-RXCM</v>
      </c>
      <c r="F94" t="str">
        <f>"Battery Bank and Battery"</f>
        <v>Battery Bank and Battery</v>
      </c>
      <c r="G94" s="2">
        <v>170.73</v>
      </c>
      <c r="H94" t="str">
        <f>"Tenergy TN160 12-Bay"</f>
        <v>Tenergy TN160 12-Bay</v>
      </c>
    </row>
    <row r="95" spans="1:8" x14ac:dyDescent="0.25">
      <c r="E95" t="str">
        <f>""</f>
        <v/>
      </c>
      <c r="F95" t="str">
        <f>""</f>
        <v/>
      </c>
      <c r="H95" t="str">
        <f>"Tenergy Centura AA N"</f>
        <v>Tenergy Centura AA N</v>
      </c>
    </row>
    <row r="96" spans="1:8" x14ac:dyDescent="0.25">
      <c r="E96" t="str">
        <f>"1DWR-4HVL-HVWW"</f>
        <v>1DWR-4HVL-HVWW</v>
      </c>
      <c r="F96" t="str">
        <f>"Order for COP/Abel"</f>
        <v>Order for COP/Abel</v>
      </c>
      <c r="G96" s="2">
        <v>105.4</v>
      </c>
      <c r="H96" t="str">
        <f>"Sabrent 4-Port USB 3"</f>
        <v>Sabrent 4-Port USB 3</v>
      </c>
    </row>
    <row r="97" spans="1:8" x14ac:dyDescent="0.25">
      <c r="E97" t="str">
        <f>""</f>
        <v/>
      </c>
      <c r="F97" t="str">
        <f>""</f>
        <v/>
      </c>
      <c r="H97" t="str">
        <f>"Mini DisplayPort to"</f>
        <v>Mini DisplayPort to</v>
      </c>
    </row>
    <row r="98" spans="1:8" x14ac:dyDescent="0.25">
      <c r="E98" t="str">
        <f>""</f>
        <v/>
      </c>
      <c r="F98" t="str">
        <f>""</f>
        <v/>
      </c>
      <c r="H98" t="str">
        <f>"Canon KC-36IP Color"</f>
        <v>Canon KC-36IP Color</v>
      </c>
    </row>
    <row r="99" spans="1:8" x14ac:dyDescent="0.25">
      <c r="E99" t="str">
        <f>""</f>
        <v/>
      </c>
      <c r="F99" t="str">
        <f>""</f>
        <v/>
      </c>
      <c r="H99" t="str">
        <f>"21 Minute Silver Min"</f>
        <v>21 Minute Silver Min</v>
      </c>
    </row>
    <row r="100" spans="1:8" x14ac:dyDescent="0.25">
      <c r="E100" t="str">
        <f>"1FXX-RGQC-7MRT"</f>
        <v>1FXX-RGQC-7MRT</v>
      </c>
      <c r="F100" t="str">
        <f>"Brooms"</f>
        <v>Brooms</v>
      </c>
      <c r="G100" s="2">
        <v>241.05</v>
      </c>
      <c r="H100" t="str">
        <f>"Brooms head"</f>
        <v>Brooms head</v>
      </c>
    </row>
    <row r="101" spans="1:8" x14ac:dyDescent="0.25">
      <c r="E101" t="str">
        <f>""</f>
        <v/>
      </c>
      <c r="F101" t="str">
        <f>""</f>
        <v/>
      </c>
      <c r="H101" t="str">
        <f>"Broom Handle"</f>
        <v>Broom Handle</v>
      </c>
    </row>
    <row r="102" spans="1:8" x14ac:dyDescent="0.25">
      <c r="E102" t="str">
        <f>"1KL3-3R9G-7JX3 +"</f>
        <v>1KL3-3R9G-7JX3 +</v>
      </c>
      <c r="F102" t="str">
        <f>"PT GEAR"</f>
        <v>PT GEAR</v>
      </c>
      <c r="G102" s="2">
        <v>78.91</v>
      </c>
      <c r="H102" t="str">
        <f>"SHORTS"</f>
        <v>SHORTS</v>
      </c>
    </row>
    <row r="103" spans="1:8" x14ac:dyDescent="0.25">
      <c r="E103" t="str">
        <f>""</f>
        <v/>
      </c>
      <c r="F103" t="str">
        <f>""</f>
        <v/>
      </c>
      <c r="H103" t="str">
        <f>"SWEATPANT"</f>
        <v>SWEATPANT</v>
      </c>
    </row>
    <row r="104" spans="1:8" x14ac:dyDescent="0.25">
      <c r="E104" t="str">
        <f>""</f>
        <v/>
      </c>
      <c r="F104" t="str">
        <f>""</f>
        <v/>
      </c>
      <c r="H104" t="str">
        <f>"HOODIE"</f>
        <v>HOODIE</v>
      </c>
    </row>
    <row r="105" spans="1:8" x14ac:dyDescent="0.25">
      <c r="E105" t="str">
        <f>""</f>
        <v/>
      </c>
      <c r="F105" t="str">
        <f>""</f>
        <v/>
      </c>
      <c r="H105" t="str">
        <f>"T SHIRT"</f>
        <v>T SHIRT</v>
      </c>
    </row>
    <row r="106" spans="1:8" x14ac:dyDescent="0.25">
      <c r="E106" t="str">
        <f>"1KL3-3R9G-GDD4"</f>
        <v>1KL3-3R9G-GDD4</v>
      </c>
      <c r="F106" t="str">
        <f>"Sit-Stand Desk"</f>
        <v>Sit-Stand Desk</v>
      </c>
      <c r="G106" s="2">
        <v>160.63</v>
      </c>
      <c r="H106" t="str">
        <f>"Sit-Stand Desk"</f>
        <v>Sit-Stand Desk</v>
      </c>
    </row>
    <row r="107" spans="1:8" x14ac:dyDescent="0.25">
      <c r="E107" t="str">
        <f>"1MYK-4F4L-G43V"</f>
        <v>1MYK-4F4L-G43V</v>
      </c>
      <c r="F107" t="str">
        <f>"Hex Keys &amp; Laptop Bag"</f>
        <v>Hex Keys &amp; Laptop Bag</v>
      </c>
      <c r="G107" s="2">
        <v>58.93</v>
      </c>
      <c r="H107" t="str">
        <f>"Laptop Bag"</f>
        <v>Laptop Bag</v>
      </c>
    </row>
    <row r="108" spans="1:8" x14ac:dyDescent="0.25">
      <c r="E108" t="str">
        <f>""</f>
        <v/>
      </c>
      <c r="F108" t="str">
        <f>""</f>
        <v/>
      </c>
      <c r="H108" t="str">
        <f>"Hex Keys"</f>
        <v>Hex Keys</v>
      </c>
    </row>
    <row r="109" spans="1:8" x14ac:dyDescent="0.25">
      <c r="E109" t="str">
        <f>"1Y43-JHG6-3FHG"</f>
        <v>1Y43-JHG6-3FHG</v>
      </c>
      <c r="F109" t="str">
        <f>"APC by Schneider Electric"</f>
        <v>APC by Schneider Electric</v>
      </c>
      <c r="G109" s="2">
        <v>74.989999999999995</v>
      </c>
      <c r="H109" t="str">
        <f>"Price"</f>
        <v>Price</v>
      </c>
    </row>
    <row r="110" spans="1:8" x14ac:dyDescent="0.25">
      <c r="E110" t="str">
        <f>"201808092884"</f>
        <v>201808092884</v>
      </c>
      <c r="F110" t="str">
        <f>"Camera's for Patrol"</f>
        <v>Camera's for Patrol</v>
      </c>
      <c r="G110" s="2">
        <v>675</v>
      </c>
      <c r="H110" t="str">
        <f>"Camera's for Patrol"</f>
        <v>Camera's for Patrol</v>
      </c>
    </row>
    <row r="111" spans="1:8" x14ac:dyDescent="0.25">
      <c r="A111" t="s">
        <v>51</v>
      </c>
      <c r="B111">
        <v>999999</v>
      </c>
      <c r="C111" s="3">
        <v>1336.14</v>
      </c>
      <c r="D111" s="1">
        <v>43340</v>
      </c>
      <c r="E111" t="str">
        <f>"1471-QTKR-L373"</f>
        <v>1471-QTKR-L373</v>
      </c>
      <c r="F111" t="str">
        <f>"INV 1471-QTKR-L373"</f>
        <v>INV 1471-QTKR-L373</v>
      </c>
      <c r="G111" s="2">
        <v>121.95</v>
      </c>
      <c r="H111" t="str">
        <f>"INV 1471-QTKR-L373"</f>
        <v>INV 1471-QTKR-L373</v>
      </c>
    </row>
    <row r="112" spans="1:8" x14ac:dyDescent="0.25">
      <c r="E112" t="str">
        <f>"149D-JGVV-NJFY"</f>
        <v>149D-JGVV-NJFY</v>
      </c>
      <c r="F112" t="str">
        <f>"Items for Smart TV"</f>
        <v>Items for Smart TV</v>
      </c>
      <c r="G112" s="2">
        <v>254</v>
      </c>
      <c r="H112" t="str">
        <f>"Audio Aux Cable"</f>
        <v>Audio Aux Cable</v>
      </c>
    </row>
    <row r="113" spans="1:8" x14ac:dyDescent="0.25">
      <c r="E113" t="str">
        <f>""</f>
        <v/>
      </c>
      <c r="F113" t="str">
        <f>""</f>
        <v/>
      </c>
      <c r="H113" t="str">
        <f>"Soundbar"</f>
        <v>Soundbar</v>
      </c>
    </row>
    <row r="114" spans="1:8" x14ac:dyDescent="0.25">
      <c r="E114" t="str">
        <f>"1KXH-GFHD-NRFD"</f>
        <v>1KXH-GFHD-NRFD</v>
      </c>
      <c r="F114" t="str">
        <f>"Laptop Bag"</f>
        <v>Laptop Bag</v>
      </c>
      <c r="G114" s="2">
        <v>37.03</v>
      </c>
      <c r="H114" t="str">
        <f>"Laptop Bag"</f>
        <v>Laptop Bag</v>
      </c>
    </row>
    <row r="115" spans="1:8" x14ac:dyDescent="0.25">
      <c r="E115" t="str">
        <f>""</f>
        <v/>
      </c>
      <c r="F115" t="str">
        <f>""</f>
        <v/>
      </c>
      <c r="H115" t="str">
        <f>"two day shipping"</f>
        <v>two day shipping</v>
      </c>
    </row>
    <row r="116" spans="1:8" x14ac:dyDescent="0.25">
      <c r="E116" t="str">
        <f>"1R16-DNY4-QM7K"</f>
        <v>1R16-DNY4-QM7K</v>
      </c>
      <c r="F116" t="str">
        <f>"Sit Stand Workstation"</f>
        <v>Sit Stand Workstation</v>
      </c>
      <c r="G116" s="2">
        <v>352.31</v>
      </c>
      <c r="H116" t="str">
        <f>"Payment"</f>
        <v>Payment</v>
      </c>
    </row>
    <row r="117" spans="1:8" x14ac:dyDescent="0.25">
      <c r="E117" t="str">
        <f>"1TR9-T3P7-DVV6"</f>
        <v>1TR9-T3P7-DVV6</v>
      </c>
      <c r="F117" t="str">
        <f>"Logitech Keyboard"</f>
        <v>Logitech Keyboard</v>
      </c>
      <c r="G117" s="2">
        <v>75.69</v>
      </c>
      <c r="H117" t="str">
        <f>"Logitech Keyboard"</f>
        <v>Logitech Keyboard</v>
      </c>
    </row>
    <row r="118" spans="1:8" x14ac:dyDescent="0.25">
      <c r="E118" t="str">
        <f>"1XMJ-39PT-JXJ9"</f>
        <v>1XMJ-39PT-JXJ9</v>
      </c>
      <c r="F118" t="str">
        <f>"INV 1XMJ-39PT-JXJ9"</f>
        <v>INV 1XMJ-39PT-JXJ9</v>
      </c>
      <c r="G118" s="2">
        <v>417.46</v>
      </c>
      <c r="H118" t="str">
        <f>"INV 1XMJ-39PT-JXJ9"</f>
        <v>INV 1XMJ-39PT-JXJ9</v>
      </c>
    </row>
    <row r="119" spans="1:8" x14ac:dyDescent="0.25">
      <c r="E119" t="str">
        <f>"1XT4-9N7K-QNTT"</f>
        <v>1XT4-9N7K-QNTT</v>
      </c>
      <c r="F119" t="str">
        <f>"APC UPS 650VA"</f>
        <v>APC UPS 650VA</v>
      </c>
      <c r="G119" s="2">
        <v>77.7</v>
      </c>
      <c r="H119" t="str">
        <f>"APC UPS 650VA"</f>
        <v>APC UPS 650VA</v>
      </c>
    </row>
    <row r="120" spans="1:8" x14ac:dyDescent="0.25">
      <c r="A120" t="s">
        <v>52</v>
      </c>
      <c r="B120">
        <v>77909</v>
      </c>
      <c r="C120" s="3">
        <v>30.69</v>
      </c>
      <c r="D120" s="1">
        <v>43325</v>
      </c>
      <c r="E120" t="str">
        <f>"201808062624"</f>
        <v>201808062624</v>
      </c>
      <c r="F120" t="str">
        <f>"MILEAGE REIMBURSEMENT"</f>
        <v>MILEAGE REIMBURSEMENT</v>
      </c>
      <c r="G120" s="2">
        <v>30.69</v>
      </c>
      <c r="H120" t="str">
        <f>"MILEAGE REIMBURSEMENT"</f>
        <v>MILEAGE REIMBURSEMENT</v>
      </c>
    </row>
    <row r="121" spans="1:8" x14ac:dyDescent="0.25">
      <c r="A121" t="s">
        <v>53</v>
      </c>
      <c r="B121">
        <v>77910</v>
      </c>
      <c r="C121" s="3">
        <v>643.5</v>
      </c>
      <c r="D121" s="1">
        <v>43325</v>
      </c>
      <c r="E121" t="str">
        <f>"939798972"</f>
        <v>939798972</v>
      </c>
      <c r="F121" t="str">
        <f>"INV 939798972"</f>
        <v>INV 939798972</v>
      </c>
      <c r="G121" s="2">
        <v>49.77</v>
      </c>
      <c r="H121" t="str">
        <f>"INV 939798972"</f>
        <v>INV 939798972</v>
      </c>
    </row>
    <row r="122" spans="1:8" x14ac:dyDescent="0.25">
      <c r="E122" t="str">
        <f>"940435720"</f>
        <v>940435720</v>
      </c>
      <c r="F122" t="str">
        <f>"INV 940435720"</f>
        <v>INV 940435720</v>
      </c>
      <c r="G122" s="2">
        <v>593.73</v>
      </c>
      <c r="H122" t="str">
        <f>"INV 940435720"</f>
        <v>INV 940435720</v>
      </c>
    </row>
    <row r="123" spans="1:8" x14ac:dyDescent="0.25">
      <c r="A123" t="s">
        <v>53</v>
      </c>
      <c r="B123">
        <v>78248</v>
      </c>
      <c r="C123" s="3">
        <v>373.58</v>
      </c>
      <c r="D123" s="1">
        <v>43339</v>
      </c>
      <c r="E123" t="str">
        <f>"941050618 - 9"</f>
        <v>941050618 - 9</v>
      </c>
      <c r="F123" t="str">
        <f>"INV 941050618/941050619"</f>
        <v>INV 941050618/941050619</v>
      </c>
      <c r="G123" s="2">
        <v>373.58</v>
      </c>
      <c r="H123" t="str">
        <f>"INV 941050618"</f>
        <v>INV 941050618</v>
      </c>
    </row>
    <row r="124" spans="1:8" x14ac:dyDescent="0.25">
      <c r="E124" t="str">
        <f>""</f>
        <v/>
      </c>
      <c r="F124" t="str">
        <f>""</f>
        <v/>
      </c>
      <c r="H124" t="str">
        <f>"INV 941050619"</f>
        <v>INV 941050619</v>
      </c>
    </row>
    <row r="125" spans="1:8" x14ac:dyDescent="0.25">
      <c r="A125" t="s">
        <v>54</v>
      </c>
      <c r="B125">
        <v>77911</v>
      </c>
      <c r="C125" s="3">
        <v>1218.75</v>
      </c>
      <c r="D125" s="1">
        <v>43325</v>
      </c>
      <c r="E125" t="str">
        <f>"108916"</f>
        <v>108916</v>
      </c>
      <c r="F125" t="str">
        <f>"ADDRESS CONFIRMATION CARDS"</f>
        <v>ADDRESS CONFIRMATION CARDS</v>
      </c>
      <c r="G125" s="2">
        <v>1218.75</v>
      </c>
      <c r="H125" t="str">
        <f>"ADDRESS CONFIRMATION CARDS"</f>
        <v>ADDRESS CONFIRMATION CARDS</v>
      </c>
    </row>
    <row r="126" spans="1:8" x14ac:dyDescent="0.25">
      <c r="A126" t="s">
        <v>55</v>
      </c>
      <c r="B126">
        <v>999999</v>
      </c>
      <c r="C126" s="3">
        <v>4825.8100000000004</v>
      </c>
      <c r="D126" s="1">
        <v>43326</v>
      </c>
      <c r="E126" t="str">
        <f>"201808062660"</f>
        <v>201808062660</v>
      </c>
      <c r="F126" t="str">
        <f>"15-17399"</f>
        <v>15-17399</v>
      </c>
      <c r="G126" s="2">
        <v>729.54</v>
      </c>
      <c r="H126" t="str">
        <f>"15-17399"</f>
        <v>15-17399</v>
      </c>
    </row>
    <row r="127" spans="1:8" x14ac:dyDescent="0.25">
      <c r="E127" t="str">
        <f>"201808062661"</f>
        <v>201808062661</v>
      </c>
      <c r="F127" t="str">
        <f>"18-19071"</f>
        <v>18-19071</v>
      </c>
      <c r="G127" s="2">
        <v>592.20000000000005</v>
      </c>
      <c r="H127" t="str">
        <f>"18-19071"</f>
        <v>18-19071</v>
      </c>
    </row>
    <row r="128" spans="1:8" x14ac:dyDescent="0.25">
      <c r="E128" t="str">
        <f>"201808062662"</f>
        <v>201808062662</v>
      </c>
      <c r="F128" t="str">
        <f>"18-18827"</f>
        <v>18-18827</v>
      </c>
      <c r="G128" s="2">
        <v>489.82</v>
      </c>
      <c r="H128" t="str">
        <f>"18-18827"</f>
        <v>18-18827</v>
      </c>
    </row>
    <row r="129" spans="1:8" x14ac:dyDescent="0.25">
      <c r="E129" t="str">
        <f>"201808062663"</f>
        <v>201808062663</v>
      </c>
      <c r="F129" t="str">
        <f>"17-18636"</f>
        <v>17-18636</v>
      </c>
      <c r="G129" s="2">
        <v>655</v>
      </c>
      <c r="H129" t="str">
        <f>"17-18636"</f>
        <v>17-18636</v>
      </c>
    </row>
    <row r="130" spans="1:8" x14ac:dyDescent="0.25">
      <c r="E130" t="str">
        <f>"201808062665"</f>
        <v>201808062665</v>
      </c>
      <c r="F130" t="str">
        <f>"18-19023"</f>
        <v>18-19023</v>
      </c>
      <c r="G130" s="2">
        <v>392.5</v>
      </c>
      <c r="H130" t="str">
        <f>"18-19023"</f>
        <v>18-19023</v>
      </c>
    </row>
    <row r="131" spans="1:8" x14ac:dyDescent="0.25">
      <c r="E131" t="str">
        <f>"201808062681"</f>
        <v>201808062681</v>
      </c>
      <c r="F131" t="str">
        <f>"18-19142"</f>
        <v>18-19142</v>
      </c>
      <c r="G131" s="2">
        <v>272.5</v>
      </c>
      <c r="H131" t="str">
        <f>"18-19142"</f>
        <v>18-19142</v>
      </c>
    </row>
    <row r="132" spans="1:8" x14ac:dyDescent="0.25">
      <c r="E132" t="str">
        <f>"201808062688"</f>
        <v>201808062688</v>
      </c>
      <c r="F132" t="str">
        <f>"17-18535"</f>
        <v>17-18535</v>
      </c>
      <c r="G132" s="2">
        <v>287.5</v>
      </c>
      <c r="H132" t="str">
        <f>"17-18535"</f>
        <v>17-18535</v>
      </c>
    </row>
    <row r="133" spans="1:8" x14ac:dyDescent="0.25">
      <c r="E133" t="str">
        <f>"201808072689"</f>
        <v>201808072689</v>
      </c>
      <c r="F133" t="str">
        <f>"17-18615"</f>
        <v>17-18615</v>
      </c>
      <c r="G133" s="2">
        <v>347.5</v>
      </c>
      <c r="H133" t="str">
        <f>"17-18615"</f>
        <v>17-18615</v>
      </c>
    </row>
    <row r="134" spans="1:8" x14ac:dyDescent="0.25">
      <c r="E134" t="str">
        <f>"201808082797"</f>
        <v>201808082797</v>
      </c>
      <c r="F134" t="str">
        <f>"18-18876"</f>
        <v>18-18876</v>
      </c>
      <c r="G134" s="2">
        <v>586.75</v>
      </c>
      <c r="H134" t="str">
        <f>"18-18876"</f>
        <v>18-18876</v>
      </c>
    </row>
    <row r="135" spans="1:8" x14ac:dyDescent="0.25">
      <c r="E135" t="str">
        <f>"201808082798"</f>
        <v>201808082798</v>
      </c>
      <c r="F135" t="str">
        <f>"18-19142"</f>
        <v>18-19142</v>
      </c>
      <c r="G135" s="2">
        <v>182.5</v>
      </c>
      <c r="H135" t="str">
        <f>"18-19142"</f>
        <v>18-19142</v>
      </c>
    </row>
    <row r="136" spans="1:8" x14ac:dyDescent="0.25">
      <c r="E136" t="str">
        <f>"201808082799"</f>
        <v>201808082799</v>
      </c>
      <c r="F136" t="str">
        <f>"17-18636"</f>
        <v>17-18636</v>
      </c>
      <c r="G136" s="2">
        <v>190</v>
      </c>
      <c r="H136" t="str">
        <f>"17-18636"</f>
        <v>17-18636</v>
      </c>
    </row>
    <row r="137" spans="1:8" x14ac:dyDescent="0.25">
      <c r="E137" t="str">
        <f>"201808082800"</f>
        <v>201808082800</v>
      </c>
      <c r="F137" t="str">
        <f>"18-19144"</f>
        <v>18-19144</v>
      </c>
      <c r="G137" s="2">
        <v>100</v>
      </c>
      <c r="H137" t="str">
        <f>"18-19144"</f>
        <v>18-19144</v>
      </c>
    </row>
    <row r="138" spans="1:8" x14ac:dyDescent="0.25">
      <c r="A138" t="s">
        <v>55</v>
      </c>
      <c r="B138">
        <v>999999</v>
      </c>
      <c r="C138" s="3">
        <v>2000</v>
      </c>
      <c r="D138" s="1">
        <v>43340</v>
      </c>
      <c r="E138" t="str">
        <f>"201808152906"</f>
        <v>201808152906</v>
      </c>
      <c r="F138" t="str">
        <f>"423-5897"</f>
        <v>423-5897</v>
      </c>
      <c r="G138" s="2">
        <v>100</v>
      </c>
      <c r="H138" t="str">
        <f>"423-5897"</f>
        <v>423-5897</v>
      </c>
    </row>
    <row r="139" spans="1:8" x14ac:dyDescent="0.25">
      <c r="E139" t="str">
        <f>"201808152907"</f>
        <v>201808152907</v>
      </c>
      <c r="F139" t="str">
        <f>"16 438"</f>
        <v>16 438</v>
      </c>
      <c r="G139" s="2">
        <v>400</v>
      </c>
      <c r="H139" t="str">
        <f>"16 438"</f>
        <v>16 438</v>
      </c>
    </row>
    <row r="140" spans="1:8" x14ac:dyDescent="0.25">
      <c r="E140" t="str">
        <f>"201808152908"</f>
        <v>201808152908</v>
      </c>
      <c r="F140" t="str">
        <f>"302082018D"</f>
        <v>302082018D</v>
      </c>
      <c r="G140" s="2">
        <v>400</v>
      </c>
      <c r="H140" t="str">
        <f>"302082018D"</f>
        <v>302082018D</v>
      </c>
    </row>
    <row r="141" spans="1:8" x14ac:dyDescent="0.25">
      <c r="E141" t="str">
        <f>"201808152909"</f>
        <v>201808152909</v>
      </c>
      <c r="F141" t="str">
        <f>"808-21  423-5793"</f>
        <v>808-21  423-5793</v>
      </c>
      <c r="G141" s="2">
        <v>200</v>
      </c>
      <c r="H141" t="str">
        <f>"808-21  423-5793"</f>
        <v>808-21  423-5793</v>
      </c>
    </row>
    <row r="142" spans="1:8" x14ac:dyDescent="0.25">
      <c r="E142" t="str">
        <f>"201808162914"</f>
        <v>201808162914</v>
      </c>
      <c r="F142" t="str">
        <f>"16 419"</f>
        <v>16 419</v>
      </c>
      <c r="G142" s="2">
        <v>400</v>
      </c>
      <c r="H142" t="str">
        <f>"16 419"</f>
        <v>16 419</v>
      </c>
    </row>
    <row r="143" spans="1:8" x14ac:dyDescent="0.25">
      <c r="E143" t="str">
        <f>"201808212991"</f>
        <v>201808212991</v>
      </c>
      <c r="F143" t="str">
        <f>"302082018C"</f>
        <v>302082018C</v>
      </c>
      <c r="G143" s="2">
        <v>250</v>
      </c>
      <c r="H143" t="str">
        <f>"302082018C"</f>
        <v>302082018C</v>
      </c>
    </row>
    <row r="144" spans="1:8" x14ac:dyDescent="0.25">
      <c r="E144" t="str">
        <f>"201808212999"</f>
        <v>201808212999</v>
      </c>
      <c r="F144" t="str">
        <f>"404217-5"</f>
        <v>404217-5</v>
      </c>
      <c r="G144" s="2">
        <v>250</v>
      </c>
      <c r="H144" t="str">
        <f>"404217-5"</f>
        <v>404217-5</v>
      </c>
    </row>
    <row r="145" spans="1:8" x14ac:dyDescent="0.25">
      <c r="A145" t="s">
        <v>56</v>
      </c>
      <c r="B145">
        <v>78249</v>
      </c>
      <c r="C145" s="3">
        <v>249.5</v>
      </c>
      <c r="D145" s="1">
        <v>43339</v>
      </c>
      <c r="E145" t="str">
        <f>"A46065"</f>
        <v>A46065</v>
      </c>
      <c r="F145" t="str">
        <f>"PARTS/PCT#3"</f>
        <v>PARTS/PCT#3</v>
      </c>
      <c r="G145" s="2">
        <v>249.5</v>
      </c>
      <c r="H145" t="str">
        <f>"PARTS/PCT#3"</f>
        <v>PARTS/PCT#3</v>
      </c>
    </row>
    <row r="146" spans="1:8" x14ac:dyDescent="0.25">
      <c r="A146" t="s">
        <v>57</v>
      </c>
      <c r="B146">
        <v>999999</v>
      </c>
      <c r="C146" s="3">
        <v>479.6</v>
      </c>
      <c r="D146" s="1">
        <v>43326</v>
      </c>
      <c r="E146" t="str">
        <f>"201808062644"</f>
        <v>201808062644</v>
      </c>
      <c r="F146" t="str">
        <f>"MILEAGE REIMBURSEMENT"</f>
        <v>MILEAGE REIMBURSEMENT</v>
      </c>
      <c r="G146" s="2">
        <v>479.6</v>
      </c>
      <c r="H146" t="str">
        <f>"MILEAGE REIMBURSEMENT"</f>
        <v>MILEAGE REIMBURSEMENT</v>
      </c>
    </row>
    <row r="147" spans="1:8" x14ac:dyDescent="0.25">
      <c r="A147" t="s">
        <v>57</v>
      </c>
      <c r="B147">
        <v>999999</v>
      </c>
      <c r="C147" s="3">
        <v>320.13</v>
      </c>
      <c r="D147" s="1">
        <v>43340</v>
      </c>
      <c r="E147" t="str">
        <f>"201808162930"</f>
        <v>201808162930</v>
      </c>
      <c r="F147" t="str">
        <f>"REIMBURSE HOTEL"</f>
        <v>REIMBURSE HOTEL</v>
      </c>
      <c r="G147" s="2">
        <v>320.13</v>
      </c>
      <c r="H147" t="str">
        <f>"REIMBURSE HOTEL"</f>
        <v>REIMBURSE HOTEL</v>
      </c>
    </row>
    <row r="148" spans="1:8" x14ac:dyDescent="0.25">
      <c r="A148" t="s">
        <v>58</v>
      </c>
      <c r="B148">
        <v>77912</v>
      </c>
      <c r="C148" s="3">
        <v>821.19</v>
      </c>
      <c r="D148" s="1">
        <v>43325</v>
      </c>
      <c r="E148" t="str">
        <f>"201808062622"</f>
        <v>201808062622</v>
      </c>
      <c r="F148" t="str">
        <f>"ACCT#010057/AUDITOR'S OFFICE"</f>
        <v>ACCT#010057/AUDITOR'S OFFICE</v>
      </c>
      <c r="G148" s="2">
        <v>33</v>
      </c>
      <c r="H148" t="str">
        <f>"ACCT#010057/AUDITOR'S OFFICE"</f>
        <v>ACCT#010057/AUDITOR'S OFFICE</v>
      </c>
    </row>
    <row r="149" spans="1:8" x14ac:dyDescent="0.25">
      <c r="E149" t="str">
        <f>"201808062623"</f>
        <v>201808062623</v>
      </c>
      <c r="F149" t="str">
        <f>"ACCT#015538/EMER COMM"</f>
        <v>ACCT#015538/EMER COMM</v>
      </c>
      <c r="G149" s="2">
        <v>113.49</v>
      </c>
      <c r="H149" t="str">
        <f>"ACCT#015538/EMER COMM"</f>
        <v>ACCT#015538/EMER COMM</v>
      </c>
    </row>
    <row r="150" spans="1:8" x14ac:dyDescent="0.25">
      <c r="E150" t="str">
        <f>"201808062625"</f>
        <v>201808062625</v>
      </c>
      <c r="F150" t="str">
        <f>"ACCT#012571/TREASURER"</f>
        <v>ACCT#012571/TREASURER</v>
      </c>
      <c r="G150" s="2">
        <v>24</v>
      </c>
      <c r="H150" t="str">
        <f>"ACCT#012571/TREASURER"</f>
        <v>ACCT#012571/TREASURER</v>
      </c>
    </row>
    <row r="151" spans="1:8" x14ac:dyDescent="0.25">
      <c r="E151" t="str">
        <f>"201808062626"</f>
        <v>201808062626</v>
      </c>
      <c r="F151" t="str">
        <f>"ACCT#010311/CNTY CT AT LAW"</f>
        <v>ACCT#010311/CNTY CT AT LAW</v>
      </c>
      <c r="G151" s="2">
        <v>24</v>
      </c>
      <c r="H151" t="str">
        <f>"ACCT#010311/CNTY CT AT LAW"</f>
        <v>ACCT#010311/CNTY CT AT LAW</v>
      </c>
    </row>
    <row r="152" spans="1:8" x14ac:dyDescent="0.25">
      <c r="E152" t="str">
        <f>"201808062627"</f>
        <v>201808062627</v>
      </c>
      <c r="F152" t="str">
        <f>"ACCT#011280/COUNTY CLERK"</f>
        <v>ACCT#011280/COUNTY CLERK</v>
      </c>
      <c r="G152" s="2">
        <v>46.5</v>
      </c>
      <c r="H152" t="str">
        <f>"ACCT#011280/COUNTY CLERK"</f>
        <v>ACCT#011280/COUNTY CLERK</v>
      </c>
    </row>
    <row r="153" spans="1:8" x14ac:dyDescent="0.25">
      <c r="E153" t="str">
        <f>"201808062629"</f>
        <v>201808062629</v>
      </c>
      <c r="F153" t="str">
        <f>"ACCT#011955/DISTRICT JUDGE"</f>
        <v>ACCT#011955/DISTRICT JUDGE</v>
      </c>
      <c r="G153" s="2">
        <v>69</v>
      </c>
      <c r="H153" t="str">
        <f>"ACCT#011955/DISTRICT JUDGE"</f>
        <v>ACCT#011955/DISTRICT JUDGE</v>
      </c>
    </row>
    <row r="154" spans="1:8" x14ac:dyDescent="0.25">
      <c r="E154" t="str">
        <f>"201808062630"</f>
        <v>201808062630</v>
      </c>
      <c r="F154" t="str">
        <f>"ACCT#012803/CO JUDGE"</f>
        <v>ACCT#012803/CO JUDGE</v>
      </c>
      <c r="G154" s="2">
        <v>22.5</v>
      </c>
      <c r="H154" t="str">
        <f>"ACCT#012803/CO JUDGE"</f>
        <v>ACCT#012803/CO JUDGE</v>
      </c>
    </row>
    <row r="155" spans="1:8" x14ac:dyDescent="0.25">
      <c r="E155" t="str">
        <f>"201808062631"</f>
        <v>201808062631</v>
      </c>
      <c r="F155" t="str">
        <f>"ACCT#010149/AGRI LIFE EXTENSIO"</f>
        <v>ACCT#010149/AGRI LIFE EXTENSIO</v>
      </c>
      <c r="G155" s="2">
        <v>33.99</v>
      </c>
      <c r="H155" t="str">
        <f>"ACCT#010149/AGRI LIFE EXTENSIO"</f>
        <v>ACCT#010149/AGRI LIFE EXTENSIO</v>
      </c>
    </row>
    <row r="156" spans="1:8" x14ac:dyDescent="0.25">
      <c r="E156" t="str">
        <f>"201808062632"</f>
        <v>201808062632</v>
      </c>
      <c r="F156" t="str">
        <f>"ACCT#012259/DIST CLERK'S OFFIC"</f>
        <v>ACCT#012259/DIST CLERK'S OFFIC</v>
      </c>
      <c r="G156" s="2">
        <v>84</v>
      </c>
      <c r="H156" t="str">
        <f>"ACCT#012259/DIST CLERK'S OFFIC"</f>
        <v>ACCT#012259/DIST CLERK'S OFFIC</v>
      </c>
    </row>
    <row r="157" spans="1:8" x14ac:dyDescent="0.25">
      <c r="E157" t="str">
        <f>"201808062633"</f>
        <v>201808062633</v>
      </c>
      <c r="F157" t="str">
        <f>"ACCT#015476/PURCHASING DEPT"</f>
        <v>ACCT#015476/PURCHASING DEPT</v>
      </c>
      <c r="G157" s="2">
        <v>10.49</v>
      </c>
      <c r="H157" t="str">
        <f>"ACCT#015476/PURCHASING DEPT"</f>
        <v>ACCT#015476/PURCHASING DEPT</v>
      </c>
    </row>
    <row r="158" spans="1:8" x14ac:dyDescent="0.25">
      <c r="E158" t="str">
        <f>"201808062635"</f>
        <v>201808062635</v>
      </c>
      <c r="F158" t="str">
        <f>"ACCT#011474/ELECTIONS"</f>
        <v>ACCT#011474/ELECTIONS</v>
      </c>
      <c r="G158" s="2">
        <v>25</v>
      </c>
      <c r="H158" t="str">
        <f>"ACCT#011474/ELECTIONS"</f>
        <v>ACCT#011474/ELECTIONS</v>
      </c>
    </row>
    <row r="159" spans="1:8" x14ac:dyDescent="0.25">
      <c r="E159" t="str">
        <f>"201808062638"</f>
        <v>201808062638</v>
      </c>
      <c r="F159" t="str">
        <f>"ACCT#013393/HUMAN RESOURCES"</f>
        <v>ACCT#013393/HUMAN RESOURCES</v>
      </c>
      <c r="G159" s="2">
        <v>32.5</v>
      </c>
      <c r="H159" t="str">
        <f>"ACCT#013393/HUMAN RESOURCES"</f>
        <v>ACCT#013393/HUMAN RESOURCES</v>
      </c>
    </row>
    <row r="160" spans="1:8" x14ac:dyDescent="0.25">
      <c r="E160" t="str">
        <f>"201808062646"</f>
        <v>201808062646</v>
      </c>
      <c r="F160" t="str">
        <f>"ACCT#010835/COMMISSIONERS P1"</f>
        <v>ACCT#010835/COMMISSIONERS P1</v>
      </c>
      <c r="G160" s="2">
        <v>19.489999999999998</v>
      </c>
      <c r="H160" t="str">
        <f>"ACCT#010835/COMMISSIONERS P1"</f>
        <v>ACCT#010835/COMMISSIONERS P1</v>
      </c>
    </row>
    <row r="161" spans="1:8" x14ac:dyDescent="0.25">
      <c r="E161" t="str">
        <f>"201808072697"</f>
        <v>201808072697</v>
      </c>
      <c r="F161" t="str">
        <f>"ACCT#015199/JP#1"</f>
        <v>ACCT#015199/JP#1</v>
      </c>
      <c r="G161" s="2">
        <v>19.489999999999998</v>
      </c>
      <c r="H161" t="str">
        <f>"ACCT#015199/JP#1"</f>
        <v>ACCT#015199/JP#1</v>
      </c>
    </row>
    <row r="162" spans="1:8" x14ac:dyDescent="0.25">
      <c r="E162" t="str">
        <f>"201808072709"</f>
        <v>201808072709</v>
      </c>
      <c r="F162" t="str">
        <f>"ACCT#014737/ANIMAL SERVICE"</f>
        <v>ACCT#014737/ANIMAL SERVICE</v>
      </c>
      <c r="G162" s="2">
        <v>82.99</v>
      </c>
      <c r="H162" t="str">
        <f>"ACCT#014737/ANIMAL SERVICE"</f>
        <v>ACCT#014737/ANIMAL SERVICE</v>
      </c>
    </row>
    <row r="163" spans="1:8" x14ac:dyDescent="0.25">
      <c r="E163" t="str">
        <f>"201808072722"</f>
        <v>201808072722</v>
      </c>
      <c r="F163" t="str">
        <f>"ACCT#010238/GEN SVCS"</f>
        <v>ACCT#010238/GEN SVCS</v>
      </c>
      <c r="G163" s="2">
        <v>109.25</v>
      </c>
      <c r="H163" t="str">
        <f>"ACCT#010238/GEN SVCS"</f>
        <v>ACCT#010238/GEN SVCS</v>
      </c>
    </row>
    <row r="164" spans="1:8" x14ac:dyDescent="0.25">
      <c r="E164" t="str">
        <f>"243487"</f>
        <v>243487</v>
      </c>
      <c r="F164" t="str">
        <f>"ACCT#012260/D.A.'S OFFICE"</f>
        <v>ACCT#012260/D.A.'S OFFICE</v>
      </c>
      <c r="G164" s="2">
        <v>52.5</v>
      </c>
      <c r="H164" t="str">
        <f>"ACCT#012260/D.A.'S OFFICE"</f>
        <v>ACCT#012260/D.A.'S OFFICE</v>
      </c>
    </row>
    <row r="165" spans="1:8" x14ac:dyDescent="0.25">
      <c r="E165" t="str">
        <f>"246088"</f>
        <v>246088</v>
      </c>
      <c r="F165" t="str">
        <f>"ACCT#011033/IT DEPT"</f>
        <v>ACCT#011033/IT DEPT</v>
      </c>
      <c r="G165" s="2">
        <v>9</v>
      </c>
      <c r="H165" t="str">
        <f>"ACCT#011033/IT DEPT"</f>
        <v>ACCT#011033/IT DEPT</v>
      </c>
    </row>
    <row r="166" spans="1:8" x14ac:dyDescent="0.25">
      <c r="E166" t="str">
        <f>"246249"</f>
        <v>246249</v>
      </c>
      <c r="F166" t="str">
        <f>"ACCT#012231/DIST JUDGE OFF"</f>
        <v>ACCT#012231/DIST JUDGE OFF</v>
      </c>
      <c r="G166" s="2">
        <v>10</v>
      </c>
      <c r="H166" t="str">
        <f>"ACCT#012231/DIST JUDGE OFF"</f>
        <v>ACCT#012231/DIST JUDGE OFF</v>
      </c>
    </row>
    <row r="167" spans="1:8" x14ac:dyDescent="0.25">
      <c r="A167" t="s">
        <v>58</v>
      </c>
      <c r="B167">
        <v>78250</v>
      </c>
      <c r="C167" s="3">
        <v>46.5</v>
      </c>
      <c r="D167" s="1">
        <v>43339</v>
      </c>
      <c r="E167" t="str">
        <f>"201808162924"</f>
        <v>201808162924</v>
      </c>
      <c r="F167" t="str">
        <f>"ACCT#010602/COMMISSIONER OFF"</f>
        <v>ACCT#010602/COMMISSIONER OFF</v>
      </c>
      <c r="G167" s="2">
        <v>46.5</v>
      </c>
      <c r="H167" t="str">
        <f>"ACCT#010602/COMMISSIONER OFF"</f>
        <v>ACCT#010602/COMMISSIONER OFF</v>
      </c>
    </row>
    <row r="168" spans="1:8" x14ac:dyDescent="0.25">
      <c r="A168" t="s">
        <v>59</v>
      </c>
      <c r="B168">
        <v>77891</v>
      </c>
      <c r="C168" s="3">
        <v>1602.6</v>
      </c>
      <c r="D168" s="1">
        <v>43314</v>
      </c>
      <c r="E168" t="str">
        <f>"201808022468"</f>
        <v>201808022468</v>
      </c>
      <c r="F168" t="str">
        <f>"ACCT#0102120801 / 08012018"</f>
        <v>ACCT#0102120801 / 08012018</v>
      </c>
      <c r="G168" s="2">
        <v>644.32000000000005</v>
      </c>
      <c r="H168" t="str">
        <f>"ACCT#0102120801 / 08012018"</f>
        <v>ACCT#0102120801 / 08012018</v>
      </c>
    </row>
    <row r="169" spans="1:8" x14ac:dyDescent="0.25">
      <c r="E169" t="str">
        <f>"201808022469"</f>
        <v>201808022469</v>
      </c>
      <c r="F169" t="str">
        <f>"ACCT#0201855301 / 08012018"</f>
        <v>ACCT#0201855301 / 08012018</v>
      </c>
      <c r="G169" s="2">
        <v>30.31</v>
      </c>
      <c r="H169" t="str">
        <f>"ACCT#0201855301 / 08012018"</f>
        <v>ACCT#0201855301 / 08012018</v>
      </c>
    </row>
    <row r="170" spans="1:8" x14ac:dyDescent="0.25">
      <c r="E170" t="str">
        <f>"201808022470"</f>
        <v>201808022470</v>
      </c>
      <c r="F170" t="str">
        <f>"ACCT#0201891401 / 08012018"</f>
        <v>ACCT#0201891401 / 08012018</v>
      </c>
      <c r="G170" s="2">
        <v>31.86</v>
      </c>
      <c r="H170" t="str">
        <f>"ACCT#0201891401 / 08012018"</f>
        <v>ACCT#0201891401 / 08012018</v>
      </c>
    </row>
    <row r="171" spans="1:8" x14ac:dyDescent="0.25">
      <c r="E171" t="str">
        <f>"201808022471"</f>
        <v>201808022471</v>
      </c>
      <c r="F171" t="str">
        <f>"ACCT#0400785803 / 08012018"</f>
        <v>ACCT#0400785803 / 08012018</v>
      </c>
      <c r="G171" s="2">
        <v>127.16</v>
      </c>
      <c r="H171" t="str">
        <f>"ACCT#0400785803 / 08012018"</f>
        <v>ACCT#0400785803 / 08012018</v>
      </c>
    </row>
    <row r="172" spans="1:8" x14ac:dyDescent="0.25">
      <c r="E172" t="str">
        <f>"201808022472"</f>
        <v>201808022472</v>
      </c>
      <c r="F172" t="str">
        <f>"ACCT#0401408501 / 08012018"</f>
        <v>ACCT#0401408501 / 08012018</v>
      </c>
      <c r="G172" s="2">
        <v>727.43</v>
      </c>
      <c r="H172" t="str">
        <f>"ACCT#0401408501 / 08012018"</f>
        <v>ACCT#0401408501 / 08012018</v>
      </c>
    </row>
    <row r="173" spans="1:8" x14ac:dyDescent="0.25">
      <c r="E173" t="str">
        <f>"201808022473"</f>
        <v>201808022473</v>
      </c>
      <c r="F173" t="str">
        <f>"ACCT#0800042801 / 08012018"</f>
        <v>ACCT#0800042801 / 08012018</v>
      </c>
      <c r="G173" s="2">
        <v>41.52</v>
      </c>
      <c r="H173" t="str">
        <f>"ACCT#0800042801 / 08012018"</f>
        <v>ACCT#0800042801 / 08012018</v>
      </c>
    </row>
    <row r="174" spans="1:8" x14ac:dyDescent="0.25">
      <c r="A174" t="s">
        <v>59</v>
      </c>
      <c r="B174">
        <v>78251</v>
      </c>
      <c r="C174" s="3">
        <v>3638.75</v>
      </c>
      <c r="D174" s="1">
        <v>43339</v>
      </c>
      <c r="E174" t="str">
        <f>"201808162940"</f>
        <v>201808162940</v>
      </c>
      <c r="F174" t="str">
        <f>"ACCT#7700010024/6 LDS WATER/P1"</f>
        <v>ACCT#7700010024/6 LDS WATER/P1</v>
      </c>
      <c r="G174" s="2">
        <v>61.5</v>
      </c>
      <c r="H174" t="str">
        <f>"ACCT#7700010024/6 LDS WATER/P1"</f>
        <v>ACCT#7700010024/6 LDS WATER/P1</v>
      </c>
    </row>
    <row r="175" spans="1:8" x14ac:dyDescent="0.25">
      <c r="E175" t="str">
        <f>"201808162941"</f>
        <v>201808162941</v>
      </c>
      <c r="F175" t="str">
        <f>"ACCT#7700010025/73 LD WATER/P2"</f>
        <v>ACCT#7700010025/73 LD WATER/P2</v>
      </c>
      <c r="G175" s="2">
        <v>748.25</v>
      </c>
      <c r="H175" t="str">
        <f>"ACCT#7700010025/73 LD WATER/P2"</f>
        <v>ACCT#7700010025/73 LD WATER/P2</v>
      </c>
    </row>
    <row r="176" spans="1:8" x14ac:dyDescent="0.25">
      <c r="E176" t="str">
        <f>"201808162944"</f>
        <v>201808162944</v>
      </c>
      <c r="F176" t="str">
        <f>"ACT#7700010026/276LDS WATER/P3"</f>
        <v>ACT#7700010026/276LDS WATER/P3</v>
      </c>
      <c r="G176" s="2">
        <v>2829</v>
      </c>
      <c r="H176" t="str">
        <f>"ACT#7700010026/276LDS WATER/P3"</f>
        <v>ACT#7700010026/276LDS WATER/P3</v>
      </c>
    </row>
    <row r="177" spans="1:8" x14ac:dyDescent="0.25">
      <c r="A177" t="s">
        <v>60</v>
      </c>
      <c r="B177">
        <v>999999</v>
      </c>
      <c r="C177" s="3">
        <v>4455</v>
      </c>
      <c r="D177" s="1">
        <v>43340</v>
      </c>
      <c r="E177" t="str">
        <f>"14725"</f>
        <v>14725</v>
      </c>
      <c r="F177" t="str">
        <f>"SOCIAL MEDIA MGMT/VIDEO"</f>
        <v>SOCIAL MEDIA MGMT/VIDEO</v>
      </c>
      <c r="G177" s="2">
        <v>3455</v>
      </c>
      <c r="H177" t="str">
        <f>"SOCIAL MEDIA MGMT/VIDEO"</f>
        <v>SOCIAL MEDIA MGMT/VIDEO</v>
      </c>
    </row>
    <row r="178" spans="1:8" x14ac:dyDescent="0.25">
      <c r="E178" t="str">
        <f>"14726"</f>
        <v>14726</v>
      </c>
      <c r="F178" t="str">
        <f>"SOCIAL MEDIA BANNERS"</f>
        <v>SOCIAL MEDIA BANNERS</v>
      </c>
      <c r="G178" s="2">
        <v>1000</v>
      </c>
      <c r="H178" t="str">
        <f>"SOCIAL MEDIA BANNERS"</f>
        <v>SOCIAL MEDIA BANNERS</v>
      </c>
    </row>
    <row r="179" spans="1:8" x14ac:dyDescent="0.25">
      <c r="A179" t="s">
        <v>61</v>
      </c>
      <c r="B179">
        <v>77913</v>
      </c>
      <c r="C179" s="3">
        <v>4991.97</v>
      </c>
      <c r="D179" s="1">
        <v>43325</v>
      </c>
      <c r="E179" t="str">
        <f>"201807272406"</f>
        <v>201807272406</v>
      </c>
      <c r="F179" t="str">
        <f>"ACCT#512A49-0048 193 3"</f>
        <v>ACCT#512A49-0048 193 3</v>
      </c>
      <c r="G179" s="2">
        <v>4425.5600000000004</v>
      </c>
      <c r="H179" t="str">
        <f>"ACCT#512A49-0048 193 3"</f>
        <v>ACCT#512A49-0048 193 3</v>
      </c>
    </row>
    <row r="180" spans="1:8" x14ac:dyDescent="0.25">
      <c r="E180" t="str">
        <f>""</f>
        <v/>
      </c>
      <c r="F180" t="str">
        <f>""</f>
        <v/>
      </c>
      <c r="H180" t="str">
        <f>"ACCT#512A49-0048 193 3"</f>
        <v>ACCT#512A49-0048 193 3</v>
      </c>
    </row>
    <row r="181" spans="1:8" x14ac:dyDescent="0.25">
      <c r="E181" t="str">
        <f>"201807272410"</f>
        <v>201807272410</v>
      </c>
      <c r="F181" t="str">
        <f>"ACCT#512A49-0048 193 3"</f>
        <v>ACCT#512A49-0048 193 3</v>
      </c>
      <c r="G181" s="2">
        <v>246.84</v>
      </c>
      <c r="H181" t="str">
        <f>"ACCT#512A49-0048 193 3"</f>
        <v>ACCT#512A49-0048 193 3</v>
      </c>
    </row>
    <row r="182" spans="1:8" x14ac:dyDescent="0.25">
      <c r="E182" t="str">
        <f>"201807272411"</f>
        <v>201807272411</v>
      </c>
      <c r="F182" t="str">
        <f>"ACCT#512A49-0048 193 3"</f>
        <v>ACCT#512A49-0048 193 3</v>
      </c>
      <c r="G182" s="2">
        <v>182.46</v>
      </c>
      <c r="H182" t="str">
        <f>"ACCT#512A49-0048 193 3"</f>
        <v>ACCT#512A49-0048 193 3</v>
      </c>
    </row>
    <row r="183" spans="1:8" x14ac:dyDescent="0.25">
      <c r="E183" t="str">
        <f>"201807272413"</f>
        <v>201807272413</v>
      </c>
      <c r="F183" t="str">
        <f>"ACCT#512A49-0048 193 3"</f>
        <v>ACCT#512A49-0048 193 3</v>
      </c>
      <c r="G183" s="2">
        <v>137.11000000000001</v>
      </c>
      <c r="H183" t="str">
        <f>"ACCT#512A49-0048 193 3"</f>
        <v>ACCT#512A49-0048 193 3</v>
      </c>
    </row>
    <row r="184" spans="1:8" x14ac:dyDescent="0.25">
      <c r="A184" t="s">
        <v>62</v>
      </c>
      <c r="B184">
        <v>78252</v>
      </c>
      <c r="C184" s="3">
        <v>125</v>
      </c>
      <c r="D184" s="1">
        <v>43339</v>
      </c>
      <c r="E184" t="str">
        <f>"285391"</f>
        <v>285391</v>
      </c>
      <c r="F184" t="str">
        <f>"INV 285391"</f>
        <v>INV 285391</v>
      </c>
      <c r="G184" s="2">
        <v>125</v>
      </c>
      <c r="H184" t="str">
        <f>"INV 285391"</f>
        <v>INV 285391</v>
      </c>
    </row>
    <row r="185" spans="1:8" x14ac:dyDescent="0.25">
      <c r="A185" t="s">
        <v>62</v>
      </c>
      <c r="B185">
        <v>78253</v>
      </c>
      <c r="C185" s="3">
        <v>926.48</v>
      </c>
      <c r="D185" s="1">
        <v>43339</v>
      </c>
      <c r="E185" t="str">
        <f>"2201273400"</f>
        <v>2201273400</v>
      </c>
      <c r="F185" t="str">
        <f>"ACCT#831-000-7919 623 SHERIFF"</f>
        <v>ACCT#831-000-7919 623 SHERIFF</v>
      </c>
      <c r="G185" s="2">
        <v>926.48</v>
      </c>
      <c r="H185" t="str">
        <f>"ACCT#831-000-7919 623 SHERIFF"</f>
        <v>ACCT#831-000-7919 623 SHERIFF</v>
      </c>
    </row>
    <row r="186" spans="1:8" x14ac:dyDescent="0.25">
      <c r="A186" t="s">
        <v>62</v>
      </c>
      <c r="B186">
        <v>78254</v>
      </c>
      <c r="C186" s="3">
        <v>1799.31</v>
      </c>
      <c r="D186" s="1">
        <v>43339</v>
      </c>
      <c r="E186" t="str">
        <f>"201808223018"</f>
        <v>201808223018</v>
      </c>
      <c r="F186" t="str">
        <f>"512-303-1080 238 5"</f>
        <v>512-303-1080 238 5</v>
      </c>
      <c r="G186" s="2">
        <v>1799.31</v>
      </c>
      <c r="H186" t="str">
        <f>"512-303-1080 238 5"</f>
        <v>512-303-1080 238 5</v>
      </c>
    </row>
    <row r="187" spans="1:8" x14ac:dyDescent="0.25">
      <c r="A187" t="s">
        <v>63</v>
      </c>
      <c r="B187">
        <v>77914</v>
      </c>
      <c r="C187" s="3">
        <v>2596.9899999999998</v>
      </c>
      <c r="D187" s="1">
        <v>43325</v>
      </c>
      <c r="E187" t="str">
        <f>"13827217"</f>
        <v>13827217</v>
      </c>
      <c r="F187" t="str">
        <f>"INV 13827217"</f>
        <v>INV 13827217</v>
      </c>
      <c r="G187" s="2">
        <v>2596.9899999999998</v>
      </c>
      <c r="H187" t="str">
        <f>"INV 13827217"</f>
        <v>INV 13827217</v>
      </c>
    </row>
    <row r="188" spans="1:8" x14ac:dyDescent="0.25">
      <c r="A188" t="s">
        <v>63</v>
      </c>
      <c r="B188">
        <v>77915</v>
      </c>
      <c r="C188" s="3">
        <v>1516.55</v>
      </c>
      <c r="D188" s="1">
        <v>43325</v>
      </c>
      <c r="E188" t="str">
        <f>"287263291654X072"</f>
        <v>287263291654X072</v>
      </c>
      <c r="F188" t="str">
        <f>"ACCT#287263291654"</f>
        <v>ACCT#287263291654</v>
      </c>
      <c r="G188" s="2">
        <v>37.99</v>
      </c>
      <c r="H188" t="str">
        <f t="shared" ref="H188:H222" si="0">"ACCT#287263291654"</f>
        <v>ACCT#287263291654</v>
      </c>
    </row>
    <row r="189" spans="1:8" x14ac:dyDescent="0.25">
      <c r="E189" t="str">
        <f>"287263291654X0720"</f>
        <v>287263291654X0720</v>
      </c>
      <c r="F189" t="str">
        <f>"ACCT#287263291654"</f>
        <v>ACCT#287263291654</v>
      </c>
      <c r="G189" s="2">
        <v>123.97</v>
      </c>
      <c r="H189" t="str">
        <f t="shared" si="0"/>
        <v>ACCT#287263291654</v>
      </c>
    </row>
    <row r="190" spans="1:8" x14ac:dyDescent="0.25">
      <c r="E190" t="str">
        <f>"287263291654X07202"</f>
        <v>287263291654X07202</v>
      </c>
      <c r="F190" t="str">
        <f>"ACCT#287263291654"</f>
        <v>ACCT#287263291654</v>
      </c>
      <c r="G190" s="2">
        <v>37.99</v>
      </c>
      <c r="H190" t="str">
        <f t="shared" si="0"/>
        <v>ACCT#287263291654</v>
      </c>
    </row>
    <row r="191" spans="1:8" x14ac:dyDescent="0.25">
      <c r="E191" t="str">
        <f>"28726329165X0720"</f>
        <v>28726329165X0720</v>
      </c>
      <c r="F191" t="str">
        <f>"ACCT#287263291654"</f>
        <v>ACCT#287263291654</v>
      </c>
      <c r="G191" s="2">
        <v>1316.6</v>
      </c>
      <c r="H191" t="str">
        <f t="shared" si="0"/>
        <v>ACCT#287263291654</v>
      </c>
    </row>
    <row r="192" spans="1:8" x14ac:dyDescent="0.25">
      <c r="E192" t="str">
        <f>""</f>
        <v/>
      </c>
      <c r="F192" t="str">
        <f>""</f>
        <v/>
      </c>
      <c r="H192" t="str">
        <f t="shared" si="0"/>
        <v>ACCT#287263291654</v>
      </c>
    </row>
    <row r="193" spans="1:8" x14ac:dyDescent="0.25">
      <c r="E193" t="str">
        <f>""</f>
        <v/>
      </c>
      <c r="F193" t="str">
        <f>""</f>
        <v/>
      </c>
      <c r="H193" t="str">
        <f t="shared" si="0"/>
        <v>ACCT#287263291654</v>
      </c>
    </row>
    <row r="194" spans="1:8" x14ac:dyDescent="0.25">
      <c r="E194" t="str">
        <f>""</f>
        <v/>
      </c>
      <c r="F194" t="str">
        <f>""</f>
        <v/>
      </c>
      <c r="H194" t="str">
        <f t="shared" si="0"/>
        <v>ACCT#287263291654</v>
      </c>
    </row>
    <row r="195" spans="1:8" x14ac:dyDescent="0.25">
      <c r="E195" t="str">
        <f>""</f>
        <v/>
      </c>
      <c r="F195" t="str">
        <f>""</f>
        <v/>
      </c>
      <c r="H195" t="str">
        <f t="shared" si="0"/>
        <v>ACCT#287263291654</v>
      </c>
    </row>
    <row r="196" spans="1:8" x14ac:dyDescent="0.25">
      <c r="E196" t="str">
        <f>""</f>
        <v/>
      </c>
      <c r="F196" t="str">
        <f>""</f>
        <v/>
      </c>
      <c r="H196" t="str">
        <f t="shared" si="0"/>
        <v>ACCT#287263291654</v>
      </c>
    </row>
    <row r="197" spans="1:8" x14ac:dyDescent="0.25">
      <c r="E197" t="str">
        <f>""</f>
        <v/>
      </c>
      <c r="F197" t="str">
        <f>""</f>
        <v/>
      </c>
      <c r="H197" t="str">
        <f t="shared" si="0"/>
        <v>ACCT#287263291654</v>
      </c>
    </row>
    <row r="198" spans="1:8" x14ac:dyDescent="0.25">
      <c r="E198" t="str">
        <f>""</f>
        <v/>
      </c>
      <c r="F198" t="str">
        <f>""</f>
        <v/>
      </c>
      <c r="H198" t="str">
        <f t="shared" si="0"/>
        <v>ACCT#287263291654</v>
      </c>
    </row>
    <row r="199" spans="1:8" x14ac:dyDescent="0.25">
      <c r="E199" t="str">
        <f>""</f>
        <v/>
      </c>
      <c r="F199" t="str">
        <f>""</f>
        <v/>
      </c>
      <c r="H199" t="str">
        <f t="shared" si="0"/>
        <v>ACCT#287263291654</v>
      </c>
    </row>
    <row r="200" spans="1:8" x14ac:dyDescent="0.25">
      <c r="E200" t="str">
        <f>""</f>
        <v/>
      </c>
      <c r="F200" t="str">
        <f>""</f>
        <v/>
      </c>
      <c r="H200" t="str">
        <f t="shared" si="0"/>
        <v>ACCT#287263291654</v>
      </c>
    </row>
    <row r="201" spans="1:8" x14ac:dyDescent="0.25">
      <c r="E201" t="str">
        <f>""</f>
        <v/>
      </c>
      <c r="F201" t="str">
        <f>""</f>
        <v/>
      </c>
      <c r="H201" t="str">
        <f t="shared" si="0"/>
        <v>ACCT#287263291654</v>
      </c>
    </row>
    <row r="202" spans="1:8" x14ac:dyDescent="0.25">
      <c r="E202" t="str">
        <f>""</f>
        <v/>
      </c>
      <c r="F202" t="str">
        <f>""</f>
        <v/>
      </c>
      <c r="H202" t="str">
        <f t="shared" si="0"/>
        <v>ACCT#287263291654</v>
      </c>
    </row>
    <row r="203" spans="1:8" x14ac:dyDescent="0.25">
      <c r="E203" t="str">
        <f>""</f>
        <v/>
      </c>
      <c r="F203" t="str">
        <f>""</f>
        <v/>
      </c>
      <c r="H203" t="str">
        <f t="shared" si="0"/>
        <v>ACCT#287263291654</v>
      </c>
    </row>
    <row r="204" spans="1:8" x14ac:dyDescent="0.25">
      <c r="E204" t="str">
        <f>""</f>
        <v/>
      </c>
      <c r="F204" t="str">
        <f>""</f>
        <v/>
      </c>
      <c r="H204" t="str">
        <f t="shared" si="0"/>
        <v>ACCT#287263291654</v>
      </c>
    </row>
    <row r="205" spans="1:8" x14ac:dyDescent="0.25">
      <c r="A205" t="s">
        <v>63</v>
      </c>
      <c r="B205">
        <v>78255</v>
      </c>
      <c r="C205" s="3">
        <v>1578.6</v>
      </c>
      <c r="D205" s="1">
        <v>43339</v>
      </c>
      <c r="E205" t="str">
        <f>"287263291654X08202"</f>
        <v>287263291654X08202</v>
      </c>
      <c r="F205" t="str">
        <f>"ACCT#287263291654"</f>
        <v>ACCT#287263291654</v>
      </c>
      <c r="G205" s="2">
        <v>1578.6</v>
      </c>
      <c r="H205" t="str">
        <f t="shared" si="0"/>
        <v>ACCT#287263291654</v>
      </c>
    </row>
    <row r="206" spans="1:8" x14ac:dyDescent="0.25">
      <c r="E206" t="str">
        <f>""</f>
        <v/>
      </c>
      <c r="F206" t="str">
        <f>""</f>
        <v/>
      </c>
      <c r="H206" t="str">
        <f t="shared" si="0"/>
        <v>ACCT#287263291654</v>
      </c>
    </row>
    <row r="207" spans="1:8" x14ac:dyDescent="0.25">
      <c r="E207" t="str">
        <f>""</f>
        <v/>
      </c>
      <c r="F207" t="str">
        <f>""</f>
        <v/>
      </c>
      <c r="H207" t="str">
        <f t="shared" si="0"/>
        <v>ACCT#287263291654</v>
      </c>
    </row>
    <row r="208" spans="1:8" x14ac:dyDescent="0.25">
      <c r="E208" t="str">
        <f>""</f>
        <v/>
      </c>
      <c r="F208" t="str">
        <f>""</f>
        <v/>
      </c>
      <c r="H208" t="str">
        <f t="shared" si="0"/>
        <v>ACCT#287263291654</v>
      </c>
    </row>
    <row r="209" spans="1:8" x14ac:dyDescent="0.25">
      <c r="E209" t="str">
        <f>""</f>
        <v/>
      </c>
      <c r="F209" t="str">
        <f>""</f>
        <v/>
      </c>
      <c r="H209" t="str">
        <f t="shared" si="0"/>
        <v>ACCT#287263291654</v>
      </c>
    </row>
    <row r="210" spans="1:8" x14ac:dyDescent="0.25">
      <c r="E210" t="str">
        <f>""</f>
        <v/>
      </c>
      <c r="F210" t="str">
        <f>""</f>
        <v/>
      </c>
      <c r="H210" t="str">
        <f t="shared" si="0"/>
        <v>ACCT#287263291654</v>
      </c>
    </row>
    <row r="211" spans="1:8" x14ac:dyDescent="0.25">
      <c r="E211" t="str">
        <f>""</f>
        <v/>
      </c>
      <c r="F211" t="str">
        <f>""</f>
        <v/>
      </c>
      <c r="H211" t="str">
        <f t="shared" si="0"/>
        <v>ACCT#287263291654</v>
      </c>
    </row>
    <row r="212" spans="1:8" x14ac:dyDescent="0.25">
      <c r="E212" t="str">
        <f>""</f>
        <v/>
      </c>
      <c r="F212" t="str">
        <f>""</f>
        <v/>
      </c>
      <c r="H212" t="str">
        <f t="shared" si="0"/>
        <v>ACCT#287263291654</v>
      </c>
    </row>
    <row r="213" spans="1:8" x14ac:dyDescent="0.25">
      <c r="E213" t="str">
        <f>""</f>
        <v/>
      </c>
      <c r="F213" t="str">
        <f>""</f>
        <v/>
      </c>
      <c r="H213" t="str">
        <f t="shared" si="0"/>
        <v>ACCT#287263291654</v>
      </c>
    </row>
    <row r="214" spans="1:8" x14ac:dyDescent="0.25">
      <c r="E214" t="str">
        <f>""</f>
        <v/>
      </c>
      <c r="F214" t="str">
        <f>""</f>
        <v/>
      </c>
      <c r="H214" t="str">
        <f t="shared" si="0"/>
        <v>ACCT#287263291654</v>
      </c>
    </row>
    <row r="215" spans="1:8" x14ac:dyDescent="0.25">
      <c r="E215" t="str">
        <f>""</f>
        <v/>
      </c>
      <c r="F215" t="str">
        <f>""</f>
        <v/>
      </c>
      <c r="H215" t="str">
        <f t="shared" si="0"/>
        <v>ACCT#287263291654</v>
      </c>
    </row>
    <row r="216" spans="1:8" x14ac:dyDescent="0.25">
      <c r="E216" t="str">
        <f>""</f>
        <v/>
      </c>
      <c r="F216" t="str">
        <f>""</f>
        <v/>
      </c>
      <c r="H216" t="str">
        <f t="shared" si="0"/>
        <v>ACCT#287263291654</v>
      </c>
    </row>
    <row r="217" spans="1:8" x14ac:dyDescent="0.25">
      <c r="E217" t="str">
        <f>""</f>
        <v/>
      </c>
      <c r="F217" t="str">
        <f>""</f>
        <v/>
      </c>
      <c r="H217" t="str">
        <f t="shared" si="0"/>
        <v>ACCT#287263291654</v>
      </c>
    </row>
    <row r="218" spans="1:8" x14ac:dyDescent="0.25">
      <c r="E218" t="str">
        <f>""</f>
        <v/>
      </c>
      <c r="F218" t="str">
        <f>""</f>
        <v/>
      </c>
      <c r="H218" t="str">
        <f t="shared" si="0"/>
        <v>ACCT#287263291654</v>
      </c>
    </row>
    <row r="219" spans="1:8" x14ac:dyDescent="0.25">
      <c r="E219" t="str">
        <f>""</f>
        <v/>
      </c>
      <c r="F219" t="str">
        <f>""</f>
        <v/>
      </c>
      <c r="H219" t="str">
        <f t="shared" si="0"/>
        <v>ACCT#287263291654</v>
      </c>
    </row>
    <row r="220" spans="1:8" x14ac:dyDescent="0.25">
      <c r="E220" t="str">
        <f>""</f>
        <v/>
      </c>
      <c r="F220" t="str">
        <f>""</f>
        <v/>
      </c>
      <c r="H220" t="str">
        <f t="shared" si="0"/>
        <v>ACCT#287263291654</v>
      </c>
    </row>
    <row r="221" spans="1:8" x14ac:dyDescent="0.25">
      <c r="E221" t="str">
        <f>""</f>
        <v/>
      </c>
      <c r="F221" t="str">
        <f>""</f>
        <v/>
      </c>
      <c r="H221" t="str">
        <f t="shared" si="0"/>
        <v>ACCT#287263291654</v>
      </c>
    </row>
    <row r="222" spans="1:8" x14ac:dyDescent="0.25">
      <c r="E222" t="str">
        <f>""</f>
        <v/>
      </c>
      <c r="F222" t="str">
        <f>""</f>
        <v/>
      </c>
      <c r="H222" t="str">
        <f t="shared" si="0"/>
        <v>ACCT#287263291654</v>
      </c>
    </row>
    <row r="223" spans="1:8" x14ac:dyDescent="0.25">
      <c r="A223" t="s">
        <v>64</v>
      </c>
      <c r="B223">
        <v>77916</v>
      </c>
      <c r="C223" s="3">
        <v>217.26</v>
      </c>
      <c r="D223" s="1">
        <v>43325</v>
      </c>
      <c r="E223" t="str">
        <f>"287280903541X07202"</f>
        <v>287280903541X07202</v>
      </c>
      <c r="F223" t="str">
        <f>"INV 287280903541X07202018"</f>
        <v>INV 287280903541X07202018</v>
      </c>
      <c r="G223" s="2">
        <v>217.26</v>
      </c>
      <c r="H223" t="str">
        <f>"INV 287280903541X07202018"</f>
        <v>INV 287280903541X07202018</v>
      </c>
    </row>
    <row r="224" spans="1:8" x14ac:dyDescent="0.25">
      <c r="A224" t="s">
        <v>64</v>
      </c>
      <c r="B224">
        <v>78256</v>
      </c>
      <c r="C224" s="3">
        <v>217.26</v>
      </c>
      <c r="D224" s="1">
        <v>43339</v>
      </c>
      <c r="E224" t="str">
        <f>"287280903541X08202"</f>
        <v>287280903541X08202</v>
      </c>
      <c r="F224" t="str">
        <f>"INV287280903541X08202018"</f>
        <v>INV287280903541X08202018</v>
      </c>
      <c r="G224" s="2">
        <v>217.26</v>
      </c>
      <c r="H224" t="str">
        <f>"INV287280903541X08202018"</f>
        <v>INV287280903541X08202018</v>
      </c>
    </row>
    <row r="225" spans="1:8" x14ac:dyDescent="0.25">
      <c r="A225" t="s">
        <v>65</v>
      </c>
      <c r="B225">
        <v>78257</v>
      </c>
      <c r="C225" s="3">
        <v>99.34</v>
      </c>
      <c r="D225" s="1">
        <v>43339</v>
      </c>
      <c r="E225" t="str">
        <f>"201808162923"</f>
        <v>201808162923</v>
      </c>
      <c r="F225" t="str">
        <f>"ACCT#826392401/BASTROP DPS"</f>
        <v>ACCT#826392401/BASTROP DPS</v>
      </c>
      <c r="G225" s="2">
        <v>99.34</v>
      </c>
      <c r="H225" t="str">
        <f>"ACCT#826392401/BASTROP DPS"</f>
        <v>ACCT#826392401/BASTROP DPS</v>
      </c>
    </row>
    <row r="226" spans="1:8" x14ac:dyDescent="0.25">
      <c r="A226" t="s">
        <v>66</v>
      </c>
      <c r="B226">
        <v>77917</v>
      </c>
      <c r="C226" s="3">
        <v>66.5</v>
      </c>
      <c r="D226" s="1">
        <v>43325</v>
      </c>
      <c r="E226" t="str">
        <f>"91907"</f>
        <v>91907</v>
      </c>
      <c r="F226" t="str">
        <f>"WK ORD#15822/PCT#2"</f>
        <v>WK ORD#15822/PCT#2</v>
      </c>
      <c r="G226" s="2">
        <v>66.5</v>
      </c>
      <c r="H226" t="str">
        <f>"WK ORD#15822/PCT#2"</f>
        <v>WK ORD#15822/PCT#2</v>
      </c>
    </row>
    <row r="227" spans="1:8" x14ac:dyDescent="0.25">
      <c r="A227" t="s">
        <v>66</v>
      </c>
      <c r="B227">
        <v>78258</v>
      </c>
      <c r="C227" s="3">
        <v>470.3</v>
      </c>
      <c r="D227" s="1">
        <v>43339</v>
      </c>
      <c r="E227" t="str">
        <f>"92070"</f>
        <v>92070</v>
      </c>
      <c r="F227" t="str">
        <f>"WORK ORD#16046/HOSE ASSY/P4"</f>
        <v>WORK ORD#16046/HOSE ASSY/P4</v>
      </c>
      <c r="G227" s="2">
        <v>470.3</v>
      </c>
      <c r="H227" t="str">
        <f>"WORK ORD#16046/HOSE ASSY/P4"</f>
        <v>WORK ORD#16046/HOSE ASSY/P4</v>
      </c>
    </row>
    <row r="228" spans="1:8" x14ac:dyDescent="0.25">
      <c r="A228" t="s">
        <v>67</v>
      </c>
      <c r="B228">
        <v>77918</v>
      </c>
      <c r="C228" s="3">
        <v>617.6</v>
      </c>
      <c r="D228" s="1">
        <v>43325</v>
      </c>
      <c r="E228" t="str">
        <f>"201808082849"</f>
        <v>201808082849</v>
      </c>
      <c r="F228" t="str">
        <f>"REIMBURSE MEALS/HOTEL"</f>
        <v>REIMBURSE MEALS/HOTEL</v>
      </c>
      <c r="G228" s="2">
        <v>617.6</v>
      </c>
      <c r="H228" t="str">
        <f>"REIMBURSE MEALS/HOTEL"</f>
        <v>REIMBURSE MEALS/HOTEL</v>
      </c>
    </row>
    <row r="229" spans="1:8" x14ac:dyDescent="0.25">
      <c r="A229" t="s">
        <v>68</v>
      </c>
      <c r="B229">
        <v>999999</v>
      </c>
      <c r="C229" s="3">
        <v>380.16</v>
      </c>
      <c r="D229" s="1">
        <v>43326</v>
      </c>
      <c r="E229" t="str">
        <f>"0000383628"</f>
        <v>0000383628</v>
      </c>
      <c r="F229" t="str">
        <f>"Ad#383628"</f>
        <v>Ad#383628</v>
      </c>
      <c r="G229" s="2">
        <v>380.16</v>
      </c>
      <c r="H229" t="str">
        <f>"Ad#383628"</f>
        <v>Ad#383628</v>
      </c>
    </row>
    <row r="230" spans="1:8" x14ac:dyDescent="0.25">
      <c r="A230" t="s">
        <v>68</v>
      </c>
      <c r="B230">
        <v>999999</v>
      </c>
      <c r="C230" s="3">
        <v>283.63</v>
      </c>
      <c r="D230" s="1">
        <v>43340</v>
      </c>
      <c r="E230" t="str">
        <f>"201808223022"</f>
        <v>201808223022</v>
      </c>
      <c r="F230" t="str">
        <f>"ACCT#45337"</f>
        <v>ACCT#45337</v>
      </c>
      <c r="G230" s="2">
        <v>3.48</v>
      </c>
      <c r="H230" t="str">
        <f>"ACCT#45337"</f>
        <v>ACCT#45337</v>
      </c>
    </row>
    <row r="231" spans="1:8" x14ac:dyDescent="0.25">
      <c r="E231" t="str">
        <f>"I00375292-06232018"</f>
        <v>I00375292-06232018</v>
      </c>
      <c r="F231" t="str">
        <f>"Ad No.: 0000375292-01"</f>
        <v>Ad No.: 0000375292-01</v>
      </c>
      <c r="G231" s="2">
        <v>142.22999999999999</v>
      </c>
      <c r="H231" t="str">
        <f>"Ad No.: 0000375292-01"</f>
        <v>Ad No.: 0000375292-01</v>
      </c>
    </row>
    <row r="232" spans="1:8" x14ac:dyDescent="0.25">
      <c r="E232" t="str">
        <f>"I00400383-8042018+"</f>
        <v>I00400383-8042018+</v>
      </c>
      <c r="F232" t="str">
        <f>"AD# 400376 &amp; 400383"</f>
        <v>AD# 400376 &amp; 400383</v>
      </c>
      <c r="G232" s="2">
        <v>137.91999999999999</v>
      </c>
      <c r="H232" t="str">
        <f>"AD# 400376"</f>
        <v>AD# 400376</v>
      </c>
    </row>
    <row r="233" spans="1:8" x14ac:dyDescent="0.25">
      <c r="E233" t="str">
        <f>""</f>
        <v/>
      </c>
      <c r="F233" t="str">
        <f>""</f>
        <v/>
      </c>
      <c r="H233" t="str">
        <f>"AD# 400383"</f>
        <v>AD# 400383</v>
      </c>
    </row>
    <row r="234" spans="1:8" x14ac:dyDescent="0.25">
      <c r="A234" t="s">
        <v>69</v>
      </c>
      <c r="B234">
        <v>77919</v>
      </c>
      <c r="C234" s="3">
        <v>123.22</v>
      </c>
      <c r="D234" s="1">
        <v>43325</v>
      </c>
      <c r="E234" t="str">
        <f>"201808082859"</f>
        <v>201808082859</v>
      </c>
      <c r="F234" t="str">
        <f>"INDIGENT HEALTH"</f>
        <v>INDIGENT HEALTH</v>
      </c>
      <c r="G234" s="2">
        <v>123.22</v>
      </c>
      <c r="H234" t="str">
        <f>"INDIGENT HEALTH"</f>
        <v>INDIGENT HEALTH</v>
      </c>
    </row>
    <row r="235" spans="1:8" x14ac:dyDescent="0.25">
      <c r="A235" t="s">
        <v>70</v>
      </c>
      <c r="B235">
        <v>78259</v>
      </c>
      <c r="C235" s="3">
        <v>3510</v>
      </c>
      <c r="D235" s="1">
        <v>43339</v>
      </c>
      <c r="E235" t="str">
        <f>"0618183"</f>
        <v>0618183</v>
      </c>
      <c r="F235" t="str">
        <f>"ASBESTOS SURVEY-COURTHOUSE"</f>
        <v>ASBESTOS SURVEY-COURTHOUSE</v>
      </c>
      <c r="G235" s="2">
        <v>3510</v>
      </c>
      <c r="H235" t="str">
        <f>"ASBESTOS SURVEY-COURTHOUSE"</f>
        <v>ASBESTOS SURVEY-COURTHOUSE</v>
      </c>
    </row>
    <row r="236" spans="1:8" x14ac:dyDescent="0.25">
      <c r="A236" t="s">
        <v>71</v>
      </c>
      <c r="B236">
        <v>78260</v>
      </c>
      <c r="C236" s="3">
        <v>189</v>
      </c>
      <c r="D236" s="1">
        <v>43339</v>
      </c>
      <c r="E236" t="str">
        <f>"49827"</f>
        <v>49827</v>
      </c>
      <c r="F236" t="str">
        <f>"FLAGPOLE/LIGHTS/PCT#4"</f>
        <v>FLAGPOLE/LIGHTS/PCT#4</v>
      </c>
      <c r="G236" s="2">
        <v>189</v>
      </c>
      <c r="H236" t="str">
        <f>"FLAGPOLE/LIGHTS/PCT#4"</f>
        <v>FLAGPOLE/LIGHTS/PCT#4</v>
      </c>
    </row>
    <row r="237" spans="1:8" x14ac:dyDescent="0.25">
      <c r="A237" t="s">
        <v>72</v>
      </c>
      <c r="B237">
        <v>77920</v>
      </c>
      <c r="C237" s="3">
        <v>2096.13</v>
      </c>
      <c r="D237" s="1">
        <v>43325</v>
      </c>
      <c r="E237" t="str">
        <f>"0004"</f>
        <v>0004</v>
      </c>
      <c r="F237" t="str">
        <f>"FEMA DOCUMENTATION/MILEAGE/P2"</f>
        <v>FEMA DOCUMENTATION/MILEAGE/P2</v>
      </c>
      <c r="G237" s="2">
        <v>1303.5999999999999</v>
      </c>
      <c r="H237" t="str">
        <f>"FEMA DOCUMENTATION/MILEAGE/P2"</f>
        <v>FEMA DOCUMENTATION/MILEAGE/P2</v>
      </c>
    </row>
    <row r="238" spans="1:8" x14ac:dyDescent="0.25">
      <c r="E238" t="str">
        <f>"0005"</f>
        <v>0005</v>
      </c>
      <c r="F238" t="str">
        <f>"FEMA DOCUMENTATION/MILEAGE"</f>
        <v>FEMA DOCUMENTATION/MILEAGE</v>
      </c>
      <c r="G238" s="2">
        <v>792.53</v>
      </c>
      <c r="H238" t="str">
        <f>"FEMA DOCUMENTATION/MILEAGE"</f>
        <v>FEMA DOCUMENTATION/MILEAGE</v>
      </c>
    </row>
    <row r="239" spans="1:8" x14ac:dyDescent="0.25">
      <c r="A239" t="s">
        <v>72</v>
      </c>
      <c r="B239">
        <v>78261</v>
      </c>
      <c r="C239" s="3">
        <v>2232</v>
      </c>
      <c r="D239" s="1">
        <v>43339</v>
      </c>
      <c r="E239" t="str">
        <f>"0006"</f>
        <v>0006</v>
      </c>
      <c r="F239" t="str">
        <f>"FEMA DOCUMENTATION/MILEAGE"</f>
        <v>FEMA DOCUMENTATION/MILEAGE</v>
      </c>
      <c r="G239" s="2">
        <v>2232</v>
      </c>
      <c r="H239" t="str">
        <f>"FEMA DOCUMENTATION/MILEAGE"</f>
        <v>FEMA DOCUMENTATION/MILEAGE</v>
      </c>
    </row>
    <row r="240" spans="1:8" x14ac:dyDescent="0.25">
      <c r="A240" t="s">
        <v>73</v>
      </c>
      <c r="B240">
        <v>77921</v>
      </c>
      <c r="C240" s="3">
        <v>1283.82</v>
      </c>
      <c r="D240" s="1">
        <v>43325</v>
      </c>
      <c r="E240" t="str">
        <f>"248602"</f>
        <v>248602</v>
      </c>
      <c r="F240" t="str">
        <f>"REF#278966/PCT#4"</f>
        <v>REF#278966/PCT#4</v>
      </c>
      <c r="G240" s="2">
        <v>479.99</v>
      </c>
      <c r="H240" t="str">
        <f>"REF#278966/PCT#4"</f>
        <v>REF#278966/PCT#4</v>
      </c>
    </row>
    <row r="241" spans="1:9" x14ac:dyDescent="0.25">
      <c r="E241" t="str">
        <f>"248610"</f>
        <v>248610</v>
      </c>
      <c r="F241" t="str">
        <f>"REF#279046/PCT#4"</f>
        <v>REF#279046/PCT#4</v>
      </c>
      <c r="G241" s="2">
        <v>803.83</v>
      </c>
      <c r="H241" t="str">
        <f>"REF#279046/PCT#4"</f>
        <v>REF#279046/PCT#4</v>
      </c>
    </row>
    <row r="242" spans="1:9" x14ac:dyDescent="0.25">
      <c r="A242" t="s">
        <v>73</v>
      </c>
      <c r="B242">
        <v>78262</v>
      </c>
      <c r="C242" s="3">
        <v>55.69</v>
      </c>
      <c r="D242" s="1">
        <v>43339</v>
      </c>
      <c r="E242" t="str">
        <f>"250251"</f>
        <v>250251</v>
      </c>
      <c r="F242" t="str">
        <f>"REF#279173/PCT#4"</f>
        <v>REF#279173/PCT#4</v>
      </c>
      <c r="G242" s="2">
        <v>55.69</v>
      </c>
      <c r="H242" t="str">
        <f>"REF#279173/PCT#4"</f>
        <v>REF#279173/PCT#4</v>
      </c>
    </row>
    <row r="243" spans="1:9" x14ac:dyDescent="0.25">
      <c r="A243" t="s">
        <v>74</v>
      </c>
      <c r="B243">
        <v>77922</v>
      </c>
      <c r="C243" s="3">
        <v>77.52</v>
      </c>
      <c r="D243" s="1">
        <v>43325</v>
      </c>
      <c r="E243" t="str">
        <f>"201808082860"</f>
        <v>201808082860</v>
      </c>
      <c r="F243" t="str">
        <f>"INDIGENT HEALTH"</f>
        <v>INDIGENT HEALTH</v>
      </c>
      <c r="G243" s="2">
        <v>77.52</v>
      </c>
      <c r="H243" t="str">
        <f>"INDIGENT HEALTH"</f>
        <v>INDIGENT HEALTH</v>
      </c>
    </row>
    <row r="244" spans="1:9" x14ac:dyDescent="0.25">
      <c r="A244" t="s">
        <v>75</v>
      </c>
      <c r="B244">
        <v>77923</v>
      </c>
      <c r="C244" s="3">
        <v>1357.77</v>
      </c>
      <c r="D244" s="1">
        <v>43325</v>
      </c>
      <c r="E244" t="str">
        <f>"201808082861"</f>
        <v>201808082861</v>
      </c>
      <c r="F244" t="str">
        <f>"INDIGENT HEALTH"</f>
        <v>INDIGENT HEALTH</v>
      </c>
      <c r="G244" s="2">
        <v>1357.77</v>
      </c>
      <c r="H244" t="str">
        <f>"INDIGENT HEALTH"</f>
        <v>INDIGENT HEALTH</v>
      </c>
    </row>
    <row r="245" spans="1:9" x14ac:dyDescent="0.25">
      <c r="E245" t="str">
        <f>""</f>
        <v/>
      </c>
      <c r="F245" t="str">
        <f>""</f>
        <v/>
      </c>
      <c r="H245" t="str">
        <f>"INDIGENT HEALTH"</f>
        <v>INDIGENT HEALTH</v>
      </c>
    </row>
    <row r="246" spans="1:9" x14ac:dyDescent="0.25">
      <c r="A246" t="s">
        <v>76</v>
      </c>
      <c r="B246">
        <v>77924</v>
      </c>
      <c r="C246" s="3">
        <v>60</v>
      </c>
      <c r="D246" s="1">
        <v>43325</v>
      </c>
      <c r="E246" t="str">
        <f>"207242"</f>
        <v>207242</v>
      </c>
      <c r="F246" t="str">
        <f>"TIP FEE (AT 812 YD)/PCT#1"</f>
        <v>TIP FEE (AT 812 YD)/PCT#1</v>
      </c>
      <c r="G246" s="2">
        <v>60</v>
      </c>
      <c r="H246" t="str">
        <f>"TIP FEE (AT 812 YD)/PCT#1"</f>
        <v>TIP FEE (AT 812 YD)/PCT#1</v>
      </c>
    </row>
    <row r="247" spans="1:9" x14ac:dyDescent="0.25">
      <c r="A247" t="s">
        <v>77</v>
      </c>
      <c r="B247">
        <v>77925</v>
      </c>
      <c r="C247" s="3">
        <v>55.98</v>
      </c>
      <c r="D247" s="1">
        <v>43325</v>
      </c>
      <c r="E247" t="str">
        <f>"013233"</f>
        <v>013233</v>
      </c>
      <c r="F247" t="str">
        <f>"REPAIR"</f>
        <v>REPAIR</v>
      </c>
      <c r="G247" s="2">
        <v>55.98</v>
      </c>
      <c r="H247" t="str">
        <f>"REPAIR"</f>
        <v>REPAIR</v>
      </c>
    </row>
    <row r="248" spans="1:9" x14ac:dyDescent="0.25">
      <c r="A248" t="s">
        <v>78</v>
      </c>
      <c r="B248">
        <v>77926</v>
      </c>
      <c r="C248" s="3">
        <v>450.12</v>
      </c>
      <c r="D248" s="1">
        <v>43325</v>
      </c>
      <c r="E248" t="str">
        <f>"1043"</f>
        <v>1043</v>
      </c>
      <c r="F248" t="str">
        <f>"INV 1043"</f>
        <v>INV 1043</v>
      </c>
      <c r="G248" s="2">
        <v>450.12</v>
      </c>
      <c r="H248" t="str">
        <f>"INV 1043"</f>
        <v>INV 1043</v>
      </c>
    </row>
    <row r="249" spans="1:9" x14ac:dyDescent="0.25">
      <c r="A249" t="s">
        <v>79</v>
      </c>
      <c r="B249">
        <v>77927</v>
      </c>
      <c r="C249" s="3">
        <v>180</v>
      </c>
      <c r="D249" s="1">
        <v>43325</v>
      </c>
      <c r="E249" t="s">
        <v>80</v>
      </c>
      <c r="F249" t="s">
        <v>81</v>
      </c>
      <c r="G249" s="2" t="str">
        <f>"SERVICE FEE  03/20/18"</f>
        <v>SERVICE FEE  03/20/18</v>
      </c>
      <c r="H249" t="str">
        <f>"995-4110"</f>
        <v>995-4110</v>
      </c>
      <c r="I249" t="str">
        <f>""</f>
        <v/>
      </c>
    </row>
    <row r="250" spans="1:9" x14ac:dyDescent="0.25">
      <c r="A250" t="s">
        <v>82</v>
      </c>
      <c r="B250">
        <v>77928</v>
      </c>
      <c r="C250" s="3">
        <v>85</v>
      </c>
      <c r="D250" s="1">
        <v>43325</v>
      </c>
      <c r="E250" t="str">
        <f>"201808082826"</f>
        <v>201808082826</v>
      </c>
      <c r="F250" t="str">
        <f>"PER DIEM"</f>
        <v>PER DIEM</v>
      </c>
      <c r="G250" s="2">
        <v>85</v>
      </c>
      <c r="H250" t="str">
        <f>"PER DIEM"</f>
        <v>PER DIEM</v>
      </c>
    </row>
    <row r="251" spans="1:9" x14ac:dyDescent="0.25">
      <c r="A251" t="s">
        <v>83</v>
      </c>
      <c r="B251">
        <v>999999</v>
      </c>
      <c r="C251" s="3">
        <v>1395.9</v>
      </c>
      <c r="D251" s="1">
        <v>43326</v>
      </c>
      <c r="E251" t="str">
        <f>"201808062649"</f>
        <v>201808062649</v>
      </c>
      <c r="F251" t="str">
        <f>"CUST ID:0011/PCT#3"</f>
        <v>CUST ID:0011/PCT#3</v>
      </c>
      <c r="G251" s="2">
        <v>816.48</v>
      </c>
      <c r="H251" t="str">
        <f>"CUST ID:0011/PCT#3"</f>
        <v>CUST ID:0011/PCT#3</v>
      </c>
    </row>
    <row r="252" spans="1:9" x14ac:dyDescent="0.25">
      <c r="E252" t="str">
        <f>"201808072721"</f>
        <v>201808072721</v>
      </c>
      <c r="F252" t="str">
        <f>"CUST ID:0010/PCT#2"</f>
        <v>CUST ID:0010/PCT#2</v>
      </c>
      <c r="G252" s="2">
        <v>300</v>
      </c>
      <c r="H252" t="str">
        <f>"CUST ID:0010/PCT#2"</f>
        <v>CUST ID:0010/PCT#2</v>
      </c>
    </row>
    <row r="253" spans="1:9" x14ac:dyDescent="0.25">
      <c r="E253" t="str">
        <f>"352084"</f>
        <v>352084</v>
      </c>
      <c r="F253" t="str">
        <f>"CUST ID:0008/2009 FORD/ENVIR"</f>
        <v>CUST ID:0008/2009 FORD/ENVIR</v>
      </c>
      <c r="G253" s="2">
        <v>39.950000000000003</v>
      </c>
      <c r="H253" t="str">
        <f>"CUST ID:0008/2009 FORD/ENVIR"</f>
        <v>CUST ID:0008/2009 FORD/ENVIR</v>
      </c>
    </row>
    <row r="254" spans="1:9" x14ac:dyDescent="0.25">
      <c r="E254" t="str">
        <f>"352252"</f>
        <v>352252</v>
      </c>
      <c r="F254" t="str">
        <f>"CUST#0009/0 INTERNATIONAL/P1"</f>
        <v>CUST#0009/0 INTERNATIONAL/P1</v>
      </c>
      <c r="G254" s="2">
        <v>30</v>
      </c>
      <c r="H254" t="str">
        <f>"CUST#0009/0 INTERNATIONAL/P1"</f>
        <v>CUST#0009/0 INTERNATIONAL/P1</v>
      </c>
    </row>
    <row r="255" spans="1:9" x14ac:dyDescent="0.25">
      <c r="E255" t="str">
        <f>"352417"</f>
        <v>352417</v>
      </c>
      <c r="F255" t="str">
        <f>"LOOSE TIRE"</f>
        <v>LOOSE TIRE</v>
      </c>
      <c r="G255" s="2">
        <v>209.47</v>
      </c>
      <c r="H255" t="str">
        <f>"LOOSE TIRE"</f>
        <v>LOOSE TIRE</v>
      </c>
    </row>
    <row r="256" spans="1:9" x14ac:dyDescent="0.25">
      <c r="A256" t="s">
        <v>84</v>
      </c>
      <c r="B256">
        <v>78263</v>
      </c>
      <c r="C256" s="3">
        <v>1900</v>
      </c>
      <c r="D256" s="1">
        <v>43339</v>
      </c>
      <c r="E256" t="str">
        <f>"1187"</f>
        <v>1187</v>
      </c>
      <c r="F256" t="str">
        <f>"2017 FORD/PCT#1"</f>
        <v>2017 FORD/PCT#1</v>
      </c>
      <c r="G256" s="2">
        <v>1900</v>
      </c>
      <c r="H256" t="str">
        <f>"2017 FORD/PCT#1"</f>
        <v>2017 FORD/PCT#1</v>
      </c>
    </row>
    <row r="257" spans="1:9" x14ac:dyDescent="0.25">
      <c r="A257" t="s">
        <v>85</v>
      </c>
      <c r="B257">
        <v>78264</v>
      </c>
      <c r="C257" s="3">
        <v>139820.5</v>
      </c>
      <c r="D257" s="1">
        <v>43339</v>
      </c>
      <c r="E257" t="str">
        <f>"201808162913"</f>
        <v>201808162913</v>
      </c>
      <c r="F257" t="str">
        <f>"BCAD LOCAL SUPPORT 4TH QTR2018"</f>
        <v>BCAD LOCAL SUPPORT 4TH QTR2018</v>
      </c>
      <c r="G257" s="2">
        <v>139820.5</v>
      </c>
      <c r="H257" t="str">
        <f>"BCAD LOCAL SUPPORT 4TH QTR2018"</f>
        <v>BCAD LOCAL SUPPORT 4TH QTR2018</v>
      </c>
    </row>
    <row r="258" spans="1:9" x14ac:dyDescent="0.25">
      <c r="A258" t="s">
        <v>86</v>
      </c>
      <c r="B258">
        <v>77929</v>
      </c>
      <c r="C258" s="3">
        <v>7647</v>
      </c>
      <c r="D258" s="1">
        <v>43325</v>
      </c>
      <c r="E258" t="s">
        <v>87</v>
      </c>
      <c r="F258" t="s">
        <v>88</v>
      </c>
      <c r="G258" s="2" t="str">
        <f>"SERVICE  06/04/18"</f>
        <v>SERVICE  06/04/18</v>
      </c>
      <c r="H258" t="str">
        <f>"995-4110"</f>
        <v>995-4110</v>
      </c>
      <c r="I258" t="str">
        <f>""</f>
        <v/>
      </c>
    </row>
    <row r="259" spans="1:9" x14ac:dyDescent="0.25">
      <c r="E259" t="s">
        <v>80</v>
      </c>
      <c r="F259" t="s">
        <v>89</v>
      </c>
      <c r="G259" s="2" t="str">
        <f>"SERVICE"</f>
        <v>SERVICE</v>
      </c>
      <c r="H259" t="str">
        <f>"995-4110"</f>
        <v>995-4110</v>
      </c>
      <c r="I259" t="str">
        <f>""</f>
        <v/>
      </c>
    </row>
    <row r="260" spans="1:9" x14ac:dyDescent="0.25">
      <c r="E260" t="s">
        <v>80</v>
      </c>
      <c r="F260" t="s">
        <v>90</v>
      </c>
      <c r="G260" s="2" t="str">
        <f>"SERVICE"</f>
        <v>SERVICE</v>
      </c>
      <c r="H260" t="str">
        <f>"995-4110"</f>
        <v>995-4110</v>
      </c>
      <c r="I260" t="str">
        <f>""</f>
        <v/>
      </c>
    </row>
    <row r="261" spans="1:9" x14ac:dyDescent="0.25">
      <c r="E261" t="str">
        <f>"11043"</f>
        <v>11043</v>
      </c>
      <c r="F261" t="str">
        <f>"SERVICE   05/17/18"</f>
        <v>SERVICE   05/17/18</v>
      </c>
      <c r="G261" s="2">
        <v>100</v>
      </c>
      <c r="H261" t="str">
        <f>"SERVICE   05/17/18"</f>
        <v>SERVICE   05/17/18</v>
      </c>
    </row>
    <row r="262" spans="1:9" x14ac:dyDescent="0.25">
      <c r="E262" t="str">
        <f>"11861  06/01/18"</f>
        <v>11861  06/01/18</v>
      </c>
      <c r="F262" t="str">
        <f>"SERVICE  06/01/18"</f>
        <v>SERVICE  06/01/18</v>
      </c>
      <c r="G262" s="2">
        <v>250</v>
      </c>
      <c r="H262" t="str">
        <f>"SERVICE  06/01/18"</f>
        <v>SERVICE  06/01/18</v>
      </c>
    </row>
    <row r="263" spans="1:9" x14ac:dyDescent="0.25">
      <c r="E263" t="str">
        <f>"11864"</f>
        <v>11864</v>
      </c>
      <c r="F263" t="str">
        <f>"SERVICE  03/20/18"</f>
        <v>SERVICE  03/20/18</v>
      </c>
      <c r="G263" s="2">
        <v>275</v>
      </c>
      <c r="H263" t="str">
        <f>"SERVICE  03/20/18"</f>
        <v>SERVICE  03/20/18</v>
      </c>
    </row>
    <row r="264" spans="1:9" x14ac:dyDescent="0.25">
      <c r="E264" t="str">
        <f>"12069"</f>
        <v>12069</v>
      </c>
      <c r="F264" t="str">
        <f>"SERVICE  06/15/18"</f>
        <v>SERVICE  06/15/18</v>
      </c>
      <c r="G264" s="2">
        <v>325</v>
      </c>
      <c r="H264" t="str">
        <f>"SERVICE  06/15/18"</f>
        <v>SERVICE  06/15/18</v>
      </c>
    </row>
    <row r="265" spans="1:9" x14ac:dyDescent="0.25">
      <c r="E265" t="str">
        <f>"12100"</f>
        <v>12100</v>
      </c>
      <c r="F265" t="str">
        <f>"SERVICE  05/16/18"</f>
        <v>SERVICE  05/16/18</v>
      </c>
      <c r="G265" s="2">
        <v>150</v>
      </c>
      <c r="H265" t="str">
        <f>"SERVICE  05/16/18"</f>
        <v>SERVICE  05/16/18</v>
      </c>
    </row>
    <row r="266" spans="1:9" x14ac:dyDescent="0.25">
      <c r="E266" t="str">
        <f>"12205"</f>
        <v>12205</v>
      </c>
      <c r="F266" t="str">
        <f>"SERVICE  06/15/18"</f>
        <v>SERVICE  06/15/18</v>
      </c>
      <c r="G266" s="2">
        <v>56</v>
      </c>
      <c r="H266" t="str">
        <f>"SERVICE  06/15/18"</f>
        <v>SERVICE  06/15/18</v>
      </c>
    </row>
    <row r="267" spans="1:9" x14ac:dyDescent="0.25">
      <c r="E267" t="str">
        <f>"12205  07/27/18"</f>
        <v>12205  07/27/18</v>
      </c>
      <c r="F267" t="str">
        <f>"SERVICE"</f>
        <v>SERVICE</v>
      </c>
      <c r="G267" s="2">
        <v>100</v>
      </c>
      <c r="H267" t="str">
        <f>"SERVICE"</f>
        <v>SERVICE</v>
      </c>
    </row>
    <row r="268" spans="1:9" x14ac:dyDescent="0.25">
      <c r="E268" t="str">
        <f>"12222"</f>
        <v>12222</v>
      </c>
      <c r="F268" t="str">
        <f>"SERVICE  06/18/18"</f>
        <v>SERVICE  06/18/18</v>
      </c>
      <c r="G268" s="2">
        <v>75</v>
      </c>
      <c r="H268" t="str">
        <f>"SERVICE  06/18/18"</f>
        <v>SERVICE  06/18/18</v>
      </c>
    </row>
    <row r="269" spans="1:9" x14ac:dyDescent="0.25">
      <c r="E269" t="str">
        <f>"12261  06/27/18"</f>
        <v>12261  06/27/18</v>
      </c>
      <c r="F269" t="str">
        <f>"SERVICE"</f>
        <v>SERVICE</v>
      </c>
      <c r="G269" s="2">
        <v>250</v>
      </c>
      <c r="H269" t="str">
        <f>"SERVICE"</f>
        <v>SERVICE</v>
      </c>
    </row>
    <row r="270" spans="1:9" x14ac:dyDescent="0.25">
      <c r="E270" t="str">
        <f>"12271"</f>
        <v>12271</v>
      </c>
      <c r="F270" t="str">
        <f>"SERVICE  06/04/18"</f>
        <v>SERVICE  06/04/18</v>
      </c>
      <c r="G270" s="2">
        <v>325</v>
      </c>
      <c r="H270" t="str">
        <f>"SERVICE  06/04/18"</f>
        <v>SERVICE  06/04/18</v>
      </c>
    </row>
    <row r="271" spans="1:9" x14ac:dyDescent="0.25">
      <c r="E271" t="str">
        <f>"12277"</f>
        <v>12277</v>
      </c>
      <c r="F271" t="str">
        <f>"SERVICE  05/07/18"</f>
        <v>SERVICE  05/07/18</v>
      </c>
      <c r="G271" s="2">
        <v>200</v>
      </c>
      <c r="H271" t="str">
        <f>"SERVICE  05/07/18"</f>
        <v>SERVICE  05/07/18</v>
      </c>
    </row>
    <row r="272" spans="1:9" x14ac:dyDescent="0.25">
      <c r="E272" t="str">
        <f>"12294"</f>
        <v>12294</v>
      </c>
      <c r="F272" t="str">
        <f>"SERVICE  05/07/18"</f>
        <v>SERVICE  05/07/18</v>
      </c>
      <c r="G272" s="2">
        <v>275</v>
      </c>
      <c r="H272" t="str">
        <f>"SERVICE  05/07/18"</f>
        <v>SERVICE  05/07/18</v>
      </c>
    </row>
    <row r="273" spans="5:8" x14ac:dyDescent="0.25">
      <c r="E273" t="str">
        <f>"12311  06/11/18"</f>
        <v>12311  06/11/18</v>
      </c>
      <c r="F273" t="str">
        <f>"SERVICE"</f>
        <v>SERVICE</v>
      </c>
      <c r="G273" s="2">
        <v>26</v>
      </c>
      <c r="H273" t="str">
        <f>"SERVICE"</f>
        <v>SERVICE</v>
      </c>
    </row>
    <row r="274" spans="5:8" x14ac:dyDescent="0.25">
      <c r="E274" t="str">
        <f>"12329  07/06/18"</f>
        <v>12329  07/06/18</v>
      </c>
      <c r="F274" t="str">
        <f>"SERVICE  07/06/18"</f>
        <v>SERVICE  07/06/18</v>
      </c>
      <c r="G274" s="2">
        <v>50</v>
      </c>
      <c r="H274" t="str">
        <f>"SERVICE  07/06/18"</f>
        <v>SERVICE  07/06/18</v>
      </c>
    </row>
    <row r="275" spans="5:8" x14ac:dyDescent="0.25">
      <c r="E275" t="str">
        <f>"12402"</f>
        <v>12402</v>
      </c>
      <c r="F275" t="str">
        <f>"SERVICE  06/01/18"</f>
        <v>SERVICE  06/01/18</v>
      </c>
      <c r="G275" s="2">
        <v>575</v>
      </c>
      <c r="H275" t="str">
        <f>"SERVICE  06/01/18"</f>
        <v>SERVICE  06/01/18</v>
      </c>
    </row>
    <row r="276" spans="5:8" x14ac:dyDescent="0.25">
      <c r="E276" t="str">
        <f>"12436"</f>
        <v>12436</v>
      </c>
      <c r="F276" t="str">
        <f>"SERVICE  05/29/18"</f>
        <v>SERVICE  05/29/18</v>
      </c>
      <c r="G276" s="2">
        <v>150</v>
      </c>
      <c r="H276" t="str">
        <f>"SERVICE  05/29/18"</f>
        <v>SERVICE  05/29/18</v>
      </c>
    </row>
    <row r="277" spans="5:8" x14ac:dyDescent="0.25">
      <c r="E277" t="str">
        <f>"12535"</f>
        <v>12535</v>
      </c>
      <c r="F277" t="str">
        <f>"SERVICE  05/22/18"</f>
        <v>SERVICE  05/22/18</v>
      </c>
      <c r="G277" s="2">
        <v>250</v>
      </c>
      <c r="H277" t="str">
        <f>"SERVICE  05/22/18"</f>
        <v>SERVICE  05/22/18</v>
      </c>
    </row>
    <row r="278" spans="5:8" x14ac:dyDescent="0.25">
      <c r="E278" t="str">
        <f>"12576"</f>
        <v>12576</v>
      </c>
      <c r="F278" t="str">
        <f>"SERVICE  05/16/18"</f>
        <v>SERVICE  05/16/18</v>
      </c>
      <c r="G278" s="2">
        <v>250</v>
      </c>
      <c r="H278" t="str">
        <f>"SERVICE  05/16/18"</f>
        <v>SERVICE  05/16/18</v>
      </c>
    </row>
    <row r="279" spans="5:8" x14ac:dyDescent="0.25">
      <c r="E279" t="str">
        <f>"12597  06/01/18"</f>
        <v>12597  06/01/18</v>
      </c>
      <c r="F279" t="str">
        <f>"SERVICE  06/01/18"</f>
        <v>SERVICE  06/01/18</v>
      </c>
      <c r="G279" s="2">
        <v>250</v>
      </c>
      <c r="H279" t="str">
        <f>"SERVICE  06/01/18"</f>
        <v>SERVICE  06/01/18</v>
      </c>
    </row>
    <row r="280" spans="5:8" x14ac:dyDescent="0.25">
      <c r="E280" t="str">
        <f>"12737"</f>
        <v>12737</v>
      </c>
      <c r="F280" t="str">
        <f>"SERVICE  06/06/18"</f>
        <v>SERVICE  06/06/18</v>
      </c>
      <c r="G280" s="2">
        <v>300</v>
      </c>
      <c r="H280" t="str">
        <f>"SERVICE  06/06/18"</f>
        <v>SERVICE  06/06/18</v>
      </c>
    </row>
    <row r="281" spans="5:8" x14ac:dyDescent="0.25">
      <c r="E281" t="str">
        <f>"12793"</f>
        <v>12793</v>
      </c>
      <c r="F281" t="str">
        <f>"SERVICE  03/20/18"</f>
        <v>SERVICE  03/20/18</v>
      </c>
      <c r="G281" s="2">
        <v>300</v>
      </c>
      <c r="H281" t="str">
        <f>"SERVICE  03/20/18"</f>
        <v>SERVICE  03/20/18</v>
      </c>
    </row>
    <row r="282" spans="5:8" x14ac:dyDescent="0.25">
      <c r="E282" t="str">
        <f>"12797"</f>
        <v>12797</v>
      </c>
      <c r="F282" t="str">
        <f>"SERVICE  06/04/18"</f>
        <v>SERVICE  06/04/18</v>
      </c>
      <c r="G282" s="2">
        <v>325</v>
      </c>
      <c r="H282" t="str">
        <f>"SERVICE  06/04/18"</f>
        <v>SERVICE  06/04/18</v>
      </c>
    </row>
    <row r="283" spans="5:8" x14ac:dyDescent="0.25">
      <c r="E283" t="str">
        <f>"12798"</f>
        <v>12798</v>
      </c>
      <c r="F283" t="str">
        <f>"SERVICE  06/05/18"</f>
        <v>SERVICE  06/05/18</v>
      </c>
      <c r="G283" s="2">
        <v>475</v>
      </c>
      <c r="H283" t="str">
        <f>"SERVICE  06/05/18"</f>
        <v>SERVICE  06/05/18</v>
      </c>
    </row>
    <row r="284" spans="5:8" x14ac:dyDescent="0.25">
      <c r="E284" t="str">
        <f>"12859"</f>
        <v>12859</v>
      </c>
      <c r="F284" t="str">
        <f>"SERVICE  05/22/18"</f>
        <v>SERVICE  05/22/18</v>
      </c>
      <c r="G284" s="2">
        <v>150</v>
      </c>
      <c r="H284" t="str">
        <f>"SERVICE  05/22/18"</f>
        <v>SERVICE  05/22/18</v>
      </c>
    </row>
    <row r="285" spans="5:8" x14ac:dyDescent="0.25">
      <c r="E285" t="str">
        <f>"12887"</f>
        <v>12887</v>
      </c>
      <c r="F285" t="str">
        <f>"SERVICE  05/16/18"</f>
        <v>SERVICE  05/16/18</v>
      </c>
      <c r="G285" s="2">
        <v>150</v>
      </c>
      <c r="H285" t="str">
        <f>"SERVICE  05/16/18"</f>
        <v>SERVICE  05/16/18</v>
      </c>
    </row>
    <row r="286" spans="5:8" x14ac:dyDescent="0.25">
      <c r="E286" t="str">
        <f>"12919"</f>
        <v>12919</v>
      </c>
      <c r="F286" t="str">
        <f>"SERVICE  06/08/18"</f>
        <v>SERVICE  06/08/18</v>
      </c>
      <c r="G286" s="2">
        <v>75</v>
      </c>
      <c r="H286" t="str">
        <f>"SERVICE  06/08/18"</f>
        <v>SERVICE  06/08/18</v>
      </c>
    </row>
    <row r="287" spans="5:8" x14ac:dyDescent="0.25">
      <c r="E287" t="str">
        <f>"12937"</f>
        <v>12937</v>
      </c>
      <c r="F287" t="str">
        <f>"SERVICE  05/24/18"</f>
        <v>SERVICE  05/24/18</v>
      </c>
      <c r="G287" s="2">
        <v>150</v>
      </c>
      <c r="H287" t="str">
        <f>"SERVICE  05/24/18"</f>
        <v>SERVICE  05/24/18</v>
      </c>
    </row>
    <row r="288" spans="5:8" x14ac:dyDescent="0.25">
      <c r="E288" t="str">
        <f>"12952"</f>
        <v>12952</v>
      </c>
      <c r="F288" t="str">
        <f>"SERVICE  06/26/18"</f>
        <v>SERVICE  06/26/18</v>
      </c>
      <c r="G288" s="2">
        <v>75</v>
      </c>
      <c r="H288" t="str">
        <f>"SERVICE  06/26/18"</f>
        <v>SERVICE  06/26/18</v>
      </c>
    </row>
    <row r="289" spans="1:8" x14ac:dyDescent="0.25">
      <c r="E289" t="str">
        <f>"12954"</f>
        <v>12954</v>
      </c>
      <c r="F289" t="str">
        <f>"SERVICE  05/18/18"</f>
        <v>SERVICE  05/18/18</v>
      </c>
      <c r="G289" s="2">
        <v>150</v>
      </c>
      <c r="H289" t="str">
        <f>"SERVICE  05/18/18"</f>
        <v>SERVICE  05/18/18</v>
      </c>
    </row>
    <row r="290" spans="1:8" x14ac:dyDescent="0.25">
      <c r="E290" t="str">
        <f>"12956"</f>
        <v>12956</v>
      </c>
      <c r="F290" t="str">
        <f>"SERVICE  06/27/18"</f>
        <v>SERVICE  06/27/18</v>
      </c>
      <c r="G290" s="2">
        <v>150</v>
      </c>
      <c r="H290" t="str">
        <f>"SERVICE  06/27/18"</f>
        <v>SERVICE  06/27/18</v>
      </c>
    </row>
    <row r="291" spans="1:8" x14ac:dyDescent="0.25">
      <c r="E291" t="str">
        <f>"12964"</f>
        <v>12964</v>
      </c>
      <c r="F291" t="str">
        <f>"SERVICE  05/31/18"</f>
        <v>SERVICE  05/31/18</v>
      </c>
      <c r="G291" s="2">
        <v>150</v>
      </c>
      <c r="H291" t="str">
        <f>"SERVICE  05/31/18"</f>
        <v>SERVICE  05/31/18</v>
      </c>
    </row>
    <row r="292" spans="1:8" x14ac:dyDescent="0.25">
      <c r="E292" t="str">
        <f>"12976"</f>
        <v>12976</v>
      </c>
      <c r="F292" t="str">
        <f>"SERVICE  06/13/18"</f>
        <v>SERVICE  06/13/18</v>
      </c>
      <c r="G292" s="2">
        <v>150</v>
      </c>
      <c r="H292" t="str">
        <f>"SERVICE  06/13/18"</f>
        <v>SERVICE  06/13/18</v>
      </c>
    </row>
    <row r="293" spans="1:8" x14ac:dyDescent="0.25">
      <c r="E293" t="str">
        <f>"12987"</f>
        <v>12987</v>
      </c>
      <c r="F293" t="str">
        <f>"SERVICE  06/13/18"</f>
        <v>SERVICE  06/13/18</v>
      </c>
      <c r="G293" s="2">
        <v>150</v>
      </c>
      <c r="H293" t="str">
        <f>"SERVICE  06/13/18"</f>
        <v>SERVICE  06/13/18</v>
      </c>
    </row>
    <row r="294" spans="1:8" x14ac:dyDescent="0.25">
      <c r="E294" t="str">
        <f>"12999"</f>
        <v>12999</v>
      </c>
      <c r="F294" t="str">
        <f>"SERVICE"</f>
        <v>SERVICE</v>
      </c>
      <c r="G294" s="2">
        <v>225</v>
      </c>
      <c r="H294" t="str">
        <f>"SERVICE"</f>
        <v>SERVICE</v>
      </c>
    </row>
    <row r="295" spans="1:8" x14ac:dyDescent="0.25">
      <c r="A295" t="s">
        <v>86</v>
      </c>
      <c r="B295">
        <v>78265</v>
      </c>
      <c r="C295" s="3">
        <v>4887.08</v>
      </c>
      <c r="D295" s="1">
        <v>43339</v>
      </c>
      <c r="E295" t="str">
        <f>"11039"</f>
        <v>11039</v>
      </c>
      <c r="F295" t="str">
        <f t="shared" ref="F295:F310" si="1">"SERVICE  06/27/18"</f>
        <v>SERVICE  06/27/18</v>
      </c>
      <c r="G295" s="2">
        <v>275</v>
      </c>
      <c r="H295" t="str">
        <f t="shared" ref="H295:H310" si="2">"SERVICE  06/27/18"</f>
        <v>SERVICE  06/27/18</v>
      </c>
    </row>
    <row r="296" spans="1:8" x14ac:dyDescent="0.25">
      <c r="E296" t="str">
        <f>"12090"</f>
        <v>12090</v>
      </c>
      <c r="F296" t="str">
        <f t="shared" si="1"/>
        <v>SERVICE  06/27/18</v>
      </c>
      <c r="G296" s="2">
        <v>575</v>
      </c>
      <c r="H296" t="str">
        <f t="shared" si="2"/>
        <v>SERVICE  06/27/18</v>
      </c>
    </row>
    <row r="297" spans="1:8" x14ac:dyDescent="0.25">
      <c r="E297" t="str">
        <f>"12166  06/27/18"</f>
        <v>12166  06/27/18</v>
      </c>
      <c r="F297" t="str">
        <f t="shared" si="1"/>
        <v>SERVICE  06/27/18</v>
      </c>
      <c r="G297" s="2">
        <v>20.420000000000002</v>
      </c>
      <c r="H297" t="str">
        <f t="shared" si="2"/>
        <v>SERVICE  06/27/18</v>
      </c>
    </row>
    <row r="298" spans="1:8" x14ac:dyDescent="0.25">
      <c r="E298" t="str">
        <f>"12175"</f>
        <v>12175</v>
      </c>
      <c r="F298" t="str">
        <f t="shared" si="1"/>
        <v>SERVICE  06/27/18</v>
      </c>
      <c r="G298" s="2">
        <v>200</v>
      </c>
      <c r="H298" t="str">
        <f t="shared" si="2"/>
        <v>SERVICE  06/27/18</v>
      </c>
    </row>
    <row r="299" spans="1:8" x14ac:dyDescent="0.25">
      <c r="E299" t="str">
        <f>"12177"</f>
        <v>12177</v>
      </c>
      <c r="F299" t="str">
        <f t="shared" si="1"/>
        <v>SERVICE  06/27/18</v>
      </c>
      <c r="G299" s="2">
        <v>200</v>
      </c>
      <c r="H299" t="str">
        <f t="shared" si="2"/>
        <v>SERVICE  06/27/18</v>
      </c>
    </row>
    <row r="300" spans="1:8" x14ac:dyDescent="0.25">
      <c r="E300" t="str">
        <f>"12183"</f>
        <v>12183</v>
      </c>
      <c r="F300" t="str">
        <f t="shared" si="1"/>
        <v>SERVICE  06/27/18</v>
      </c>
      <c r="G300" s="2">
        <v>116.66</v>
      </c>
      <c r="H300" t="str">
        <f t="shared" si="2"/>
        <v>SERVICE  06/27/18</v>
      </c>
    </row>
    <row r="301" spans="1:8" x14ac:dyDescent="0.25">
      <c r="E301" t="str">
        <f>"12206"</f>
        <v>12206</v>
      </c>
      <c r="F301" t="str">
        <f t="shared" si="1"/>
        <v>SERVICE  06/27/18</v>
      </c>
      <c r="G301" s="2">
        <v>200</v>
      </c>
      <c r="H301" t="str">
        <f t="shared" si="2"/>
        <v>SERVICE  06/27/18</v>
      </c>
    </row>
    <row r="302" spans="1:8" x14ac:dyDescent="0.25">
      <c r="E302" t="str">
        <f>"12210"</f>
        <v>12210</v>
      </c>
      <c r="F302" t="str">
        <f t="shared" si="1"/>
        <v>SERVICE  06/27/18</v>
      </c>
      <c r="G302" s="2">
        <v>325</v>
      </c>
      <c r="H302" t="str">
        <f t="shared" si="2"/>
        <v>SERVICE  06/27/18</v>
      </c>
    </row>
    <row r="303" spans="1:8" x14ac:dyDescent="0.25">
      <c r="E303" t="str">
        <f>"12406"</f>
        <v>12406</v>
      </c>
      <c r="F303" t="str">
        <f t="shared" si="1"/>
        <v>SERVICE  06/27/18</v>
      </c>
      <c r="G303" s="2">
        <v>550</v>
      </c>
      <c r="H303" t="str">
        <f t="shared" si="2"/>
        <v>SERVICE  06/27/18</v>
      </c>
    </row>
    <row r="304" spans="1:8" x14ac:dyDescent="0.25">
      <c r="E304" t="str">
        <f>"12453"</f>
        <v>12453</v>
      </c>
      <c r="F304" t="str">
        <f t="shared" si="1"/>
        <v>SERVICE  06/27/18</v>
      </c>
      <c r="G304" s="2">
        <v>400</v>
      </c>
      <c r="H304" t="str">
        <f t="shared" si="2"/>
        <v>SERVICE  06/27/18</v>
      </c>
    </row>
    <row r="305" spans="1:9" x14ac:dyDescent="0.25">
      <c r="E305" t="str">
        <f>"12470"</f>
        <v>12470</v>
      </c>
      <c r="F305" t="str">
        <f t="shared" si="1"/>
        <v>SERVICE  06/27/18</v>
      </c>
      <c r="G305" s="2">
        <v>325</v>
      </c>
      <c r="H305" t="str">
        <f t="shared" si="2"/>
        <v>SERVICE  06/27/18</v>
      </c>
    </row>
    <row r="306" spans="1:9" x14ac:dyDescent="0.25">
      <c r="E306" t="str">
        <f>"12484"</f>
        <v>12484</v>
      </c>
      <c r="F306" t="str">
        <f t="shared" si="1"/>
        <v>SERVICE  06/27/18</v>
      </c>
      <c r="G306" s="2">
        <v>325</v>
      </c>
      <c r="H306" t="str">
        <f t="shared" si="2"/>
        <v>SERVICE  06/27/18</v>
      </c>
    </row>
    <row r="307" spans="1:9" x14ac:dyDescent="0.25">
      <c r="E307" t="str">
        <f>"12499"</f>
        <v>12499</v>
      </c>
      <c r="F307" t="str">
        <f t="shared" si="1"/>
        <v>SERVICE  06/27/18</v>
      </c>
      <c r="G307" s="2">
        <v>325</v>
      </c>
      <c r="H307" t="str">
        <f t="shared" si="2"/>
        <v>SERVICE  06/27/18</v>
      </c>
    </row>
    <row r="308" spans="1:9" x14ac:dyDescent="0.25">
      <c r="E308" t="str">
        <f>"12746"</f>
        <v>12746</v>
      </c>
      <c r="F308" t="str">
        <f t="shared" si="1"/>
        <v>SERVICE  06/27/18</v>
      </c>
      <c r="G308" s="2">
        <v>400</v>
      </c>
      <c r="H308" t="str">
        <f t="shared" si="2"/>
        <v>SERVICE  06/27/18</v>
      </c>
    </row>
    <row r="309" spans="1:9" x14ac:dyDescent="0.25">
      <c r="E309" t="str">
        <f>"12769"</f>
        <v>12769</v>
      </c>
      <c r="F309" t="str">
        <f t="shared" si="1"/>
        <v>SERVICE  06/27/18</v>
      </c>
      <c r="G309" s="2">
        <v>325</v>
      </c>
      <c r="H309" t="str">
        <f t="shared" si="2"/>
        <v>SERVICE  06/27/18</v>
      </c>
    </row>
    <row r="310" spans="1:9" x14ac:dyDescent="0.25">
      <c r="E310" t="str">
        <f>"12781"</f>
        <v>12781</v>
      </c>
      <c r="F310" t="str">
        <f t="shared" si="1"/>
        <v>SERVICE  06/27/18</v>
      </c>
      <c r="G310" s="2">
        <v>325</v>
      </c>
      <c r="H310" t="str">
        <f t="shared" si="2"/>
        <v>SERVICE  06/27/18</v>
      </c>
    </row>
    <row r="311" spans="1:9" x14ac:dyDescent="0.25">
      <c r="A311" t="s">
        <v>91</v>
      </c>
      <c r="B311">
        <v>77930</v>
      </c>
      <c r="C311" s="3">
        <v>302.89999999999998</v>
      </c>
      <c r="D311" s="1">
        <v>43325</v>
      </c>
      <c r="E311" t="str">
        <f>"11996 12041 17409"</f>
        <v>11996 12041 17409</v>
      </c>
      <c r="F311" t="str">
        <f>"OFFICE SUPPLIES"</f>
        <v>OFFICE SUPPLIES</v>
      </c>
      <c r="G311" s="2">
        <v>302.89999999999998</v>
      </c>
      <c r="H311" t="str">
        <f>"OFFICE SUPPLIES"</f>
        <v>OFFICE SUPPLIES</v>
      </c>
    </row>
    <row r="312" spans="1:9" x14ac:dyDescent="0.25">
      <c r="E312" t="str">
        <f>""</f>
        <v/>
      </c>
      <c r="F312" t="str">
        <f>""</f>
        <v/>
      </c>
      <c r="H312" t="str">
        <f>"OFFICE SUPPLIES"</f>
        <v>OFFICE SUPPLIES</v>
      </c>
    </row>
    <row r="313" spans="1:9" x14ac:dyDescent="0.25">
      <c r="A313" t="s">
        <v>92</v>
      </c>
      <c r="B313">
        <v>77931</v>
      </c>
      <c r="C313" s="3">
        <v>2500</v>
      </c>
      <c r="D313" s="1">
        <v>43325</v>
      </c>
      <c r="E313" t="s">
        <v>93</v>
      </c>
      <c r="F313" t="s">
        <v>94</v>
      </c>
      <c r="G313" s="2" t="str">
        <f>"RESTITUTION-G. SNOWDEN"</f>
        <v>RESTITUTION-G. SNOWDEN</v>
      </c>
      <c r="H313" t="str">
        <f>"210-0000"</f>
        <v>210-0000</v>
      </c>
      <c r="I313" t="str">
        <f>""</f>
        <v/>
      </c>
    </row>
    <row r="314" spans="1:9" x14ac:dyDescent="0.25">
      <c r="A314" t="s">
        <v>95</v>
      </c>
      <c r="B314">
        <v>77932</v>
      </c>
      <c r="C314" s="3">
        <v>74704.5</v>
      </c>
      <c r="D314" s="1">
        <v>43325</v>
      </c>
      <c r="E314" t="str">
        <f>"3RD QUARTER FY'18"</f>
        <v>3RD QUARTER FY'18</v>
      </c>
      <c r="F314" t="str">
        <f>"CUST ID:BASTROP/REVENUE BASTRO"</f>
        <v>CUST ID:BASTROP/REVENUE BASTRO</v>
      </c>
      <c r="G314" s="2">
        <v>74704.5</v>
      </c>
      <c r="H314" t="str">
        <f>"CUST ID:BASTROP/REVENUE BASTRO"</f>
        <v>CUST ID:BASTROP/REVENUE BASTRO</v>
      </c>
    </row>
    <row r="315" spans="1:9" x14ac:dyDescent="0.25">
      <c r="A315" t="s">
        <v>96</v>
      </c>
      <c r="B315">
        <v>77933</v>
      </c>
      <c r="C315" s="3">
        <v>20</v>
      </c>
      <c r="D315" s="1">
        <v>43325</v>
      </c>
      <c r="E315" t="s">
        <v>97</v>
      </c>
      <c r="F315" t="s">
        <v>98</v>
      </c>
      <c r="G315" s="2" t="str">
        <f>"RESTITUTION-B. HAYWOOD"</f>
        <v>RESTITUTION-B. HAYWOOD</v>
      </c>
      <c r="H315" t="str">
        <f>"210-0000"</f>
        <v>210-0000</v>
      </c>
      <c r="I315" t="str">
        <f>""</f>
        <v/>
      </c>
    </row>
    <row r="316" spans="1:9" x14ac:dyDescent="0.25">
      <c r="A316" t="s">
        <v>99</v>
      </c>
      <c r="B316">
        <v>999999</v>
      </c>
      <c r="C316" s="3">
        <v>6966.67</v>
      </c>
      <c r="D316" s="1">
        <v>43315</v>
      </c>
      <c r="E316" t="str">
        <f>"201808012467"</f>
        <v>201808012467</v>
      </c>
      <c r="F316" t="str">
        <f>"BASTROP COMMUNITY CARES GRANT"</f>
        <v>BASTROP COMMUNITY CARES GRANT</v>
      </c>
      <c r="G316" s="2">
        <v>6966.67</v>
      </c>
      <c r="H316" t="str">
        <f>"BASTROP COMMUNITY CARES GRANT"</f>
        <v>BASTROP COMMUNITY CARES GRANT</v>
      </c>
    </row>
    <row r="317" spans="1:9" x14ac:dyDescent="0.25">
      <c r="A317" t="s">
        <v>99</v>
      </c>
      <c r="B317">
        <v>999999</v>
      </c>
      <c r="C317" s="3">
        <v>10988.17</v>
      </c>
      <c r="D317" s="1">
        <v>43326</v>
      </c>
      <c r="E317" t="str">
        <f>"201808062636"</f>
        <v>201808062636</v>
      </c>
      <c r="F317" t="str">
        <f>"GRANT REIMBURSEMENT"</f>
        <v>GRANT REIMBURSEMENT</v>
      </c>
      <c r="G317" s="2">
        <v>10988.17</v>
      </c>
      <c r="H317" t="str">
        <f>"GRANT REIMBURSEMENT"</f>
        <v>GRANT REIMBURSEMENT</v>
      </c>
    </row>
    <row r="318" spans="1:9" x14ac:dyDescent="0.25">
      <c r="A318" t="s">
        <v>99</v>
      </c>
      <c r="B318">
        <v>999999</v>
      </c>
      <c r="C318" s="3">
        <v>6966.67</v>
      </c>
      <c r="D318" s="1">
        <v>43340</v>
      </c>
      <c r="E318" t="str">
        <f>"201808233030"</f>
        <v>201808233030</v>
      </c>
      <c r="F318" t="str">
        <f>"GRANT REIMBURSEMENT-AUGUST 18"</f>
        <v>GRANT REIMBURSEMENT-AUGUST 18</v>
      </c>
      <c r="G318" s="2">
        <v>6966.67</v>
      </c>
      <c r="H318" t="str">
        <f>"GRANT REIMBURSEMENT-AUGUST 18"</f>
        <v>GRANT REIMBURSEMENT-AUGUST 18</v>
      </c>
    </row>
    <row r="319" spans="1:9" x14ac:dyDescent="0.25">
      <c r="A319" t="s">
        <v>100</v>
      </c>
      <c r="B319">
        <v>999999</v>
      </c>
      <c r="C319" s="3">
        <v>33.270000000000003</v>
      </c>
      <c r="D319" s="1">
        <v>43326</v>
      </c>
      <c r="E319" t="str">
        <f>"201808082862"</f>
        <v>201808082862</v>
      </c>
      <c r="F319" t="str">
        <f>"INDIGENT HEALTH"</f>
        <v>INDIGENT HEALTH</v>
      </c>
      <c r="G319" s="2">
        <v>33.270000000000003</v>
      </c>
      <c r="H319" t="str">
        <f>"INDIGENT HEALTH"</f>
        <v>INDIGENT HEALTH</v>
      </c>
    </row>
    <row r="320" spans="1:9" x14ac:dyDescent="0.25">
      <c r="A320" t="s">
        <v>101</v>
      </c>
      <c r="B320">
        <v>999999</v>
      </c>
      <c r="C320" s="3">
        <v>42.88</v>
      </c>
      <c r="D320" s="1">
        <v>43326</v>
      </c>
      <c r="E320" t="str">
        <f>"201808082863"</f>
        <v>201808082863</v>
      </c>
      <c r="F320" t="str">
        <f>"INDIGENT HEALTH"</f>
        <v>INDIGENT HEALTH</v>
      </c>
      <c r="G320" s="2">
        <v>42.88</v>
      </c>
      <c r="H320" t="str">
        <f>"INDIGENT HEALTH"</f>
        <v>INDIGENT HEALTH</v>
      </c>
    </row>
    <row r="321" spans="1:8" x14ac:dyDescent="0.25">
      <c r="E321" t="str">
        <f>""</f>
        <v/>
      </c>
      <c r="F321" t="str">
        <f>""</f>
        <v/>
      </c>
      <c r="H321" t="str">
        <f>"INDIGENT HEALTH"</f>
        <v>INDIGENT HEALTH</v>
      </c>
    </row>
    <row r="322" spans="1:8" x14ac:dyDescent="0.25">
      <c r="A322" t="s">
        <v>102</v>
      </c>
      <c r="B322">
        <v>78266</v>
      </c>
      <c r="C322" s="3">
        <v>825</v>
      </c>
      <c r="D322" s="1">
        <v>43339</v>
      </c>
      <c r="E322" t="str">
        <f>"0000061"</f>
        <v>0000061</v>
      </c>
      <c r="F322" t="str">
        <f>"BACK PAGE 2018-2019 SEASON PRO"</f>
        <v>BACK PAGE 2018-2019 SEASON PRO</v>
      </c>
      <c r="G322" s="2">
        <v>825</v>
      </c>
      <c r="H322" t="str">
        <f>"BACK PAGE 2018-2019 SEASON PRO"</f>
        <v>BACK PAGE 2018-2019 SEASON PRO</v>
      </c>
    </row>
    <row r="323" spans="1:8" x14ac:dyDescent="0.25">
      <c r="A323" t="s">
        <v>103</v>
      </c>
      <c r="B323">
        <v>78267</v>
      </c>
      <c r="C323" s="3">
        <v>108</v>
      </c>
      <c r="D323" s="1">
        <v>43339</v>
      </c>
      <c r="E323" t="str">
        <f>"6174"</f>
        <v>6174</v>
      </c>
      <c r="F323" t="str">
        <f>"BLADE/GEN SVCS"</f>
        <v>BLADE/GEN SVCS</v>
      </c>
      <c r="G323" s="2">
        <v>108</v>
      </c>
      <c r="H323" t="str">
        <f>"BLADE/GEN SVCS"</f>
        <v>BLADE/GEN SVCS</v>
      </c>
    </row>
    <row r="324" spans="1:8" x14ac:dyDescent="0.25">
      <c r="A324" t="s">
        <v>104</v>
      </c>
      <c r="B324">
        <v>999999</v>
      </c>
      <c r="C324" s="3">
        <v>3160</v>
      </c>
      <c r="D324" s="1">
        <v>43326</v>
      </c>
      <c r="E324" t="str">
        <f>"2018083"</f>
        <v>2018083</v>
      </c>
      <c r="F324" t="str">
        <f>"TRANSPORT-B. GLENN"</f>
        <v>TRANSPORT-B. GLENN</v>
      </c>
      <c r="G324" s="2">
        <v>495</v>
      </c>
      <c r="H324" t="str">
        <f>"TRANSPORT-B. GLENN"</f>
        <v>TRANSPORT-B. GLENN</v>
      </c>
    </row>
    <row r="325" spans="1:8" x14ac:dyDescent="0.25">
      <c r="E325" t="str">
        <f>"2018085"</f>
        <v>2018085</v>
      </c>
      <c r="F325" t="str">
        <f>"TRANSPORT-T. WATTS"</f>
        <v>TRANSPORT-T. WATTS</v>
      </c>
      <c r="G325" s="2">
        <v>390</v>
      </c>
      <c r="H325" t="str">
        <f>"TRANSPORT-T. WATTS"</f>
        <v>TRANSPORT-T. WATTS</v>
      </c>
    </row>
    <row r="326" spans="1:8" x14ac:dyDescent="0.25">
      <c r="E326" t="str">
        <f>"2018091"</f>
        <v>2018091</v>
      </c>
      <c r="F326" t="str">
        <f>"TRANSPORT-J. CONNELLY"</f>
        <v>TRANSPORT-J. CONNELLY</v>
      </c>
      <c r="G326" s="2">
        <v>295</v>
      </c>
      <c r="H326" t="str">
        <f>"TRANSPORT-J. CONNELLY"</f>
        <v>TRANSPORT-J. CONNELLY</v>
      </c>
    </row>
    <row r="327" spans="1:8" x14ac:dyDescent="0.25">
      <c r="E327" t="str">
        <f>"2018095"</f>
        <v>2018095</v>
      </c>
      <c r="F327" t="str">
        <f>"TRANSPORT-Q.L. ESTES"</f>
        <v>TRANSPORT-Q.L. ESTES</v>
      </c>
      <c r="G327" s="2">
        <v>695</v>
      </c>
      <c r="H327" t="str">
        <f>"TRANSPORT-Q.L. ESTES"</f>
        <v>TRANSPORT-Q.L. ESTES</v>
      </c>
    </row>
    <row r="328" spans="1:8" x14ac:dyDescent="0.25">
      <c r="E328" t="str">
        <f>"2018096"</f>
        <v>2018096</v>
      </c>
      <c r="F328" t="str">
        <f>"TRANSPORT-K. JASINSKI"</f>
        <v>TRANSPORT-K. JASINSKI</v>
      </c>
      <c r="G328" s="2">
        <v>295</v>
      </c>
      <c r="H328" t="str">
        <f>"TRANSPORT-K. JASINSKI"</f>
        <v>TRANSPORT-K. JASINSKI</v>
      </c>
    </row>
    <row r="329" spans="1:8" x14ac:dyDescent="0.25">
      <c r="E329" t="str">
        <f>"2018097"</f>
        <v>2018097</v>
      </c>
      <c r="F329" t="str">
        <f>"TRANSPORT-E.C. ROUSH"</f>
        <v>TRANSPORT-E.C. ROUSH</v>
      </c>
      <c r="G329" s="2">
        <v>695</v>
      </c>
      <c r="H329" t="str">
        <f>"TRANSPORT-E.C. ROUSH"</f>
        <v>TRANSPORT-E.C. ROUSH</v>
      </c>
    </row>
    <row r="330" spans="1:8" x14ac:dyDescent="0.25">
      <c r="E330" t="str">
        <f>"2018099"</f>
        <v>2018099</v>
      </c>
      <c r="F330" t="str">
        <f>"TRANSPORT-R. PRESSLEY"</f>
        <v>TRANSPORT-R. PRESSLEY</v>
      </c>
      <c r="G330" s="2">
        <v>295</v>
      </c>
      <c r="H330" t="str">
        <f>"TRANSPORT-R. PRESSLEY"</f>
        <v>TRANSPORT-R. PRESSLEY</v>
      </c>
    </row>
    <row r="331" spans="1:8" x14ac:dyDescent="0.25">
      <c r="A331" t="s">
        <v>104</v>
      </c>
      <c r="B331">
        <v>999999</v>
      </c>
      <c r="C331" s="3">
        <v>695</v>
      </c>
      <c r="D331" s="1">
        <v>43340</v>
      </c>
      <c r="E331" t="str">
        <f>"2018107"</f>
        <v>2018107</v>
      </c>
      <c r="F331" t="str">
        <f>"TRANSPORT - D. SMITH"</f>
        <v>TRANSPORT - D. SMITH</v>
      </c>
      <c r="G331" s="2">
        <v>695</v>
      </c>
      <c r="H331" t="str">
        <f>"TRANSPORT - D. SMITH"</f>
        <v>TRANSPORT - D. SMITH</v>
      </c>
    </row>
    <row r="332" spans="1:8" x14ac:dyDescent="0.25">
      <c r="A332" t="s">
        <v>105</v>
      </c>
      <c r="B332">
        <v>77934</v>
      </c>
      <c r="C332" s="3">
        <v>832</v>
      </c>
      <c r="D332" s="1">
        <v>43325</v>
      </c>
      <c r="E332" t="str">
        <f>"5656"</f>
        <v>5656</v>
      </c>
      <c r="F332" t="str">
        <f>"POLY METAL SIGN/PCT#4"</f>
        <v>POLY METAL SIGN/PCT#4</v>
      </c>
      <c r="G332" s="2">
        <v>416</v>
      </c>
      <c r="H332" t="str">
        <f>"POLY METAL SIGN/PCT#4"</f>
        <v>POLY METAL SIGN/PCT#4</v>
      </c>
    </row>
    <row r="333" spans="1:8" x14ac:dyDescent="0.25">
      <c r="E333" t="str">
        <f>"5672"</f>
        <v>5672</v>
      </c>
      <c r="F333" t="str">
        <f>"POLY METAL SIGN/PCT#4"</f>
        <v>POLY METAL SIGN/PCT#4</v>
      </c>
      <c r="G333" s="2">
        <v>416</v>
      </c>
      <c r="H333" t="str">
        <f>"POLY METAL SIGN/PCT#4"</f>
        <v>POLY METAL SIGN/PCT#4</v>
      </c>
    </row>
    <row r="334" spans="1:8" x14ac:dyDescent="0.25">
      <c r="A334" t="s">
        <v>106</v>
      </c>
      <c r="B334">
        <v>77935</v>
      </c>
      <c r="C334" s="3">
        <v>217.25</v>
      </c>
      <c r="D334" s="1">
        <v>43325</v>
      </c>
      <c r="E334" t="str">
        <f>"1111784 &amp; 1112707"</f>
        <v>1111784 &amp; 1112707</v>
      </c>
      <c r="F334" t="str">
        <f>"INV 1111784 / 1112707"</f>
        <v>INV 1111784 / 1112707</v>
      </c>
      <c r="G334" s="2">
        <v>217.25</v>
      </c>
      <c r="H334" t="str">
        <f>"INV 1111784"</f>
        <v>INV 1111784</v>
      </c>
    </row>
    <row r="335" spans="1:8" x14ac:dyDescent="0.25">
      <c r="E335" t="str">
        <f>""</f>
        <v/>
      </c>
      <c r="F335" t="str">
        <f>""</f>
        <v/>
      </c>
      <c r="H335" t="str">
        <f>"INV 1112707"</f>
        <v>INV 1112707</v>
      </c>
    </row>
    <row r="336" spans="1:8" x14ac:dyDescent="0.25">
      <c r="A336" t="s">
        <v>106</v>
      </c>
      <c r="B336">
        <v>78268</v>
      </c>
      <c r="C336" s="3">
        <v>199.46</v>
      </c>
      <c r="D336" s="1">
        <v>43339</v>
      </c>
      <c r="E336" t="str">
        <f>"1114803"</f>
        <v>1114803</v>
      </c>
      <c r="F336" t="str">
        <f>"CLIENT ID:5495160A/ANIMAL CONT"</f>
        <v>CLIENT ID:5495160A/ANIMAL CONT</v>
      </c>
      <c r="G336" s="2">
        <v>199.46</v>
      </c>
      <c r="H336" t="str">
        <f>"CLIENT ID:5495160A/ANIMAL CONT"</f>
        <v>CLIENT ID:5495160A/ANIMAL CONT</v>
      </c>
    </row>
    <row r="337" spans="1:8" x14ac:dyDescent="0.25">
      <c r="A337" t="s">
        <v>107</v>
      </c>
      <c r="B337">
        <v>999999</v>
      </c>
      <c r="C337" s="3">
        <v>507.5</v>
      </c>
      <c r="D337" s="1">
        <v>43326</v>
      </c>
      <c r="E337" t="str">
        <f>"201808062639"</f>
        <v>201808062639</v>
      </c>
      <c r="F337" t="str">
        <f>"EMER COMM/JULY 2018"</f>
        <v>EMER COMM/JULY 2018</v>
      </c>
      <c r="G337" s="2">
        <v>210</v>
      </c>
      <c r="H337" t="str">
        <f>"EMER COMM/JULY 2018"</f>
        <v>EMER COMM/JULY 2018</v>
      </c>
    </row>
    <row r="338" spans="1:8" x14ac:dyDescent="0.25">
      <c r="E338" t="str">
        <f>"201808082817"</f>
        <v>201808082817</v>
      </c>
      <c r="F338" t="str">
        <f>"JULY IVOICE"</f>
        <v>JULY IVOICE</v>
      </c>
      <c r="G338" s="2">
        <v>297.5</v>
      </c>
      <c r="H338" t="str">
        <f>"JULY IVOICE - JAIL"</f>
        <v>JULY IVOICE - JAIL</v>
      </c>
    </row>
    <row r="339" spans="1:8" x14ac:dyDescent="0.25">
      <c r="A339" t="s">
        <v>108</v>
      </c>
      <c r="B339">
        <v>77936</v>
      </c>
      <c r="C339" s="3">
        <v>3600</v>
      </c>
      <c r="D339" s="1">
        <v>43325</v>
      </c>
      <c r="E339" t="str">
        <f>"18302098-01"</f>
        <v>18302098-01</v>
      </c>
      <c r="F339" t="str">
        <f>"INV 18302098-01"</f>
        <v>INV 18302098-01</v>
      </c>
      <c r="G339" s="2">
        <v>925</v>
      </c>
      <c r="H339" t="str">
        <f>"INV 18302098-01"</f>
        <v>INV 18302098-01</v>
      </c>
    </row>
    <row r="340" spans="1:8" x14ac:dyDescent="0.25">
      <c r="E340" t="str">
        <f>"18302101-01"</f>
        <v>18302101-01</v>
      </c>
      <c r="F340" t="str">
        <f>"INV 18302101-01"</f>
        <v>INV 18302101-01</v>
      </c>
      <c r="G340" s="2">
        <v>675</v>
      </c>
      <c r="H340" t="str">
        <f>"INV 18302101-01"</f>
        <v>INV 18302101-01</v>
      </c>
    </row>
    <row r="341" spans="1:8" x14ac:dyDescent="0.25">
      <c r="E341" t="str">
        <f>"18302107-01"</f>
        <v>18302107-01</v>
      </c>
      <c r="F341" t="str">
        <f>"INV 18302107-01"</f>
        <v>INV 18302107-01</v>
      </c>
      <c r="G341" s="2">
        <v>1575</v>
      </c>
      <c r="H341" t="str">
        <f>"INV 18302107-01"</f>
        <v>INV 18302107-01</v>
      </c>
    </row>
    <row r="342" spans="1:8" x14ac:dyDescent="0.25">
      <c r="E342" t="str">
        <f>"18302111-01"</f>
        <v>18302111-01</v>
      </c>
      <c r="F342" t="str">
        <f>"INV 18302111-01"</f>
        <v>INV 18302111-01</v>
      </c>
      <c r="G342" s="2">
        <v>425</v>
      </c>
      <c r="H342" t="str">
        <f>"INV 18302111-01"</f>
        <v>INV 18302111-01</v>
      </c>
    </row>
    <row r="343" spans="1:8" x14ac:dyDescent="0.25">
      <c r="A343" t="s">
        <v>109</v>
      </c>
      <c r="B343">
        <v>77937</v>
      </c>
      <c r="C343" s="3">
        <v>2087.14</v>
      </c>
      <c r="D343" s="1">
        <v>43325</v>
      </c>
      <c r="E343" t="str">
        <f>"74755851 74763496"</f>
        <v>74755851 74763496</v>
      </c>
      <c r="F343" t="str">
        <f>"INV 74755851/74763496"</f>
        <v>INV 74755851/74763496</v>
      </c>
      <c r="G343" s="2">
        <v>2087.14</v>
      </c>
      <c r="H343" t="str">
        <f>"INV 74755851"</f>
        <v>INV 74755851</v>
      </c>
    </row>
    <row r="344" spans="1:8" x14ac:dyDescent="0.25">
      <c r="E344" t="str">
        <f>""</f>
        <v/>
      </c>
      <c r="F344" t="str">
        <f>""</f>
        <v/>
      </c>
      <c r="H344" t="str">
        <f>"INV 74763496"</f>
        <v>INV 74763496</v>
      </c>
    </row>
    <row r="345" spans="1:8" x14ac:dyDescent="0.25">
      <c r="A345" t="s">
        <v>109</v>
      </c>
      <c r="B345">
        <v>78269</v>
      </c>
      <c r="C345" s="3">
        <v>1070.58</v>
      </c>
      <c r="D345" s="1">
        <v>43339</v>
      </c>
      <c r="E345" t="str">
        <f>"74769654"</f>
        <v>74769654</v>
      </c>
      <c r="F345" t="str">
        <f>"INV 74769654"</f>
        <v>INV 74769654</v>
      </c>
      <c r="G345" s="2">
        <v>1070.58</v>
      </c>
      <c r="H345" t="str">
        <f>"INV 74769654"</f>
        <v>INV 74769654</v>
      </c>
    </row>
    <row r="346" spans="1:8" x14ac:dyDescent="0.25">
      <c r="A346" t="s">
        <v>110</v>
      </c>
      <c r="B346">
        <v>999999</v>
      </c>
      <c r="C346" s="3">
        <v>5503.41</v>
      </c>
      <c r="D346" s="1">
        <v>43326</v>
      </c>
      <c r="E346" t="str">
        <f>"231601-00"</f>
        <v>231601-00</v>
      </c>
      <c r="F346" t="str">
        <f>"INV 231601-00"</f>
        <v>INV 231601-00</v>
      </c>
      <c r="G346" s="2">
        <v>2658.06</v>
      </c>
      <c r="H346" t="str">
        <f>"INV 231601-00"</f>
        <v>INV 231601-00</v>
      </c>
    </row>
    <row r="347" spans="1:8" x14ac:dyDescent="0.25">
      <c r="E347" t="str">
        <f>"234805"</f>
        <v>234805</v>
      </c>
      <c r="F347" t="str">
        <f>"INV 234805"</f>
        <v>INV 234805</v>
      </c>
      <c r="G347" s="2">
        <v>2845.35</v>
      </c>
      <c r="H347" t="str">
        <f>"INV 234805"</f>
        <v>INV 234805</v>
      </c>
    </row>
    <row r="348" spans="1:8" x14ac:dyDescent="0.25">
      <c r="A348" t="s">
        <v>111</v>
      </c>
      <c r="B348">
        <v>77938</v>
      </c>
      <c r="C348" s="3">
        <v>389.97</v>
      </c>
      <c r="D348" s="1">
        <v>43325</v>
      </c>
      <c r="E348" t="str">
        <f>"3342371 &amp; 3342370"</f>
        <v>3342371 &amp; 3342370</v>
      </c>
      <c r="F348" t="str">
        <f>"STMT# 01465920180807"</f>
        <v>STMT# 01465920180807</v>
      </c>
      <c r="G348" s="2">
        <v>389.97</v>
      </c>
      <c r="H348" t="str">
        <f>"Inv# 3342371"</f>
        <v>Inv# 3342371</v>
      </c>
    </row>
    <row r="349" spans="1:8" x14ac:dyDescent="0.25">
      <c r="E349" t="str">
        <f>""</f>
        <v/>
      </c>
      <c r="F349" t="str">
        <f>""</f>
        <v/>
      </c>
      <c r="H349" t="str">
        <f>"Inv# 3342370"</f>
        <v>Inv# 3342370</v>
      </c>
    </row>
    <row r="350" spans="1:8" x14ac:dyDescent="0.25">
      <c r="A350" t="s">
        <v>111</v>
      </c>
      <c r="B350">
        <v>78270</v>
      </c>
      <c r="C350" s="3">
        <v>79.98</v>
      </c>
      <c r="D350" s="1">
        <v>43339</v>
      </c>
      <c r="E350" t="str">
        <f>"3343354"</f>
        <v>3343354</v>
      </c>
      <c r="F350" t="str">
        <f>"Inv# 3343354"</f>
        <v>Inv# 3343354</v>
      </c>
      <c r="G350" s="2">
        <v>59.99</v>
      </c>
      <c r="H350" t="str">
        <f>"Inv# 3343354"</f>
        <v>Inv# 3343354</v>
      </c>
    </row>
    <row r="351" spans="1:8" x14ac:dyDescent="0.25">
      <c r="E351" t="str">
        <f>"3352248"</f>
        <v>3352248</v>
      </c>
      <c r="F351" t="str">
        <f>"Inv# 3352248"</f>
        <v>Inv# 3352248</v>
      </c>
      <c r="G351" s="2">
        <v>19.989999999999998</v>
      </c>
      <c r="H351" t="str">
        <f>"Inv# 3352248"</f>
        <v>Inv# 3352248</v>
      </c>
    </row>
    <row r="352" spans="1:8" x14ac:dyDescent="0.25">
      <c r="A352" t="s">
        <v>112</v>
      </c>
      <c r="B352">
        <v>77939</v>
      </c>
      <c r="C352" s="3">
        <v>506</v>
      </c>
      <c r="D352" s="1">
        <v>43325</v>
      </c>
      <c r="E352" t="str">
        <f>"2018MH0800"</f>
        <v>2018MH0800</v>
      </c>
      <c r="F352" t="str">
        <f>"COURT COSTS/2018MH0800"</f>
        <v>COURT COSTS/2018MH0800</v>
      </c>
      <c r="G352" s="2">
        <v>506</v>
      </c>
      <c r="H352" t="str">
        <f>"COURT COSTS/2018MH0800"</f>
        <v>COURT COSTS/2018MH0800</v>
      </c>
    </row>
    <row r="353" spans="1:9" x14ac:dyDescent="0.25">
      <c r="A353" t="s">
        <v>113</v>
      </c>
      <c r="B353">
        <v>77940</v>
      </c>
      <c r="C353" s="3">
        <v>200</v>
      </c>
      <c r="D353" s="1">
        <v>43325</v>
      </c>
      <c r="E353" t="s">
        <v>87</v>
      </c>
      <c r="F353" t="s">
        <v>88</v>
      </c>
      <c r="G353" s="2" t="str">
        <f>"SERVICE  06/04/18"</f>
        <v>SERVICE  06/04/18</v>
      </c>
      <c r="H353" t="str">
        <f>"995-4110"</f>
        <v>995-4110</v>
      </c>
      <c r="I353" t="str">
        <f>""</f>
        <v/>
      </c>
    </row>
    <row r="354" spans="1:9" x14ac:dyDescent="0.25">
      <c r="E354" t="str">
        <f>"11864"</f>
        <v>11864</v>
      </c>
      <c r="F354" t="str">
        <f>"SERVICE  03/20/18"</f>
        <v>SERVICE  03/20/18</v>
      </c>
      <c r="G354" s="2">
        <v>65</v>
      </c>
      <c r="H354" t="str">
        <f>"SERVICE  03/20/18"</f>
        <v>SERVICE  03/20/18</v>
      </c>
    </row>
    <row r="355" spans="1:9" x14ac:dyDescent="0.25">
      <c r="E355" t="str">
        <f>"12937"</f>
        <v>12937</v>
      </c>
      <c r="F355" t="str">
        <f>"SERVICE  05/24/18"</f>
        <v>SERVICE  05/24/18</v>
      </c>
      <c r="G355" s="2">
        <v>75</v>
      </c>
      <c r="H355" t="str">
        <f>"SERVICE  05/24/18"</f>
        <v>SERVICE  05/24/18</v>
      </c>
    </row>
    <row r="356" spans="1:9" x14ac:dyDescent="0.25">
      <c r="A356" t="s">
        <v>113</v>
      </c>
      <c r="B356">
        <v>78271</v>
      </c>
      <c r="C356" s="3">
        <v>160</v>
      </c>
      <c r="D356" s="1">
        <v>43339</v>
      </c>
      <c r="E356" t="str">
        <f>"12090"</f>
        <v>12090</v>
      </c>
      <c r="F356" t="str">
        <f>"SERVICE  06/27/18"</f>
        <v>SERVICE  06/27/18</v>
      </c>
      <c r="G356" s="2">
        <v>80</v>
      </c>
      <c r="H356" t="str">
        <f>"SERVICE  06/27/18"</f>
        <v>SERVICE  06/27/18</v>
      </c>
    </row>
    <row r="357" spans="1:9" x14ac:dyDescent="0.25">
      <c r="E357" t="str">
        <f>"12210"</f>
        <v>12210</v>
      </c>
      <c r="F357" t="str">
        <f>"SERVICE  06/27/18"</f>
        <v>SERVICE  06/27/18</v>
      </c>
      <c r="G357" s="2">
        <v>80</v>
      </c>
      <c r="H357" t="str">
        <f>"SERVICE  06/27/18"</f>
        <v>SERVICE  06/27/18</v>
      </c>
    </row>
    <row r="358" spans="1:9" x14ac:dyDescent="0.25">
      <c r="A358" t="s">
        <v>114</v>
      </c>
      <c r="B358">
        <v>999999</v>
      </c>
      <c r="C358" s="3">
        <v>8089.57</v>
      </c>
      <c r="D358" s="1">
        <v>43326</v>
      </c>
      <c r="E358" t="str">
        <f>"107149"</f>
        <v>107149</v>
      </c>
      <c r="F358" t="str">
        <f>"CLIENT#001309/PROF SVCS JULY15"</f>
        <v>CLIENT#001309/PROF SVCS JULY15</v>
      </c>
      <c r="G358" s="2">
        <v>80</v>
      </c>
      <c r="H358" t="str">
        <f>"CLIENT#001309/PROF SVCS JULY15"</f>
        <v>CLIENT#001309/PROF SVCS JULY15</v>
      </c>
    </row>
    <row r="359" spans="1:9" x14ac:dyDescent="0.25">
      <c r="E359" t="str">
        <f>"107150"</f>
        <v>107150</v>
      </c>
      <c r="F359" t="str">
        <f>"CLIENT#001309/APPEAL TCEQ"</f>
        <v>CLIENT#001309/APPEAL TCEQ</v>
      </c>
      <c r="G359" s="2">
        <v>8009.57</v>
      </c>
      <c r="H359" t="str">
        <f>"CLIENT#001309/APPEAL TCEQ"</f>
        <v>CLIENT#001309/APPEAL TCEQ</v>
      </c>
    </row>
    <row r="360" spans="1:9" x14ac:dyDescent="0.25">
      <c r="A360" t="s">
        <v>115</v>
      </c>
      <c r="B360">
        <v>999999</v>
      </c>
      <c r="C360" s="3">
        <v>4122.6400000000003</v>
      </c>
      <c r="D360" s="1">
        <v>43326</v>
      </c>
      <c r="E360" t="str">
        <f>"4724"</f>
        <v>4724</v>
      </c>
      <c r="F360" t="str">
        <f>"563E ROLLER/PCT#4"</f>
        <v>563E ROLLER/PCT#4</v>
      </c>
      <c r="G360" s="2">
        <v>1818.12</v>
      </c>
      <c r="H360" t="str">
        <f>"563E ROLLER/PCT#4"</f>
        <v>563E ROLLER/PCT#4</v>
      </c>
    </row>
    <row r="361" spans="1:9" x14ac:dyDescent="0.25">
      <c r="E361" t="str">
        <f>"4726"</f>
        <v>4726</v>
      </c>
      <c r="F361" t="str">
        <f>"2012 FRHT/PCT#4"</f>
        <v>2012 FRHT/PCT#4</v>
      </c>
      <c r="G361" s="2">
        <v>856.6</v>
      </c>
      <c r="H361" t="str">
        <f>"2012 FRHT/PCT#4"</f>
        <v>2012 FRHT/PCT#4</v>
      </c>
    </row>
    <row r="362" spans="1:9" x14ac:dyDescent="0.25">
      <c r="E362" t="str">
        <f>"4729"</f>
        <v>4729</v>
      </c>
      <c r="F362" t="str">
        <f>"JOHN DEERE BACKHOE/PCT#4"</f>
        <v>JOHN DEERE BACKHOE/PCT#4</v>
      </c>
      <c r="G362" s="2">
        <v>1352.92</v>
      </c>
      <c r="H362" t="str">
        <f>"JOHN DEERE BACKHOE/PCT#4"</f>
        <v>JOHN DEERE BACKHOE/PCT#4</v>
      </c>
    </row>
    <row r="363" spans="1:9" x14ac:dyDescent="0.25">
      <c r="E363" t="str">
        <f>"4806"</f>
        <v>4806</v>
      </c>
      <c r="F363" t="str">
        <f>"LABOR JOHN DEER BACKHOE/P4"</f>
        <v>LABOR JOHN DEER BACKHOE/P4</v>
      </c>
      <c r="G363" s="2">
        <v>95</v>
      </c>
      <c r="H363" t="str">
        <f>"LABOR JOHN DEER BACKHOE/P4"</f>
        <v>LABOR JOHN DEER BACKHOE/P4</v>
      </c>
    </row>
    <row r="364" spans="1:9" x14ac:dyDescent="0.25">
      <c r="A364" t="s">
        <v>115</v>
      </c>
      <c r="B364">
        <v>999999</v>
      </c>
      <c r="C364" s="3">
        <v>3873.96</v>
      </c>
      <c r="D364" s="1">
        <v>43340</v>
      </c>
      <c r="E364" t="str">
        <f>"4818"</f>
        <v>4818</v>
      </c>
      <c r="F364" t="str">
        <f>"2007 FRHT/PCT#4"</f>
        <v>2007 FRHT/PCT#4</v>
      </c>
      <c r="G364" s="2">
        <v>551</v>
      </c>
      <c r="H364" t="str">
        <f>"2007 FRHT/PCT#4"</f>
        <v>2007 FRHT/PCT#4</v>
      </c>
    </row>
    <row r="365" spans="1:9" x14ac:dyDescent="0.25">
      <c r="E365" t="str">
        <f>"4834"</f>
        <v>4834</v>
      </c>
      <c r="F365" t="str">
        <f>"08 CHEVY REPAIRS/PCT#4"</f>
        <v>08 CHEVY REPAIRS/PCT#4</v>
      </c>
      <c r="G365" s="2">
        <v>3026.46</v>
      </c>
      <c r="H365" t="str">
        <f>"08 CHEVY REPAIRS/PCT#4"</f>
        <v>08 CHEVY REPAIRS/PCT#4</v>
      </c>
    </row>
    <row r="366" spans="1:9" x14ac:dyDescent="0.25">
      <c r="E366" t="str">
        <f>"4848"</f>
        <v>4848</v>
      </c>
      <c r="F366" t="str">
        <f>"2007 FORD/PCT#4"</f>
        <v>2007 FORD/PCT#4</v>
      </c>
      <c r="G366" s="2">
        <v>296.5</v>
      </c>
      <c r="H366" t="str">
        <f>"2007 FORD/PCT#4"</f>
        <v>2007 FORD/PCT#4</v>
      </c>
    </row>
    <row r="367" spans="1:9" x14ac:dyDescent="0.25">
      <c r="A367" t="s">
        <v>116</v>
      </c>
      <c r="B367">
        <v>999999</v>
      </c>
      <c r="C367" s="3">
        <v>258.57</v>
      </c>
      <c r="D367" s="1">
        <v>43326</v>
      </c>
      <c r="E367" t="str">
        <f>"18090"</f>
        <v>18090</v>
      </c>
      <c r="F367" t="str">
        <f>"INTERPRETING/MILEAGE"</f>
        <v>INTERPRETING/MILEAGE</v>
      </c>
      <c r="G367" s="2">
        <v>258.57</v>
      </c>
      <c r="H367" t="str">
        <f>"INTERPRETING/MILEAGE"</f>
        <v>INTERPRETING/MILEAGE</v>
      </c>
    </row>
    <row r="368" spans="1:9" x14ac:dyDescent="0.25">
      <c r="A368" t="s">
        <v>117</v>
      </c>
      <c r="B368">
        <v>999999</v>
      </c>
      <c r="C368" s="3">
        <v>40</v>
      </c>
      <c r="D368" s="1">
        <v>43326</v>
      </c>
      <c r="E368" t="str">
        <f>"36534"</f>
        <v>36534</v>
      </c>
      <c r="F368" t="str">
        <f>"UNIT#8657/DOT INSP/'03 FRHT/P3"</f>
        <v>UNIT#8657/DOT INSP/'03 FRHT/P3</v>
      </c>
      <c r="G368" s="2">
        <v>40</v>
      </c>
      <c r="H368" t="str">
        <f>"UNIT#8657/DOT INSP/'03 FRHT/P3"</f>
        <v>UNIT#8657/DOT INSP/'03 FRHT/P3</v>
      </c>
    </row>
    <row r="369" spans="1:8" x14ac:dyDescent="0.25">
      <c r="A369" t="s">
        <v>118</v>
      </c>
      <c r="B369">
        <v>999999</v>
      </c>
      <c r="C369" s="3">
        <v>550</v>
      </c>
      <c r="D369" s="1">
        <v>43340</v>
      </c>
      <c r="E369" t="str">
        <f>"1807"</f>
        <v>1807</v>
      </c>
      <c r="F369" t="str">
        <f>"TOWER MAINTENANCE-OEM"</f>
        <v>TOWER MAINTENANCE-OEM</v>
      </c>
      <c r="G369" s="2">
        <v>550</v>
      </c>
      <c r="H369" t="str">
        <f>"TOWER MAINTENANCE-OEM"</f>
        <v>TOWER MAINTENANCE-OEM</v>
      </c>
    </row>
    <row r="370" spans="1:8" x14ac:dyDescent="0.25">
      <c r="A370" t="s">
        <v>119</v>
      </c>
      <c r="B370">
        <v>77941</v>
      </c>
      <c r="C370" s="3">
        <v>865.06</v>
      </c>
      <c r="D370" s="1">
        <v>43325</v>
      </c>
      <c r="E370" t="str">
        <f>"84078933851 +++"</f>
        <v>84078933851 +++</v>
      </c>
      <c r="F370" t="str">
        <f>"84078933851/33861/33751"</f>
        <v>84078933851/33861/33751</v>
      </c>
      <c r="G370" s="2">
        <v>865.06</v>
      </c>
      <c r="H370" t="str">
        <f>"INV 84078933851"</f>
        <v>INV 84078933851</v>
      </c>
    </row>
    <row r="371" spans="1:8" x14ac:dyDescent="0.25">
      <c r="E371" t="str">
        <f>""</f>
        <v/>
      </c>
      <c r="F371" t="str">
        <f>""</f>
        <v/>
      </c>
      <c r="H371" t="str">
        <f>"INV 84078933861"</f>
        <v>INV 84078933861</v>
      </c>
    </row>
    <row r="372" spans="1:8" x14ac:dyDescent="0.25">
      <c r="E372" t="str">
        <f>""</f>
        <v/>
      </c>
      <c r="F372" t="str">
        <f>""</f>
        <v/>
      </c>
      <c r="H372" t="str">
        <f>"INV 84078933751"</f>
        <v>INV 84078933751</v>
      </c>
    </row>
    <row r="373" spans="1:8" x14ac:dyDescent="0.25">
      <c r="A373" t="s">
        <v>119</v>
      </c>
      <c r="B373">
        <v>78272</v>
      </c>
      <c r="C373" s="3">
        <v>299.32</v>
      </c>
      <c r="D373" s="1">
        <v>43339</v>
      </c>
      <c r="E373" t="str">
        <f>"84078934042"</f>
        <v>84078934042</v>
      </c>
      <c r="F373" t="str">
        <f>"INV 84078934042/"</f>
        <v>INV 84078934042/</v>
      </c>
      <c r="G373" s="2">
        <v>299.32</v>
      </c>
      <c r="H373" t="str">
        <f>"INV 84078934042/"</f>
        <v>INV 84078934042/</v>
      </c>
    </row>
    <row r="374" spans="1:8" x14ac:dyDescent="0.25">
      <c r="A374" t="s">
        <v>120</v>
      </c>
      <c r="B374">
        <v>999999</v>
      </c>
      <c r="C374" s="3">
        <v>1217.83</v>
      </c>
      <c r="D374" s="1">
        <v>43326</v>
      </c>
      <c r="E374" t="str">
        <f>"201808062658"</f>
        <v>201808062658</v>
      </c>
      <c r="F374" t="str">
        <f>"56 150"</f>
        <v>56 150</v>
      </c>
      <c r="G374" s="2">
        <v>250</v>
      </c>
      <c r="H374" t="str">
        <f>"56 150"</f>
        <v>56 150</v>
      </c>
    </row>
    <row r="375" spans="1:8" x14ac:dyDescent="0.25">
      <c r="E375" t="str">
        <f>"201808062672"</f>
        <v>201808062672</v>
      </c>
      <c r="F375" t="str">
        <f>"18-19166"</f>
        <v>18-19166</v>
      </c>
      <c r="G375" s="2">
        <v>100</v>
      </c>
      <c r="H375" t="str">
        <f>"18-19166"</f>
        <v>18-19166</v>
      </c>
    </row>
    <row r="376" spans="1:8" x14ac:dyDescent="0.25">
      <c r="E376" t="str">
        <f>"201808062673"</f>
        <v>201808062673</v>
      </c>
      <c r="F376" t="str">
        <f>"18-18825"</f>
        <v>18-18825</v>
      </c>
      <c r="G376" s="2">
        <v>100</v>
      </c>
      <c r="H376" t="str">
        <f>"18-18825"</f>
        <v>18-18825</v>
      </c>
    </row>
    <row r="377" spans="1:8" x14ac:dyDescent="0.25">
      <c r="E377" t="str">
        <f>"201808062674"</f>
        <v>201808062674</v>
      </c>
      <c r="F377" t="str">
        <f>"17-18643"</f>
        <v>17-18643</v>
      </c>
      <c r="G377" s="2">
        <v>100</v>
      </c>
      <c r="H377" t="str">
        <f>"17-18643"</f>
        <v>17-18643</v>
      </c>
    </row>
    <row r="378" spans="1:8" x14ac:dyDescent="0.25">
      <c r="E378" t="str">
        <f>"201808062675"</f>
        <v>201808062675</v>
      </c>
      <c r="F378" t="str">
        <f>"18-19155"</f>
        <v>18-19155</v>
      </c>
      <c r="G378" s="2">
        <v>100</v>
      </c>
      <c r="H378" t="str">
        <f>"18-19155"</f>
        <v>18-19155</v>
      </c>
    </row>
    <row r="379" spans="1:8" x14ac:dyDescent="0.25">
      <c r="E379" t="str">
        <f>"201808082786"</f>
        <v>201808082786</v>
      </c>
      <c r="F379" t="str">
        <f>"17-18576"</f>
        <v>17-18576</v>
      </c>
      <c r="G379" s="2">
        <v>367.83</v>
      </c>
      <c r="H379" t="str">
        <f>"17-18576"</f>
        <v>17-18576</v>
      </c>
    </row>
    <row r="380" spans="1:8" x14ac:dyDescent="0.25">
      <c r="E380" t="str">
        <f>"201808082787"</f>
        <v>201808082787</v>
      </c>
      <c r="F380" t="str">
        <f>"18-18997"</f>
        <v>18-18997</v>
      </c>
      <c r="G380" s="2">
        <v>100</v>
      </c>
      <c r="H380" t="str">
        <f>"18-18997"</f>
        <v>18-18997</v>
      </c>
    </row>
    <row r="381" spans="1:8" x14ac:dyDescent="0.25">
      <c r="E381" t="str">
        <f>"201808082788"</f>
        <v>201808082788</v>
      </c>
      <c r="F381" t="str">
        <f>"18-19166"</f>
        <v>18-19166</v>
      </c>
      <c r="G381" s="2">
        <v>100</v>
      </c>
      <c r="H381" t="str">
        <f>"18-19166"</f>
        <v>18-19166</v>
      </c>
    </row>
    <row r="382" spans="1:8" x14ac:dyDescent="0.25">
      <c r="A382" t="s">
        <v>121</v>
      </c>
      <c r="B382">
        <v>77942</v>
      </c>
      <c r="C382" s="3">
        <v>279.98</v>
      </c>
      <c r="D382" s="1">
        <v>43325</v>
      </c>
      <c r="E382" t="str">
        <f>"201808072698"</f>
        <v>201808072698</v>
      </c>
      <c r="F382" t="str">
        <f>"CRIMESTOPPER FEES JULY 2018"</f>
        <v>CRIMESTOPPER FEES JULY 2018</v>
      </c>
      <c r="G382" s="2">
        <v>279.98</v>
      </c>
      <c r="H382" t="str">
        <f>"CRIMESTOPPER FEES JULY 2018"</f>
        <v>CRIMESTOPPER FEES JULY 2018</v>
      </c>
    </row>
    <row r="383" spans="1:8" x14ac:dyDescent="0.25">
      <c r="A383" t="s">
        <v>122</v>
      </c>
      <c r="B383">
        <v>78175</v>
      </c>
      <c r="C383" s="3">
        <v>3979.74</v>
      </c>
      <c r="D383" s="1">
        <v>43332</v>
      </c>
      <c r="E383" t="str">
        <f>"201808202955"</f>
        <v>201808202955</v>
      </c>
      <c r="F383" t="str">
        <f>"ACCT#5000057374 / 08/05/2018"</f>
        <v>ACCT#5000057374 / 08/05/2018</v>
      </c>
      <c r="G383" s="2">
        <v>3979.74</v>
      </c>
      <c r="H383" t="str">
        <f>"ACCT#5000057374 / 08/05/2018"</f>
        <v>ACCT#5000057374 / 08/05/2018</v>
      </c>
    </row>
    <row r="384" spans="1:8" x14ac:dyDescent="0.25">
      <c r="E384" t="str">
        <f>""</f>
        <v/>
      </c>
      <c r="F384" t="str">
        <f>""</f>
        <v/>
      </c>
      <c r="H384" t="str">
        <f>"ACCT#5000057374 / 08/05/2018"</f>
        <v>ACCT#5000057374 / 08/05/2018</v>
      </c>
    </row>
    <row r="385" spans="1:8" x14ac:dyDescent="0.25">
      <c r="E385" t="str">
        <f>""</f>
        <v/>
      </c>
      <c r="F385" t="str">
        <f>""</f>
        <v/>
      </c>
      <c r="H385" t="str">
        <f>"ACCT#5000057374 / 08/05/2018"</f>
        <v>ACCT#5000057374 / 08/05/2018</v>
      </c>
    </row>
    <row r="386" spans="1:8" x14ac:dyDescent="0.25">
      <c r="E386" t="str">
        <f>""</f>
        <v/>
      </c>
      <c r="F386" t="str">
        <f>""</f>
        <v/>
      </c>
      <c r="H386" t="str">
        <f>"ACCT#5000057374 / 08/05/2018"</f>
        <v>ACCT#5000057374 / 08/05/2018</v>
      </c>
    </row>
    <row r="387" spans="1:8" x14ac:dyDescent="0.25">
      <c r="A387" t="s">
        <v>123</v>
      </c>
      <c r="B387">
        <v>999999</v>
      </c>
      <c r="C387" s="3">
        <v>18913.509999999998</v>
      </c>
      <c r="D387" s="1">
        <v>43326</v>
      </c>
      <c r="E387" t="str">
        <f>"201808062637"</f>
        <v>201808062637</v>
      </c>
      <c r="F387" t="str">
        <f>"GRANT REIMBURSEMENT"</f>
        <v>GRANT REIMBURSEMENT</v>
      </c>
      <c r="G387" s="2">
        <v>18913.509999999998</v>
      </c>
      <c r="H387" t="str">
        <f>"GRANT REIMBURSEMENT"</f>
        <v>GRANT REIMBURSEMENT</v>
      </c>
    </row>
    <row r="388" spans="1:8" x14ac:dyDescent="0.25">
      <c r="A388" t="s">
        <v>124</v>
      </c>
      <c r="B388">
        <v>77943</v>
      </c>
      <c r="C388" s="3">
        <v>690</v>
      </c>
      <c r="D388" s="1">
        <v>43325</v>
      </c>
      <c r="E388" t="str">
        <f>"96622"</f>
        <v>96622</v>
      </c>
      <c r="F388" t="str">
        <f>"STREET SWEEPER"</f>
        <v>STREET SWEEPER</v>
      </c>
      <c r="G388" s="2">
        <v>690</v>
      </c>
      <c r="H388" t="str">
        <f>"STREET SWEEPER"</f>
        <v>STREET SWEEPER</v>
      </c>
    </row>
    <row r="389" spans="1:8" x14ac:dyDescent="0.25">
      <c r="A389" t="s">
        <v>125</v>
      </c>
      <c r="B389">
        <v>77944</v>
      </c>
      <c r="C389" s="3">
        <v>3208.14</v>
      </c>
      <c r="D389" s="1">
        <v>43325</v>
      </c>
      <c r="E389" t="str">
        <f>"UT1000465700"</f>
        <v>UT1000465700</v>
      </c>
      <c r="F389" t="str">
        <f>"UT1000465700/UT1000465924"</f>
        <v>UT1000465700/UT1000465924</v>
      </c>
      <c r="G389" s="2">
        <v>1559.5</v>
      </c>
      <c r="H389" t="str">
        <f>"INV UT1000465700"</f>
        <v>INV UT1000465700</v>
      </c>
    </row>
    <row r="390" spans="1:8" x14ac:dyDescent="0.25">
      <c r="E390" t="str">
        <f>""</f>
        <v/>
      </c>
      <c r="F390" t="str">
        <f>""</f>
        <v/>
      </c>
      <c r="H390" t="str">
        <f>"UT1000465924"</f>
        <v>UT1000465924</v>
      </c>
    </row>
    <row r="391" spans="1:8" x14ac:dyDescent="0.25">
      <c r="E391" t="str">
        <f>"UT1000466097"</f>
        <v>UT1000466097</v>
      </c>
      <c r="F391" t="str">
        <f>"INV UT1000466097"</f>
        <v>INV UT1000466097</v>
      </c>
      <c r="G391" s="2">
        <v>295.2</v>
      </c>
      <c r="H391" t="str">
        <f>"INV UT1000466097"</f>
        <v>INV UT1000466097</v>
      </c>
    </row>
    <row r="392" spans="1:8" x14ac:dyDescent="0.25">
      <c r="E392" t="str">
        <f>"UTI000465080"</f>
        <v>UTI000465080</v>
      </c>
      <c r="F392" t="str">
        <f>"INV UT1000465080"</f>
        <v>INV UT1000465080</v>
      </c>
      <c r="G392" s="2">
        <v>1353.44</v>
      </c>
      <c r="H392" t="str">
        <f>"INV UT1000465080"</f>
        <v>INV UT1000465080</v>
      </c>
    </row>
    <row r="393" spans="1:8" x14ac:dyDescent="0.25">
      <c r="A393" t="s">
        <v>126</v>
      </c>
      <c r="B393">
        <v>77945</v>
      </c>
      <c r="C393" s="3">
        <v>8688.18</v>
      </c>
      <c r="D393" s="1">
        <v>43325</v>
      </c>
      <c r="E393" t="str">
        <f>"8188 8317 8319 +++"</f>
        <v>8188 8317 8319 +++</v>
      </c>
      <c r="F393" t="str">
        <f>"INV 8188 / UNIT 1671"</f>
        <v>INV 8188 / UNIT 1671</v>
      </c>
      <c r="G393" s="2">
        <v>1290.06</v>
      </c>
      <c r="H393" t="str">
        <f>"INV 8188 / UNIT 1671"</f>
        <v>INV 8188 / UNIT 1671</v>
      </c>
    </row>
    <row r="394" spans="1:8" x14ac:dyDescent="0.25">
      <c r="E394" t="str">
        <f>""</f>
        <v/>
      </c>
      <c r="F394" t="str">
        <f>""</f>
        <v/>
      </c>
      <c r="H394" t="str">
        <f>"INV 8317 / UNIT 3805"</f>
        <v>INV 8317 / UNIT 3805</v>
      </c>
    </row>
    <row r="395" spans="1:8" x14ac:dyDescent="0.25">
      <c r="E395" t="str">
        <f>""</f>
        <v/>
      </c>
      <c r="F395" t="str">
        <f>""</f>
        <v/>
      </c>
      <c r="H395" t="str">
        <f>"INV 8319 / UNIT 8153"</f>
        <v>INV 8319 / UNIT 8153</v>
      </c>
    </row>
    <row r="396" spans="1:8" x14ac:dyDescent="0.25">
      <c r="E396" t="str">
        <f>""</f>
        <v/>
      </c>
      <c r="F396" t="str">
        <f>""</f>
        <v/>
      </c>
      <c r="H396" t="str">
        <f>"INV 8332 / UNIT 0311"</f>
        <v>INV 8332 / UNIT 0311</v>
      </c>
    </row>
    <row r="397" spans="1:8" x14ac:dyDescent="0.25">
      <c r="E397" t="str">
        <f>""</f>
        <v/>
      </c>
      <c r="F397" t="str">
        <f>""</f>
        <v/>
      </c>
      <c r="H397" t="str">
        <f>"INV 8333 / UNIT 0126"</f>
        <v>INV 8333 / UNIT 0126</v>
      </c>
    </row>
    <row r="398" spans="1:8" x14ac:dyDescent="0.25">
      <c r="E398" t="str">
        <f>""</f>
        <v/>
      </c>
      <c r="F398" t="str">
        <f>""</f>
        <v/>
      </c>
      <c r="H398" t="str">
        <f>"INV 8355 / UNIT 4362"</f>
        <v>INV 8355 / UNIT 4362</v>
      </c>
    </row>
    <row r="399" spans="1:8" x14ac:dyDescent="0.25">
      <c r="E399" t="str">
        <f>""</f>
        <v/>
      </c>
      <c r="F399" t="str">
        <f>""</f>
        <v/>
      </c>
      <c r="H399" t="str">
        <f>"INV 8362 / UNIT 4111"</f>
        <v>INV 8362 / UNIT 4111</v>
      </c>
    </row>
    <row r="400" spans="1:8" x14ac:dyDescent="0.25">
      <c r="E400" t="str">
        <f>""</f>
        <v/>
      </c>
      <c r="F400" t="str">
        <f>""</f>
        <v/>
      </c>
      <c r="H400" t="str">
        <f>"INV 8363 / UNIT 1666"</f>
        <v>INV 8363 / UNIT 1666</v>
      </c>
    </row>
    <row r="401" spans="5:8" x14ac:dyDescent="0.25">
      <c r="E401" t="str">
        <f>""</f>
        <v/>
      </c>
      <c r="F401" t="str">
        <f>""</f>
        <v/>
      </c>
      <c r="H401" t="str">
        <f>"INV 8381 / UNIT 7279"</f>
        <v>INV 8381 / UNIT 7279</v>
      </c>
    </row>
    <row r="402" spans="5:8" x14ac:dyDescent="0.25">
      <c r="E402" t="str">
        <f>""</f>
        <v/>
      </c>
      <c r="F402" t="str">
        <f>""</f>
        <v/>
      </c>
      <c r="H402" t="str">
        <f>"INV 8394 / UNIT 1628"</f>
        <v>INV 8394 / UNIT 1628</v>
      </c>
    </row>
    <row r="403" spans="5:8" x14ac:dyDescent="0.25">
      <c r="E403" t="str">
        <f>""</f>
        <v/>
      </c>
      <c r="F403" t="str">
        <f>""</f>
        <v/>
      </c>
      <c r="H403" t="str">
        <f>"INV 8396 / UNIT 1669"</f>
        <v>INV 8396 / UNIT 1669</v>
      </c>
    </row>
    <row r="404" spans="5:8" x14ac:dyDescent="0.25">
      <c r="E404" t="str">
        <f>""</f>
        <v/>
      </c>
      <c r="F404" t="str">
        <f>""</f>
        <v/>
      </c>
      <c r="H404" t="str">
        <f>"INV 8398 / UNIT 0313"</f>
        <v>INV 8398 / UNIT 0313</v>
      </c>
    </row>
    <row r="405" spans="5:8" x14ac:dyDescent="0.25">
      <c r="E405" t="str">
        <f>""</f>
        <v/>
      </c>
      <c r="F405" t="str">
        <f>""</f>
        <v/>
      </c>
      <c r="H405" t="str">
        <f>"INV 8407 / UNIT 8153"</f>
        <v>INV 8407 / UNIT 8153</v>
      </c>
    </row>
    <row r="406" spans="5:8" x14ac:dyDescent="0.25">
      <c r="E406" t="str">
        <f>""</f>
        <v/>
      </c>
      <c r="F406" t="str">
        <f>""</f>
        <v/>
      </c>
      <c r="H406" t="str">
        <f>"INV 8406 / UNIT 0314"</f>
        <v>INV 8406 / UNIT 0314</v>
      </c>
    </row>
    <row r="407" spans="5:8" x14ac:dyDescent="0.25">
      <c r="E407" t="str">
        <f>""</f>
        <v/>
      </c>
      <c r="F407" t="str">
        <f>""</f>
        <v/>
      </c>
      <c r="H407" t="str">
        <f>"INV 8417 / UNIT 0123"</f>
        <v>INV 8417 / UNIT 0123</v>
      </c>
    </row>
    <row r="408" spans="5:8" x14ac:dyDescent="0.25">
      <c r="E408" t="str">
        <f>""</f>
        <v/>
      </c>
      <c r="F408" t="str">
        <f>""</f>
        <v/>
      </c>
      <c r="H408" t="str">
        <f>"INV 8421 / UNIT 6520"</f>
        <v>INV 8421 / UNIT 6520</v>
      </c>
    </row>
    <row r="409" spans="5:8" x14ac:dyDescent="0.25">
      <c r="E409" t="str">
        <f>""</f>
        <v/>
      </c>
      <c r="F409" t="str">
        <f>""</f>
        <v/>
      </c>
      <c r="H409" t="str">
        <f>"INV 8422 / UNIT 1628"</f>
        <v>INV 8422 / UNIT 1628</v>
      </c>
    </row>
    <row r="410" spans="5:8" x14ac:dyDescent="0.25">
      <c r="E410" t="str">
        <f>""</f>
        <v/>
      </c>
      <c r="F410" t="str">
        <f>""</f>
        <v/>
      </c>
      <c r="H410" t="str">
        <f>"INV 8423 / UNIT 7083"</f>
        <v>INV 8423 / UNIT 7083</v>
      </c>
    </row>
    <row r="411" spans="5:8" x14ac:dyDescent="0.25">
      <c r="E411" t="str">
        <f>""</f>
        <v/>
      </c>
      <c r="F411" t="str">
        <f>""</f>
        <v/>
      </c>
      <c r="H411" t="str">
        <f>"INV 8433 / UNIT 80"</f>
        <v>INV 8433 / UNIT 80</v>
      </c>
    </row>
    <row r="412" spans="5:8" x14ac:dyDescent="0.25">
      <c r="E412" t="str">
        <f>""</f>
        <v/>
      </c>
      <c r="F412" t="str">
        <f>""</f>
        <v/>
      </c>
      <c r="H412" t="str">
        <f>"INV 8451 / UNIT 8217"</f>
        <v>INV 8451 / UNIT 8217</v>
      </c>
    </row>
    <row r="413" spans="5:8" x14ac:dyDescent="0.25">
      <c r="E413" t="str">
        <f>""</f>
        <v/>
      </c>
      <c r="F413" t="str">
        <f>""</f>
        <v/>
      </c>
      <c r="H413" t="str">
        <f>"INV 8467 / UNIT 6535"</f>
        <v>INV 8467 / UNIT 6535</v>
      </c>
    </row>
    <row r="414" spans="5:8" x14ac:dyDescent="0.25">
      <c r="E414" t="str">
        <f>"8342"</f>
        <v>8342</v>
      </c>
      <c r="F414" t="str">
        <f>"INV 8342 / UNIT 0117"</f>
        <v>INV 8342 / UNIT 0117</v>
      </c>
      <c r="G414" s="2">
        <v>284.7</v>
      </c>
      <c r="H414" t="str">
        <f>"INV 8342 / UNIT 0117"</f>
        <v>INV 8342 / UNIT 0117</v>
      </c>
    </row>
    <row r="415" spans="5:8" x14ac:dyDescent="0.25">
      <c r="E415" t="str">
        <f>"8361"</f>
        <v>8361</v>
      </c>
      <c r="F415" t="str">
        <f>"INV 8361 / UNIT 0121"</f>
        <v>INV 8361 / UNIT 0121</v>
      </c>
      <c r="G415" s="2">
        <v>1075.49</v>
      </c>
      <c r="H415" t="str">
        <f>"INV 8361 / UNIT 0121"</f>
        <v>INV 8361 / UNIT 0121</v>
      </c>
    </row>
    <row r="416" spans="5:8" x14ac:dyDescent="0.25">
      <c r="E416" t="str">
        <f>"8379"</f>
        <v>8379</v>
      </c>
      <c r="F416" t="str">
        <f>"INV 8379 / UNIT 8944 COP"</f>
        <v>INV 8379 / UNIT 8944 COP</v>
      </c>
      <c r="G416" s="2">
        <v>82.4</v>
      </c>
      <c r="H416" t="str">
        <f>"INV 8379 / UNIT 8944 COP"</f>
        <v>INV 8379 / UNIT 8944 COP</v>
      </c>
    </row>
    <row r="417" spans="5:8" x14ac:dyDescent="0.25">
      <c r="E417" t="str">
        <f>"8392"</f>
        <v>8392</v>
      </c>
      <c r="F417" t="str">
        <f>"INV 8392 / UNIT 0314"</f>
        <v>INV 8392 / UNIT 0314</v>
      </c>
      <c r="G417" s="2">
        <v>170.5</v>
      </c>
      <c r="H417" t="str">
        <f>"INV 8392 / UNIT 0314"</f>
        <v>INV 8392 / UNIT 0314</v>
      </c>
    </row>
    <row r="418" spans="5:8" x14ac:dyDescent="0.25">
      <c r="E418" t="str">
        <f>"8420"</f>
        <v>8420</v>
      </c>
      <c r="F418" t="str">
        <f>"INV 8420 / UNIT 1628"</f>
        <v>INV 8420 / UNIT 1628</v>
      </c>
      <c r="G418" s="2">
        <v>129.28</v>
      </c>
      <c r="H418" t="str">
        <f>"INV 8420 / UNIT 1628"</f>
        <v>INV 8420 / UNIT 1628</v>
      </c>
    </row>
    <row r="419" spans="5:8" x14ac:dyDescent="0.25">
      <c r="E419" t="str">
        <f>"8425"</f>
        <v>8425</v>
      </c>
      <c r="F419" t="str">
        <f>"INV 8425 / UNIT 0127"</f>
        <v>INV 8425 / UNIT 0127</v>
      </c>
      <c r="G419" s="2">
        <v>356.79</v>
      </c>
      <c r="H419" t="str">
        <f>"INV 8425 / UNIT 0127"</f>
        <v>INV 8425 / UNIT 0127</v>
      </c>
    </row>
    <row r="420" spans="5:8" x14ac:dyDescent="0.25">
      <c r="E420" t="str">
        <f>"8449"</f>
        <v>8449</v>
      </c>
      <c r="F420" t="str">
        <f>"INV 8449 / UNIT 0126"</f>
        <v>INV 8449 / UNIT 0126</v>
      </c>
      <c r="G420" s="2">
        <v>162.94</v>
      </c>
      <c r="H420" t="str">
        <f>"INV 8449 / UNIT 0126"</f>
        <v>INV 8449 / UNIT 0126</v>
      </c>
    </row>
    <row r="421" spans="5:8" x14ac:dyDescent="0.25">
      <c r="E421" t="str">
        <f>"8452"</f>
        <v>8452</v>
      </c>
      <c r="F421" t="str">
        <f>"INV 8452 / UNIT 8217"</f>
        <v>INV 8452 / UNIT 8217</v>
      </c>
      <c r="G421" s="2">
        <v>128.69999999999999</v>
      </c>
      <c r="H421" t="str">
        <f>"INV 8452 / UNIT 8217"</f>
        <v>INV 8452 / UNIT 8217</v>
      </c>
    </row>
    <row r="422" spans="5:8" x14ac:dyDescent="0.25">
      <c r="E422" t="str">
        <f>"8457"</f>
        <v>8457</v>
      </c>
      <c r="F422" t="str">
        <f>"2001 FORD/GEN SVCS"</f>
        <v>2001 FORD/GEN SVCS</v>
      </c>
      <c r="G422" s="2">
        <v>782.54</v>
      </c>
      <c r="H422" t="str">
        <f>"2001 FORD/GEN SVCS"</f>
        <v>2001 FORD/GEN SVCS</v>
      </c>
    </row>
    <row r="423" spans="5:8" x14ac:dyDescent="0.25">
      <c r="E423" t="str">
        <f>"8458"</f>
        <v>8458</v>
      </c>
      <c r="F423" t="str">
        <f>"2009 DODGE RAM/GEN SVCS"</f>
        <v>2009 DODGE RAM/GEN SVCS</v>
      </c>
      <c r="G423" s="2">
        <v>1647.47</v>
      </c>
      <c r="H423" t="str">
        <f>"2009 DODGE RAM/GEN SVCS"</f>
        <v>2009 DODGE RAM/GEN SVCS</v>
      </c>
    </row>
    <row r="424" spans="5:8" x14ac:dyDescent="0.25">
      <c r="E424" t="str">
        <f>"8465"</f>
        <v>8465</v>
      </c>
      <c r="F424" t="str">
        <f>"INV 8465 / UNIT 0126"</f>
        <v>INV 8465 / UNIT 0126</v>
      </c>
      <c r="G424" s="2">
        <v>437.75</v>
      </c>
      <c r="H424" t="str">
        <f>"INV 8465 / UNIT 0126"</f>
        <v>INV 8465 / UNIT 0126</v>
      </c>
    </row>
    <row r="425" spans="5:8" x14ac:dyDescent="0.25">
      <c r="E425" t="str">
        <f>"8468 8477 8478 +++"</f>
        <v>8468 8477 8478 +++</v>
      </c>
      <c r="F425" t="str">
        <f>"INV 8468 / UNIT 6550"</f>
        <v>INV 8468 / UNIT 6550</v>
      </c>
      <c r="G425" s="2">
        <v>361.73</v>
      </c>
      <c r="H425" t="str">
        <f>"INV 8468 / UNIT 6550"</f>
        <v>INV 8468 / UNIT 6550</v>
      </c>
    </row>
    <row r="426" spans="5:8" x14ac:dyDescent="0.25">
      <c r="E426" t="str">
        <f>""</f>
        <v/>
      </c>
      <c r="F426" t="str">
        <f>""</f>
        <v/>
      </c>
      <c r="H426" t="str">
        <f>"INV 8477 / UNIT 4718"</f>
        <v>INV 8477 / UNIT 4718</v>
      </c>
    </row>
    <row r="427" spans="5:8" x14ac:dyDescent="0.25">
      <c r="E427" t="str">
        <f>""</f>
        <v/>
      </c>
      <c r="F427" t="str">
        <f>""</f>
        <v/>
      </c>
      <c r="H427" t="str">
        <f>"INV 8478 / UNIT 4720"</f>
        <v>INV 8478 / UNIT 4720</v>
      </c>
    </row>
    <row r="428" spans="5:8" x14ac:dyDescent="0.25">
      <c r="E428" t="str">
        <f>""</f>
        <v/>
      </c>
      <c r="F428" t="str">
        <f>""</f>
        <v/>
      </c>
      <c r="H428" t="str">
        <f>"INV 8479 / UNIT 0312"</f>
        <v>INV 8479 / UNIT 0312</v>
      </c>
    </row>
    <row r="429" spans="5:8" x14ac:dyDescent="0.25">
      <c r="E429" t="str">
        <f>""</f>
        <v/>
      </c>
      <c r="F429" t="str">
        <f>""</f>
        <v/>
      </c>
      <c r="H429" t="str">
        <f>"INV 8480 / UNIT 6548"</f>
        <v>INV 8480 / UNIT 6548</v>
      </c>
    </row>
    <row r="430" spans="5:8" x14ac:dyDescent="0.25">
      <c r="E430" t="str">
        <f>""</f>
        <v/>
      </c>
      <c r="F430" t="str">
        <f>""</f>
        <v/>
      </c>
      <c r="H430" t="str">
        <f>"INV 8490 / UNIT 7279"</f>
        <v>INV 8490 / UNIT 7279</v>
      </c>
    </row>
    <row r="431" spans="5:8" x14ac:dyDescent="0.25">
      <c r="E431" t="str">
        <f>""</f>
        <v/>
      </c>
      <c r="F431" t="str">
        <f>""</f>
        <v/>
      </c>
      <c r="H431" t="str">
        <f>"INV 8497 / UNIT 126"</f>
        <v>INV 8497 / UNIT 126</v>
      </c>
    </row>
    <row r="432" spans="5:8" x14ac:dyDescent="0.25">
      <c r="E432" t="str">
        <f>""</f>
        <v/>
      </c>
      <c r="F432" t="str">
        <f>""</f>
        <v/>
      </c>
      <c r="H432" t="str">
        <f>"INV 7559 / UNIT 6541"</f>
        <v>INV 7559 / UNIT 6541</v>
      </c>
    </row>
    <row r="433" spans="1:8" x14ac:dyDescent="0.25">
      <c r="E433" t="str">
        <f>"8474"</f>
        <v>8474</v>
      </c>
      <c r="F433" t="str">
        <f>"INV 8474 / UNIT 1628"</f>
        <v>INV 8474 / UNIT 1628</v>
      </c>
      <c r="G433" s="2">
        <v>1388.92</v>
      </c>
      <c r="H433" t="str">
        <f>"INV 8474 / UNIT 1628"</f>
        <v>INV 8474 / UNIT 1628</v>
      </c>
    </row>
    <row r="434" spans="1:8" x14ac:dyDescent="0.25">
      <c r="E434" t="str">
        <f>"8498"</f>
        <v>8498</v>
      </c>
      <c r="F434" t="str">
        <f>"INV 8498 / UNIT 6541"</f>
        <v>INV 8498 / UNIT 6541</v>
      </c>
      <c r="G434" s="2">
        <v>388.91</v>
      </c>
      <c r="H434" t="str">
        <f>"INV 8498 / UNIT 6541"</f>
        <v>INV 8498 / UNIT 6541</v>
      </c>
    </row>
    <row r="435" spans="1:8" x14ac:dyDescent="0.25">
      <c r="A435" t="s">
        <v>126</v>
      </c>
      <c r="B435">
        <v>78273</v>
      </c>
      <c r="C435" s="3">
        <v>1531.71</v>
      </c>
      <c r="D435" s="1">
        <v>43339</v>
      </c>
      <c r="E435" t="str">
        <f>"201808223017"</f>
        <v>201808223017</v>
      </c>
      <c r="F435" t="str">
        <f>"INV 8506 / UNIT 1668"</f>
        <v>INV 8506 / UNIT 1668</v>
      </c>
      <c r="G435" s="2">
        <v>400.34</v>
      </c>
      <c r="H435" t="str">
        <f>"INV 8506 / UNIT 1668"</f>
        <v>INV 8506 / UNIT 1668</v>
      </c>
    </row>
    <row r="436" spans="1:8" x14ac:dyDescent="0.25">
      <c r="E436" t="str">
        <f>""</f>
        <v/>
      </c>
      <c r="F436" t="str">
        <f>""</f>
        <v/>
      </c>
      <c r="H436" t="str">
        <f>"INV 8512 / UNIT 1496"</f>
        <v>INV 8512 / UNIT 1496</v>
      </c>
    </row>
    <row r="437" spans="1:8" x14ac:dyDescent="0.25">
      <c r="E437" t="str">
        <f>""</f>
        <v/>
      </c>
      <c r="F437" t="str">
        <f>""</f>
        <v/>
      </c>
      <c r="H437" t="str">
        <f>"INV 8513 / UNIT 0311"</f>
        <v>INV 8513 / UNIT 0311</v>
      </c>
    </row>
    <row r="438" spans="1:8" x14ac:dyDescent="0.25">
      <c r="E438" t="str">
        <f>""</f>
        <v/>
      </c>
      <c r="F438" t="str">
        <f>""</f>
        <v/>
      </c>
      <c r="H438" t="str">
        <f>"INV 8516 / UNIT 9379"</f>
        <v>INV 8516 / UNIT 9379</v>
      </c>
    </row>
    <row r="439" spans="1:8" x14ac:dyDescent="0.25">
      <c r="E439" t="str">
        <f>""</f>
        <v/>
      </c>
      <c r="F439" t="str">
        <f>""</f>
        <v/>
      </c>
      <c r="H439" t="str">
        <f>"INV 8522 / UNIT 4719"</f>
        <v>INV 8522 / UNIT 4719</v>
      </c>
    </row>
    <row r="440" spans="1:8" x14ac:dyDescent="0.25">
      <c r="E440" t="str">
        <f>""</f>
        <v/>
      </c>
      <c r="F440" t="str">
        <f>""</f>
        <v/>
      </c>
      <c r="H440" t="str">
        <f>"INV 8523 / UNIT 3106"</f>
        <v>INV 8523 / UNIT 3106</v>
      </c>
    </row>
    <row r="441" spans="1:8" x14ac:dyDescent="0.25">
      <c r="E441" t="str">
        <f>""</f>
        <v/>
      </c>
      <c r="F441" t="str">
        <f>""</f>
        <v/>
      </c>
      <c r="H441" t="str">
        <f>"INV 8528 / UNIT 0116"</f>
        <v>INV 8528 / UNIT 0116</v>
      </c>
    </row>
    <row r="442" spans="1:8" x14ac:dyDescent="0.25">
      <c r="E442" t="str">
        <f>""</f>
        <v/>
      </c>
      <c r="F442" t="str">
        <f>""</f>
        <v/>
      </c>
      <c r="H442" t="str">
        <f>"INV 8540 / UNIT 3804"</f>
        <v>INV 8540 / UNIT 3804</v>
      </c>
    </row>
    <row r="443" spans="1:8" x14ac:dyDescent="0.25">
      <c r="E443" t="str">
        <f>""</f>
        <v/>
      </c>
      <c r="F443" t="str">
        <f>""</f>
        <v/>
      </c>
      <c r="H443" t="str">
        <f>"INV 8549 / UNIT 1672"</f>
        <v>INV 8549 / UNIT 1672</v>
      </c>
    </row>
    <row r="444" spans="1:8" x14ac:dyDescent="0.25">
      <c r="E444" t="str">
        <f>"8535"</f>
        <v>8535</v>
      </c>
      <c r="F444" t="str">
        <f>"INV 8535 / UNIT 6502"</f>
        <v>INV 8535 / UNIT 6502</v>
      </c>
      <c r="G444" s="2">
        <v>437.75</v>
      </c>
      <c r="H444" t="str">
        <f>"INV 8535 / UNIT 6502"</f>
        <v>INV 8535 / UNIT 6502</v>
      </c>
    </row>
    <row r="445" spans="1:8" x14ac:dyDescent="0.25">
      <c r="E445" t="str">
        <f>"8543"</f>
        <v>8543</v>
      </c>
      <c r="F445" t="str">
        <f>"INV 8543 / UNIT6424"</f>
        <v>INV 8543 / UNIT6424</v>
      </c>
      <c r="G445" s="2">
        <v>564.91999999999996</v>
      </c>
      <c r="H445" t="str">
        <f>"INV 8543 / UNIT6424"</f>
        <v>INV 8543 / UNIT6424</v>
      </c>
    </row>
    <row r="446" spans="1:8" x14ac:dyDescent="0.25">
      <c r="E446" t="str">
        <f>"8544"</f>
        <v>8544</v>
      </c>
      <c r="F446" t="str">
        <f>"INV 8544 / UNIT 8944"</f>
        <v>INV 8544 / UNIT 8944</v>
      </c>
      <c r="G446" s="2">
        <v>128.69999999999999</v>
      </c>
      <c r="H446" t="str">
        <f>"INV 8544 / UNIT 8944"</f>
        <v>INV 8544 / UNIT 8944</v>
      </c>
    </row>
    <row r="447" spans="1:8" x14ac:dyDescent="0.25">
      <c r="A447" t="s">
        <v>127</v>
      </c>
      <c r="B447">
        <v>77946</v>
      </c>
      <c r="C447" s="3">
        <v>463.68</v>
      </c>
      <c r="D447" s="1">
        <v>43325</v>
      </c>
      <c r="E447" t="str">
        <f>"CT167963 A"</f>
        <v>CT167963 A</v>
      </c>
      <c r="F447" t="str">
        <f>"FILTERS/PCT#3"</f>
        <v>FILTERS/PCT#3</v>
      </c>
      <c r="G447" s="2">
        <v>463.68</v>
      </c>
      <c r="H447" t="str">
        <f>"FILTERS/PCT#3"</f>
        <v>FILTERS/PCT#3</v>
      </c>
    </row>
    <row r="448" spans="1:8" x14ac:dyDescent="0.25">
      <c r="A448" t="s">
        <v>128</v>
      </c>
      <c r="B448">
        <v>77947</v>
      </c>
      <c r="C448" s="3">
        <v>1781.09</v>
      </c>
      <c r="D448" s="1">
        <v>43325</v>
      </c>
      <c r="E448" t="str">
        <f>"201808082810"</f>
        <v>201808082810</v>
      </c>
      <c r="F448" t="str">
        <f>"MILEAGE/MEALS"</f>
        <v>MILEAGE/MEALS</v>
      </c>
      <c r="G448" s="2">
        <v>1201.72</v>
      </c>
    </row>
    <row r="449" spans="1:8" x14ac:dyDescent="0.25">
      <c r="E449" t="str">
        <f>"201808082811"</f>
        <v>201808082811</v>
      </c>
      <c r="F449" t="str">
        <f>"MILEAGE/MEALS"</f>
        <v>MILEAGE/MEALS</v>
      </c>
      <c r="G449" s="2">
        <v>579.37</v>
      </c>
    </row>
    <row r="450" spans="1:8" x14ac:dyDescent="0.25">
      <c r="A450" t="s">
        <v>128</v>
      </c>
      <c r="B450">
        <v>77947</v>
      </c>
      <c r="C450" s="3">
        <v>1781.09</v>
      </c>
      <c r="D450" s="1">
        <v>43333</v>
      </c>
      <c r="E450" t="str">
        <f>"CHECK"</f>
        <v>CHECK</v>
      </c>
      <c r="F450" t="str">
        <f>""</f>
        <v/>
      </c>
      <c r="G450" s="2">
        <v>1781.09</v>
      </c>
    </row>
    <row r="451" spans="1:8" x14ac:dyDescent="0.25">
      <c r="A451" t="s">
        <v>128</v>
      </c>
      <c r="B451">
        <v>78274</v>
      </c>
      <c r="C451" s="3">
        <v>1902.4</v>
      </c>
      <c r="D451" s="1">
        <v>43339</v>
      </c>
      <c r="E451" t="str">
        <f>"201808223008"</f>
        <v>201808223008</v>
      </c>
      <c r="F451" t="str">
        <f>"REIMBURSEMENT"</f>
        <v>REIMBURSEMENT</v>
      </c>
      <c r="G451" s="2">
        <v>1902.4</v>
      </c>
      <c r="H451" t="str">
        <f>"REIMBURSEMENT"</f>
        <v>REIMBURSEMENT</v>
      </c>
    </row>
    <row r="452" spans="1:8" x14ac:dyDescent="0.25">
      <c r="A452" t="s">
        <v>129</v>
      </c>
      <c r="B452">
        <v>77948</v>
      </c>
      <c r="C452" s="3">
        <v>65597.990000000005</v>
      </c>
      <c r="D452" s="1">
        <v>43325</v>
      </c>
      <c r="E452" t="str">
        <f>"95043"</f>
        <v>95043</v>
      </c>
      <c r="F452" t="str">
        <f>"ACCT#1269/PCT#4"</f>
        <v>ACCT#1269/PCT#4</v>
      </c>
      <c r="G452" s="2">
        <v>49136.53</v>
      </c>
      <c r="H452" t="str">
        <f>"ACCT#1269/PCT#4"</f>
        <v>ACCT#1269/PCT#4</v>
      </c>
    </row>
    <row r="453" spans="1:8" x14ac:dyDescent="0.25">
      <c r="E453" t="str">
        <f>"95205"</f>
        <v>95205</v>
      </c>
      <c r="F453" t="str">
        <f>"ACCT#1268/COMMER/PCT#3"</f>
        <v>ACCT#1268/COMMER/PCT#3</v>
      </c>
      <c r="G453" s="2">
        <v>1669.89</v>
      </c>
      <c r="H453" t="str">
        <f>"ACCT#1268/COMMER/PCT#3"</f>
        <v>ACCT#1268/COMMER/PCT#3</v>
      </c>
    </row>
    <row r="454" spans="1:8" x14ac:dyDescent="0.25">
      <c r="E454" t="str">
        <f>"95206"</f>
        <v>95206</v>
      </c>
      <c r="F454" t="str">
        <f>"ACCT#1269/PCT#4"</f>
        <v>ACCT#1269/PCT#4</v>
      </c>
      <c r="G454" s="2">
        <v>14791.57</v>
      </c>
      <c r="H454" t="str">
        <f>"ACCT#1269/PCT#4"</f>
        <v>ACCT#1269/PCT#4</v>
      </c>
    </row>
    <row r="455" spans="1:8" x14ac:dyDescent="0.25">
      <c r="A455" t="s">
        <v>129</v>
      </c>
      <c r="B455">
        <v>78275</v>
      </c>
      <c r="C455" s="3">
        <v>1839.96</v>
      </c>
      <c r="D455" s="1">
        <v>43339</v>
      </c>
      <c r="E455" t="str">
        <f>"95396"</f>
        <v>95396</v>
      </c>
      <c r="F455" t="str">
        <f>"ACCT#1268/COMMER/PCT#3"</f>
        <v>ACCT#1268/COMMER/PCT#3</v>
      </c>
      <c r="G455" s="2">
        <v>1839.96</v>
      </c>
      <c r="H455" t="str">
        <f>"ACCT#1268/COMMER/PCT#3"</f>
        <v>ACCT#1268/COMMER/PCT#3</v>
      </c>
    </row>
    <row r="456" spans="1:8" x14ac:dyDescent="0.25">
      <c r="A456" t="s">
        <v>130</v>
      </c>
      <c r="B456">
        <v>77949</v>
      </c>
      <c r="C456" s="3">
        <v>75</v>
      </c>
      <c r="D456" s="1">
        <v>43325</v>
      </c>
      <c r="E456" t="str">
        <f>"12222"</f>
        <v>12222</v>
      </c>
      <c r="F456" t="str">
        <f>"SERVICE  06/18/18"</f>
        <v>SERVICE  06/18/18</v>
      </c>
      <c r="G456" s="2">
        <v>75</v>
      </c>
      <c r="H456" t="str">
        <f>"SERVICE  06/18/18"</f>
        <v>SERVICE  06/18/18</v>
      </c>
    </row>
    <row r="457" spans="1:8" x14ac:dyDescent="0.25">
      <c r="A457" t="s">
        <v>131</v>
      </c>
      <c r="B457">
        <v>77950</v>
      </c>
      <c r="C457" s="3">
        <v>1225.6199999999999</v>
      </c>
      <c r="D457" s="1">
        <v>43325</v>
      </c>
      <c r="E457" t="str">
        <f>"206370149"</f>
        <v>206370149</v>
      </c>
      <c r="F457" t="str">
        <f>"Invoice 206370149"</f>
        <v>Invoice 206370149</v>
      </c>
      <c r="G457" s="2">
        <v>1225.6199999999999</v>
      </c>
      <c r="H457" t="str">
        <f>"Payment"</f>
        <v>Payment</v>
      </c>
    </row>
    <row r="458" spans="1:8" x14ac:dyDescent="0.25">
      <c r="A458" t="s">
        <v>132</v>
      </c>
      <c r="B458">
        <v>77951</v>
      </c>
      <c r="C458" s="3">
        <v>45</v>
      </c>
      <c r="D458" s="1">
        <v>43325</v>
      </c>
      <c r="E458" t="str">
        <f>"18-19110"</f>
        <v>18-19110</v>
      </c>
      <c r="F458" t="str">
        <f>"CENTRAL ADOPTION REGISTRY FUND"</f>
        <v>CENTRAL ADOPTION REGISTRY FUND</v>
      </c>
      <c r="G458" s="2">
        <v>15</v>
      </c>
      <c r="H458" t="str">
        <f>"CENTRAL ADOPTION REGISTRY FUND"</f>
        <v>CENTRAL ADOPTION REGISTRY FUND</v>
      </c>
    </row>
    <row r="459" spans="1:8" x14ac:dyDescent="0.25">
      <c r="E459" t="str">
        <f>"18-19111"</f>
        <v>18-19111</v>
      </c>
      <c r="F459" t="str">
        <f>"CENTRAL ADOPTION REGISTRY FUND"</f>
        <v>CENTRAL ADOPTION REGISTRY FUND</v>
      </c>
      <c r="G459" s="2">
        <v>15</v>
      </c>
      <c r="H459" t="str">
        <f>"CENTRAL ADOPTION REGISTRY FUND"</f>
        <v>CENTRAL ADOPTION REGISTRY FUND</v>
      </c>
    </row>
    <row r="460" spans="1:8" x14ac:dyDescent="0.25">
      <c r="E460" t="str">
        <f>"18-19141"</f>
        <v>18-19141</v>
      </c>
      <c r="F460" t="str">
        <f>"CENTRAL ADOPTION REGISTRY FUND"</f>
        <v>CENTRAL ADOPTION REGISTRY FUND</v>
      </c>
      <c r="G460" s="2">
        <v>15</v>
      </c>
      <c r="H460" t="str">
        <f>"CENTRAL ADOPTION REGISTRY FUND"</f>
        <v>CENTRAL ADOPTION REGISTRY FUND</v>
      </c>
    </row>
    <row r="461" spans="1:8" x14ac:dyDescent="0.25">
      <c r="A461" t="s">
        <v>133</v>
      </c>
      <c r="B461">
        <v>77952</v>
      </c>
      <c r="C461" s="3">
        <v>329</v>
      </c>
      <c r="D461" s="1">
        <v>43325</v>
      </c>
      <c r="E461" t="str">
        <f>"61408"</f>
        <v>61408</v>
      </c>
      <c r="F461" t="str">
        <f>"TRAINING INV 61408"</f>
        <v>TRAINING INV 61408</v>
      </c>
      <c r="G461" s="2">
        <v>329</v>
      </c>
      <c r="H461" t="str">
        <f>"TRAINING INV 61408"</f>
        <v>TRAINING INV 61408</v>
      </c>
    </row>
    <row r="462" spans="1:8" x14ac:dyDescent="0.25">
      <c r="A462" t="s">
        <v>134</v>
      </c>
      <c r="B462">
        <v>77953</v>
      </c>
      <c r="C462" s="3">
        <v>75</v>
      </c>
      <c r="D462" s="1">
        <v>43325</v>
      </c>
      <c r="E462" t="str">
        <f>"12436"</f>
        <v>12436</v>
      </c>
      <c r="F462" t="str">
        <f>"REFUND OF COURT COST  05/29/18"</f>
        <v>REFUND OF COURT COST  05/29/18</v>
      </c>
      <c r="G462" s="2">
        <v>75</v>
      </c>
      <c r="H462" t="str">
        <f>"REFUND OF COURT COST  05/29/18"</f>
        <v>REFUND OF COURT COST  05/29/18</v>
      </c>
    </row>
    <row r="463" spans="1:8" x14ac:dyDescent="0.25">
      <c r="A463" t="s">
        <v>135</v>
      </c>
      <c r="B463">
        <v>77954</v>
      </c>
      <c r="C463" s="3">
        <v>4856.25</v>
      </c>
      <c r="D463" s="1">
        <v>43325</v>
      </c>
      <c r="E463" t="str">
        <f>"1379-FINAL"</f>
        <v>1379-FINAL</v>
      </c>
      <c r="F463" t="str">
        <f>"Inv# 1379"</f>
        <v>Inv# 1379</v>
      </c>
      <c r="G463" s="2">
        <v>4856.25</v>
      </c>
      <c r="H463" t="str">
        <f>"Inv# 1379"</f>
        <v>Inv# 1379</v>
      </c>
    </row>
    <row r="464" spans="1:8" x14ac:dyDescent="0.25">
      <c r="A464" t="s">
        <v>136</v>
      </c>
      <c r="B464">
        <v>77955</v>
      </c>
      <c r="C464" s="3">
        <v>720</v>
      </c>
      <c r="D464" s="1">
        <v>43325</v>
      </c>
      <c r="E464" t="str">
        <f>"201808082823"</f>
        <v>201808082823</v>
      </c>
      <c r="F464" t="str">
        <f>"TRAINING - A. MARTINEZ"</f>
        <v>TRAINING - A. MARTINEZ</v>
      </c>
      <c r="G464" s="2">
        <v>360</v>
      </c>
      <c r="H464" t="str">
        <f>"TRAINING - A. MARTINEZ"</f>
        <v>TRAINING - A. MARTINEZ</v>
      </c>
    </row>
    <row r="465" spans="1:8" x14ac:dyDescent="0.25">
      <c r="E465" t="str">
        <f>"23208"</f>
        <v>23208</v>
      </c>
      <c r="F465" t="str">
        <f>"REGISTRANT ID:10771/C. RABEL"</f>
        <v>REGISTRANT ID:10771/C. RABEL</v>
      </c>
      <c r="G465" s="2">
        <v>360</v>
      </c>
      <c r="H465" t="str">
        <f>"REGISTRANT ID:10771/C. RABEL"</f>
        <v>REGISTRANT ID:10771/C. RABEL</v>
      </c>
    </row>
    <row r="466" spans="1:8" x14ac:dyDescent="0.25">
      <c r="A466" t="s">
        <v>136</v>
      </c>
      <c r="B466">
        <v>78173</v>
      </c>
      <c r="C466" s="3">
        <v>40</v>
      </c>
      <c r="D466" s="1">
        <v>43326</v>
      </c>
      <c r="E466" t="str">
        <f>"10741"</f>
        <v>10741</v>
      </c>
      <c r="F466" t="str">
        <f>"REGIST FEE - VICTOR GONZALES"</f>
        <v>REGIST FEE - VICTOR GONZALES</v>
      </c>
      <c r="G466" s="2">
        <v>40</v>
      </c>
      <c r="H466" t="str">
        <f>"REGIST FEE - VICTOR GONZALES"</f>
        <v>REGIST FEE - VICTOR GONZALES</v>
      </c>
    </row>
    <row r="467" spans="1:8" x14ac:dyDescent="0.25">
      <c r="A467" t="s">
        <v>136</v>
      </c>
      <c r="B467">
        <v>78276</v>
      </c>
      <c r="C467" s="3">
        <v>95</v>
      </c>
      <c r="D467" s="1">
        <v>43339</v>
      </c>
      <c r="E467" t="str">
        <f>"2018 RTA 872"</f>
        <v>2018 RTA 872</v>
      </c>
      <c r="F467" t="str">
        <f>"INV 2018 RTA 872"</f>
        <v>INV 2018 RTA 872</v>
      </c>
      <c r="G467" s="2">
        <v>95</v>
      </c>
      <c r="H467" t="str">
        <f>"INV 2018 RTA 872"</f>
        <v>INV 2018 RTA 872</v>
      </c>
    </row>
    <row r="468" spans="1:8" x14ac:dyDescent="0.25">
      <c r="A468" t="s">
        <v>137</v>
      </c>
      <c r="B468">
        <v>0</v>
      </c>
      <c r="C468" s="3">
        <v>3707.59</v>
      </c>
      <c r="D468" s="1">
        <v>43325</v>
      </c>
      <c r="E468" t="str">
        <f>"201808072705"</f>
        <v>201808072705</v>
      </c>
      <c r="F468" t="str">
        <f>"Acct# 0058"</f>
        <v>Acct# 0058</v>
      </c>
      <c r="G468" s="2">
        <v>3707.59</v>
      </c>
      <c r="H468" t="str">
        <f>"Walmart"</f>
        <v>Walmart</v>
      </c>
    </row>
    <row r="469" spans="1:8" x14ac:dyDescent="0.25">
      <c r="E469" t="str">
        <f>""</f>
        <v/>
      </c>
      <c r="F469" t="str">
        <f>""</f>
        <v/>
      </c>
      <c r="H469" t="str">
        <f>"CVent"</f>
        <v>CVent</v>
      </c>
    </row>
    <row r="470" spans="1:8" x14ac:dyDescent="0.25">
      <c r="E470" t="str">
        <f>""</f>
        <v/>
      </c>
      <c r="F470" t="str">
        <f>""</f>
        <v/>
      </c>
      <c r="H470" t="str">
        <f>"CVent"</f>
        <v>CVent</v>
      </c>
    </row>
    <row r="471" spans="1:8" x14ac:dyDescent="0.25">
      <c r="E471" t="str">
        <f>""</f>
        <v/>
      </c>
      <c r="F471" t="str">
        <f>""</f>
        <v/>
      </c>
      <c r="H471" t="str">
        <f>"Oss-Connie Rabel"</f>
        <v>Oss-Connie Rabel</v>
      </c>
    </row>
    <row r="472" spans="1:8" x14ac:dyDescent="0.25">
      <c r="E472" t="str">
        <f>""</f>
        <v/>
      </c>
      <c r="F472" t="str">
        <f>""</f>
        <v/>
      </c>
      <c r="H472" t="str">
        <f>"LaQuinta"</f>
        <v>LaQuinta</v>
      </c>
    </row>
    <row r="473" spans="1:8" x14ac:dyDescent="0.25">
      <c r="E473" t="str">
        <f>""</f>
        <v/>
      </c>
      <c r="F473" t="str">
        <f>""</f>
        <v/>
      </c>
      <c r="H473" t="str">
        <f>"Google"</f>
        <v>Google</v>
      </c>
    </row>
    <row r="474" spans="1:8" x14ac:dyDescent="0.25">
      <c r="E474" t="str">
        <f>""</f>
        <v/>
      </c>
      <c r="F474" t="str">
        <f>""</f>
        <v/>
      </c>
      <c r="H474" t="str">
        <f>"WebEx"</f>
        <v>WebEx</v>
      </c>
    </row>
    <row r="475" spans="1:8" x14ac:dyDescent="0.25">
      <c r="E475" t="str">
        <f>""</f>
        <v/>
      </c>
      <c r="F475" t="str">
        <f>""</f>
        <v/>
      </c>
      <c r="H475" t="str">
        <f>"Battery Universe"</f>
        <v>Battery Universe</v>
      </c>
    </row>
    <row r="476" spans="1:8" x14ac:dyDescent="0.25">
      <c r="E476" t="str">
        <f>""</f>
        <v/>
      </c>
      <c r="F476" t="str">
        <f>""</f>
        <v/>
      </c>
      <c r="H476" t="str">
        <f>"Charles Adams"</f>
        <v>Charles Adams</v>
      </c>
    </row>
    <row r="477" spans="1:8" x14ac:dyDescent="0.25">
      <c r="E477" t="str">
        <f>""</f>
        <v/>
      </c>
      <c r="F477" t="str">
        <f>""</f>
        <v/>
      </c>
      <c r="H477" t="str">
        <f>"Erika Dejesus"</f>
        <v>Erika Dejesus</v>
      </c>
    </row>
    <row r="478" spans="1:8" x14ac:dyDescent="0.25">
      <c r="E478" t="str">
        <f>""</f>
        <v/>
      </c>
      <c r="F478" t="str">
        <f>""</f>
        <v/>
      </c>
      <c r="H478" t="str">
        <f>"Rosanna Garza"</f>
        <v>Rosanna Garza</v>
      </c>
    </row>
    <row r="479" spans="1:8" x14ac:dyDescent="0.25">
      <c r="E479" t="str">
        <f>""</f>
        <v/>
      </c>
      <c r="F479" t="str">
        <f>""</f>
        <v/>
      </c>
      <c r="H479" t="str">
        <f>"UnNamed"</f>
        <v>UnNamed</v>
      </c>
    </row>
    <row r="480" spans="1:8" x14ac:dyDescent="0.25">
      <c r="E480" t="str">
        <f>""</f>
        <v/>
      </c>
      <c r="F480" t="str">
        <f>""</f>
        <v/>
      </c>
      <c r="H480" t="str">
        <f>"Annette Murley"</f>
        <v>Annette Murley</v>
      </c>
    </row>
    <row r="481" spans="1:8" x14ac:dyDescent="0.25">
      <c r="E481" t="str">
        <f>""</f>
        <v/>
      </c>
      <c r="F481" t="str">
        <f>""</f>
        <v/>
      </c>
      <c r="H481" t="str">
        <f>"UnNames"</f>
        <v>UnNames</v>
      </c>
    </row>
    <row r="482" spans="1:8" x14ac:dyDescent="0.25">
      <c r="E482" t="str">
        <f>""</f>
        <v/>
      </c>
      <c r="F482" t="str">
        <f>""</f>
        <v/>
      </c>
      <c r="H482" t="str">
        <f>"TxTag"</f>
        <v>TxTag</v>
      </c>
    </row>
    <row r="483" spans="1:8" x14ac:dyDescent="0.25">
      <c r="E483" t="str">
        <f>""</f>
        <v/>
      </c>
      <c r="F483" t="str">
        <f>""</f>
        <v/>
      </c>
      <c r="H483" t="str">
        <f>"Municipal Services"</f>
        <v>Municipal Services</v>
      </c>
    </row>
    <row r="484" spans="1:8" x14ac:dyDescent="0.25">
      <c r="E484" t="str">
        <f>""</f>
        <v/>
      </c>
      <c r="F484" t="str">
        <f>""</f>
        <v/>
      </c>
      <c r="H484" t="str">
        <f>"Sheraton Hotel"</f>
        <v>Sheraton Hotel</v>
      </c>
    </row>
    <row r="485" spans="1:8" x14ac:dyDescent="0.25">
      <c r="E485" t="str">
        <f>""</f>
        <v/>
      </c>
      <c r="F485" t="str">
        <f>""</f>
        <v/>
      </c>
      <c r="H485" t="str">
        <f>"Flight"</f>
        <v>Flight</v>
      </c>
    </row>
    <row r="486" spans="1:8" x14ac:dyDescent="0.25">
      <c r="E486" t="str">
        <f>""</f>
        <v/>
      </c>
      <c r="F486" t="str">
        <f>""</f>
        <v/>
      </c>
      <c r="H486" t="str">
        <f>"UPS Store"</f>
        <v>UPS Store</v>
      </c>
    </row>
    <row r="487" spans="1:8" x14ac:dyDescent="0.25">
      <c r="E487" t="str">
        <f>""</f>
        <v/>
      </c>
      <c r="F487" t="str">
        <f>""</f>
        <v/>
      </c>
      <c r="H487" t="str">
        <f>"UPS Store"</f>
        <v>UPS Store</v>
      </c>
    </row>
    <row r="488" spans="1:8" x14ac:dyDescent="0.25">
      <c r="E488" t="str">
        <f>""</f>
        <v/>
      </c>
      <c r="F488" t="str">
        <f>""</f>
        <v/>
      </c>
      <c r="H488" t="str">
        <f>"TxTag"</f>
        <v>TxTag</v>
      </c>
    </row>
    <row r="489" spans="1:8" x14ac:dyDescent="0.25">
      <c r="E489" t="str">
        <f>""</f>
        <v/>
      </c>
      <c r="F489" t="str">
        <f>""</f>
        <v/>
      </c>
      <c r="H489" t="str">
        <f>"TxTag"</f>
        <v>TxTag</v>
      </c>
    </row>
    <row r="490" spans="1:8" x14ac:dyDescent="0.25">
      <c r="E490" t="str">
        <f>""</f>
        <v/>
      </c>
      <c r="F490" t="str">
        <f>""</f>
        <v/>
      </c>
      <c r="H490" t="str">
        <f>"TxTag"</f>
        <v>TxTag</v>
      </c>
    </row>
    <row r="491" spans="1:8" x14ac:dyDescent="0.25">
      <c r="E491" t="str">
        <f>""</f>
        <v/>
      </c>
      <c r="F491" t="str">
        <f>""</f>
        <v/>
      </c>
      <c r="H491" t="str">
        <f>"Bryan Freightliner"</f>
        <v>Bryan Freightliner</v>
      </c>
    </row>
    <row r="492" spans="1:8" x14ac:dyDescent="0.25">
      <c r="E492" t="str">
        <f>""</f>
        <v/>
      </c>
      <c r="F492" t="str">
        <f>""</f>
        <v/>
      </c>
      <c r="H492" t="str">
        <f>"Cummins"</f>
        <v>Cummins</v>
      </c>
    </row>
    <row r="493" spans="1:8" x14ac:dyDescent="0.25">
      <c r="A493" t="s">
        <v>137</v>
      </c>
      <c r="B493">
        <v>0</v>
      </c>
      <c r="C493" s="3">
        <v>434.53</v>
      </c>
      <c r="D493" s="1">
        <v>43325</v>
      </c>
      <c r="E493" t="str">
        <f>"201808082830"</f>
        <v>201808082830</v>
      </c>
      <c r="F493" t="str">
        <f>"#0574 STATEMENT 07/23/18"</f>
        <v>#0574 STATEMENT 07/23/18</v>
      </c>
      <c r="G493" s="2">
        <v>434.53</v>
      </c>
      <c r="H493" t="str">
        <f>"FAIRFIELD INN"</f>
        <v>FAIRFIELD INN</v>
      </c>
    </row>
    <row r="494" spans="1:8" x14ac:dyDescent="0.25">
      <c r="E494" t="str">
        <f>""</f>
        <v/>
      </c>
      <c r="F494" t="str">
        <f>""</f>
        <v/>
      </c>
      <c r="H494" t="str">
        <f>"ACADEMY"</f>
        <v>ACADEMY</v>
      </c>
    </row>
    <row r="495" spans="1:8" x14ac:dyDescent="0.25">
      <c r="E495" t="str">
        <f>""</f>
        <v/>
      </c>
      <c r="F495" t="str">
        <f>""</f>
        <v/>
      </c>
      <c r="H495" t="str">
        <f>"HARBOR FREIGHT"</f>
        <v>HARBOR FREIGHT</v>
      </c>
    </row>
    <row r="496" spans="1:8" x14ac:dyDescent="0.25">
      <c r="E496" t="str">
        <f>""</f>
        <v/>
      </c>
      <c r="F496" t="str">
        <f>""</f>
        <v/>
      </c>
      <c r="H496" t="str">
        <f>"USPS"</f>
        <v>USPS</v>
      </c>
    </row>
    <row r="497" spans="1:8" x14ac:dyDescent="0.25">
      <c r="A497" t="s">
        <v>138</v>
      </c>
      <c r="B497">
        <v>999999</v>
      </c>
      <c r="C497" s="3">
        <v>437.9</v>
      </c>
      <c r="D497" s="1">
        <v>43340</v>
      </c>
      <c r="E497" t="str">
        <f>"1BW19YS"</f>
        <v>1BW19YS</v>
      </c>
      <c r="F497" t="str">
        <f>"Labels"</f>
        <v>Labels</v>
      </c>
      <c r="G497" s="2">
        <v>198.99</v>
      </c>
      <c r="H497" t="str">
        <f>"Zebra Label"</f>
        <v>Zebra Label</v>
      </c>
    </row>
    <row r="498" spans="1:8" x14ac:dyDescent="0.25">
      <c r="E498" t="str">
        <f>""</f>
        <v/>
      </c>
      <c r="F498" t="str">
        <f>""</f>
        <v/>
      </c>
      <c r="H498" t="str">
        <f>"Wax Ribbon"</f>
        <v>Wax Ribbon</v>
      </c>
    </row>
    <row r="499" spans="1:8" x14ac:dyDescent="0.25">
      <c r="E499" t="str">
        <f>"NTS5207"</f>
        <v>NTS5207</v>
      </c>
      <c r="F499" t="str">
        <f>"Headset for Receptionist"</f>
        <v>Headset for Receptionist</v>
      </c>
      <c r="G499" s="2">
        <v>238.91</v>
      </c>
      <c r="H499" t="str">
        <f>"Item# 2725073"</f>
        <v>Item# 2725073</v>
      </c>
    </row>
    <row r="500" spans="1:8" x14ac:dyDescent="0.25">
      <c r="A500" t="s">
        <v>139</v>
      </c>
      <c r="B500">
        <v>78416</v>
      </c>
      <c r="C500" s="3">
        <v>1499.81</v>
      </c>
      <c r="D500" s="1">
        <v>43343</v>
      </c>
      <c r="E500" t="str">
        <f>"201808313168"</f>
        <v>201808313168</v>
      </c>
      <c r="F500" t="str">
        <f>"ACCT#8000081165-5/08202018"</f>
        <v>ACCT#8000081165-5/08202018</v>
      </c>
      <c r="G500" s="2">
        <v>1499.81</v>
      </c>
      <c r="H500" t="str">
        <f t="shared" ref="H500:H507" si="3">"ACCT#8000081165-5/08202018"</f>
        <v>ACCT#8000081165-5/08202018</v>
      </c>
    </row>
    <row r="501" spans="1:8" x14ac:dyDescent="0.25">
      <c r="E501" t="str">
        <f>""</f>
        <v/>
      </c>
      <c r="F501" t="str">
        <f>""</f>
        <v/>
      </c>
      <c r="H501" t="str">
        <f t="shared" si="3"/>
        <v>ACCT#8000081165-5/08202018</v>
      </c>
    </row>
    <row r="502" spans="1:8" x14ac:dyDescent="0.25">
      <c r="E502" t="str">
        <f>""</f>
        <v/>
      </c>
      <c r="F502" t="str">
        <f>""</f>
        <v/>
      </c>
      <c r="H502" t="str">
        <f t="shared" si="3"/>
        <v>ACCT#8000081165-5/08202018</v>
      </c>
    </row>
    <row r="503" spans="1:8" x14ac:dyDescent="0.25">
      <c r="E503" t="str">
        <f>""</f>
        <v/>
      </c>
      <c r="F503" t="str">
        <f>""</f>
        <v/>
      </c>
      <c r="H503" t="str">
        <f t="shared" si="3"/>
        <v>ACCT#8000081165-5/08202018</v>
      </c>
    </row>
    <row r="504" spans="1:8" x14ac:dyDescent="0.25">
      <c r="E504" t="str">
        <f>""</f>
        <v/>
      </c>
      <c r="F504" t="str">
        <f>""</f>
        <v/>
      </c>
      <c r="H504" t="str">
        <f t="shared" si="3"/>
        <v>ACCT#8000081165-5/08202018</v>
      </c>
    </row>
    <row r="505" spans="1:8" x14ac:dyDescent="0.25">
      <c r="E505" t="str">
        <f>""</f>
        <v/>
      </c>
      <c r="F505" t="str">
        <f>""</f>
        <v/>
      </c>
      <c r="H505" t="str">
        <f t="shared" si="3"/>
        <v>ACCT#8000081165-5/08202018</v>
      </c>
    </row>
    <row r="506" spans="1:8" x14ac:dyDescent="0.25">
      <c r="E506" t="str">
        <f>""</f>
        <v/>
      </c>
      <c r="F506" t="str">
        <f>""</f>
        <v/>
      </c>
      <c r="H506" t="str">
        <f t="shared" si="3"/>
        <v>ACCT#8000081165-5/08202018</v>
      </c>
    </row>
    <row r="507" spans="1:8" x14ac:dyDescent="0.25">
      <c r="E507" t="str">
        <f>""</f>
        <v/>
      </c>
      <c r="F507" t="str">
        <f>""</f>
        <v/>
      </c>
      <c r="H507" t="str">
        <f t="shared" si="3"/>
        <v>ACCT#8000081165-5/08202018</v>
      </c>
    </row>
    <row r="508" spans="1:8" x14ac:dyDescent="0.25">
      <c r="A508" t="s">
        <v>140</v>
      </c>
      <c r="B508">
        <v>77956</v>
      </c>
      <c r="C508" s="3">
        <v>3873.04</v>
      </c>
      <c r="D508" s="1">
        <v>43325</v>
      </c>
      <c r="E508" t="str">
        <f>"CID2287005"</f>
        <v>CID2287005</v>
      </c>
      <c r="F508" t="str">
        <f>"ACCT#238567/ORD#CID2327824"</f>
        <v>ACCT#238567/ORD#CID2327824</v>
      </c>
      <c r="G508" s="2">
        <v>2548.5</v>
      </c>
      <c r="H508" t="str">
        <f>"ACCT#238567/ORD#CID2327824"</f>
        <v>ACCT#238567/ORD#CID2327824</v>
      </c>
    </row>
    <row r="509" spans="1:8" x14ac:dyDescent="0.25">
      <c r="E509" t="str">
        <f>"CID2288635"</f>
        <v>CID2288635</v>
      </c>
      <c r="F509" t="str">
        <f>"ACCT#238567/ORD#CID2345363"</f>
        <v>ACCT#238567/ORD#CID2345363</v>
      </c>
      <c r="G509" s="2">
        <v>1324.54</v>
      </c>
      <c r="H509" t="str">
        <f>"ACCT#238567/ORD#CID2345363"</f>
        <v>ACCT#238567/ORD#CID2345363</v>
      </c>
    </row>
    <row r="510" spans="1:8" x14ac:dyDescent="0.25">
      <c r="A510" t="s">
        <v>141</v>
      </c>
      <c r="B510">
        <v>77957</v>
      </c>
      <c r="C510" s="3">
        <v>20945.75</v>
      </c>
      <c r="D510" s="1">
        <v>43325</v>
      </c>
      <c r="E510" t="str">
        <f>"30127200"</f>
        <v>30127200</v>
      </c>
      <c r="F510" t="str">
        <f>"CUST#BASPCT1/ORD#37-19558/P1"</f>
        <v>CUST#BASPCT1/ORD#37-19558/P1</v>
      </c>
      <c r="G510" s="2">
        <v>619.6</v>
      </c>
      <c r="H510" t="str">
        <f>"CUST#BASPCT1/ORD#37-19558/P1"</f>
        <v>CUST#BASPCT1/ORD#37-19558/P1</v>
      </c>
    </row>
    <row r="511" spans="1:8" x14ac:dyDescent="0.25">
      <c r="E511" t="str">
        <f>"30127201"</f>
        <v>30127201</v>
      </c>
      <c r="F511" t="str">
        <f>"CUST#BASPCT2/ORD#37-18894/P2"</f>
        <v>CUST#BASPCT2/ORD#37-18894/P2</v>
      </c>
      <c r="G511" s="2">
        <v>3756.9</v>
      </c>
      <c r="H511" t="str">
        <f>"CUST#BASPCT2/ORD#37-18894/P2"</f>
        <v>CUST#BASPCT2/ORD#37-18894/P2</v>
      </c>
    </row>
    <row r="512" spans="1:8" x14ac:dyDescent="0.25">
      <c r="E512" t="str">
        <f>"30127227"</f>
        <v>30127227</v>
      </c>
      <c r="F512" t="str">
        <f>"CUST#BASPCT2/ORD#37-18894/P2"</f>
        <v>CUST#BASPCT2/ORD#37-18894/P2</v>
      </c>
      <c r="G512" s="2">
        <v>2817.57</v>
      </c>
      <c r="H512" t="str">
        <f>"CUST#BASPCT2/ORD#37-18894/P2"</f>
        <v>CUST#BASPCT2/ORD#37-18894/P2</v>
      </c>
    </row>
    <row r="513" spans="1:8" x14ac:dyDescent="0.25">
      <c r="E513" t="str">
        <f>"30127260"</f>
        <v>30127260</v>
      </c>
      <c r="F513" t="str">
        <f>"CUST#BASPCT1/ORD#37-19558/P1"</f>
        <v>CUST#BASPCT1/ORD#37-19558/P1</v>
      </c>
      <c r="G513" s="2">
        <v>613.99</v>
      </c>
      <c r="H513" t="str">
        <f>"CUST#BASPCT1/ORD#37-19558/P1"</f>
        <v>CUST#BASPCT1/ORD#37-19558/P1</v>
      </c>
    </row>
    <row r="514" spans="1:8" x14ac:dyDescent="0.25">
      <c r="E514" t="str">
        <f>"30127308"</f>
        <v>30127308</v>
      </c>
      <c r="F514" t="str">
        <f>"CUST#BASPCT2/ORD#37-18894/P2"</f>
        <v>CUST#BASPCT2/ORD#37-18894/P2</v>
      </c>
      <c r="G514" s="2">
        <v>2819.67</v>
      </c>
      <c r="H514" t="str">
        <f>"CUST#BASPCT2/ORD#37-18894/P2"</f>
        <v>CUST#BASPCT2/ORD#37-18894/P2</v>
      </c>
    </row>
    <row r="515" spans="1:8" x14ac:dyDescent="0.25">
      <c r="E515" t="str">
        <f>"30127378"</f>
        <v>30127378</v>
      </c>
      <c r="F515" t="str">
        <f>"CUST#BASPCT2/ORD#37-18894/P2"</f>
        <v>CUST#BASPCT2/ORD#37-18894/P2</v>
      </c>
      <c r="G515" s="2">
        <v>4192.2299999999996</v>
      </c>
      <c r="H515" t="str">
        <f>"CUST#BASPCT2/ORD#37-18894/P2"</f>
        <v>CUST#BASPCT2/ORD#37-18894/P2</v>
      </c>
    </row>
    <row r="516" spans="1:8" x14ac:dyDescent="0.25">
      <c r="E516" t="str">
        <f>"30127462"</f>
        <v>30127462</v>
      </c>
      <c r="F516" t="str">
        <f>"CUST#BASPCT1/ORD#37-19558/P1"</f>
        <v>CUST#BASPCT1/ORD#37-19558/P1</v>
      </c>
      <c r="G516" s="2">
        <v>606.03</v>
      </c>
      <c r="H516" t="str">
        <f>"CUST#BASPCT1/ORD#37-19558/P1"</f>
        <v>CUST#BASPCT1/ORD#37-19558/P1</v>
      </c>
    </row>
    <row r="517" spans="1:8" x14ac:dyDescent="0.25">
      <c r="E517" t="str">
        <f>"30127485"</f>
        <v>30127485</v>
      </c>
      <c r="F517" t="str">
        <f>"CUST#BASPCT1/ORD#37-19558/P1"</f>
        <v>CUST#BASPCT1/ORD#37-19558/P1</v>
      </c>
      <c r="G517" s="2">
        <v>821.01</v>
      </c>
      <c r="H517" t="str">
        <f>"CUST#BASPCT1/ORD#37-19558/P1"</f>
        <v>CUST#BASPCT1/ORD#37-19558/P1</v>
      </c>
    </row>
    <row r="518" spans="1:8" x14ac:dyDescent="0.25">
      <c r="E518" t="str">
        <f>"30127513"</f>
        <v>30127513</v>
      </c>
      <c r="F518" t="str">
        <f>"CUST#BASPCT2/ORD#37-18894/P2"</f>
        <v>CUST#BASPCT2/ORD#37-18894/P2</v>
      </c>
      <c r="G518" s="2">
        <v>2810.85</v>
      </c>
      <c r="H518" t="str">
        <f>"CUST#BASPCT2/ORD#37-18894/P2"</f>
        <v>CUST#BASPCT2/ORD#37-18894/P2</v>
      </c>
    </row>
    <row r="519" spans="1:8" x14ac:dyDescent="0.25">
      <c r="E519" t="str">
        <f>"30127539"</f>
        <v>30127539</v>
      </c>
      <c r="F519" t="str">
        <f>"CUST#BASPCT2/ORD#37-18894/P2"</f>
        <v>CUST#BASPCT2/ORD#37-18894/P2</v>
      </c>
      <c r="G519" s="2">
        <v>1887.9</v>
      </c>
      <c r="H519" t="str">
        <f>"CUST#BASPCT2/ORD#37-18894/P2"</f>
        <v>CUST#BASPCT2/ORD#37-18894/P2</v>
      </c>
    </row>
    <row r="520" spans="1:8" x14ac:dyDescent="0.25">
      <c r="A520" t="s">
        <v>142</v>
      </c>
      <c r="B520">
        <v>78277</v>
      </c>
      <c r="C520" s="3">
        <v>585</v>
      </c>
      <c r="D520" s="1">
        <v>43339</v>
      </c>
      <c r="E520" t="str">
        <f>"BC2#011"</f>
        <v>BC2#011</v>
      </c>
      <c r="F520" t="str">
        <f>"RENTAL DATES/MAY28-JUNE28/P2"</f>
        <v>RENTAL DATES/MAY28-JUNE28/P2</v>
      </c>
      <c r="G520" s="2">
        <v>195</v>
      </c>
      <c r="H520" t="str">
        <f>"RENTAL DATES/MAY28-JUNE28/P2"</f>
        <v>RENTAL DATES/MAY28-JUNE28/P2</v>
      </c>
    </row>
    <row r="521" spans="1:8" x14ac:dyDescent="0.25">
      <c r="E521" t="str">
        <f>"BC2#012"</f>
        <v>BC2#012</v>
      </c>
      <c r="F521" t="str">
        <f>"RENTAL DATES/JUNE28-JULY28/P2"</f>
        <v>RENTAL DATES/JUNE28-JULY28/P2</v>
      </c>
      <c r="G521" s="2">
        <v>195</v>
      </c>
      <c r="H521" t="str">
        <f>"RENTAL DATES/JUNE28-JULY28/P2"</f>
        <v>RENTAL DATES/JUNE28-JULY28/P2</v>
      </c>
    </row>
    <row r="522" spans="1:8" x14ac:dyDescent="0.25">
      <c r="E522" t="str">
        <f>"BC2#013"</f>
        <v>BC2#013</v>
      </c>
      <c r="F522" t="str">
        <f>"WATER BARRIER/JULY28-AUG28/P2"</f>
        <v>WATER BARRIER/JULY28-AUG28/P2</v>
      </c>
      <c r="G522" s="2">
        <v>195</v>
      </c>
      <c r="H522" t="str">
        <f>"WATER BARRIER/JULY28-AUG28/P2"</f>
        <v>WATER BARRIER/JULY28-AUG28/P2</v>
      </c>
    </row>
    <row r="523" spans="1:8" x14ac:dyDescent="0.25">
      <c r="A523" t="s">
        <v>143</v>
      </c>
      <c r="B523">
        <v>77958</v>
      </c>
      <c r="C523" s="3">
        <v>12600</v>
      </c>
      <c r="D523" s="1">
        <v>43325</v>
      </c>
      <c r="E523" t="str">
        <f>"12131"</f>
        <v>12131</v>
      </c>
      <c r="F523" t="str">
        <f>"CTA 359-17/J.S. SPRADLIN"</f>
        <v>CTA 359-17/J.S. SPRADLIN</v>
      </c>
      <c r="G523" s="2">
        <v>2100</v>
      </c>
      <c r="H523" t="str">
        <f>"CTA 359-17/J.S. SPRADLIN"</f>
        <v>CTA 359-17/J.S. SPRADLIN</v>
      </c>
    </row>
    <row r="524" spans="1:8" x14ac:dyDescent="0.25">
      <c r="E524" t="str">
        <f>"12428"</f>
        <v>12428</v>
      </c>
      <c r="F524" t="str">
        <f>"CTA 512-17 - R.A. SNYDER"</f>
        <v>CTA 512-17 - R.A. SNYDER</v>
      </c>
      <c r="G524" s="2">
        <v>2100</v>
      </c>
      <c r="H524" t="str">
        <f>"CTA 512-17 - R.A. SNYDER"</f>
        <v>CTA 512-17 - R.A. SNYDER</v>
      </c>
    </row>
    <row r="525" spans="1:8" x14ac:dyDescent="0.25">
      <c r="E525" t="str">
        <f>"12429"</f>
        <v>12429</v>
      </c>
      <c r="F525" t="str">
        <f>"CTA 054-18 - J. BARR"</f>
        <v>CTA 054-18 - J. BARR</v>
      </c>
      <c r="G525" s="2">
        <v>2100</v>
      </c>
      <c r="H525" t="str">
        <f>"CTA 054-18 - J. BARR"</f>
        <v>CTA 054-18 - J. BARR</v>
      </c>
    </row>
    <row r="526" spans="1:8" x14ac:dyDescent="0.25">
      <c r="E526" t="str">
        <f>"12430"</f>
        <v>12430</v>
      </c>
      <c r="F526" t="str">
        <f>"CTA 095-18 - S.J. LOPEZ"</f>
        <v>CTA 095-18 - S.J. LOPEZ</v>
      </c>
      <c r="G526" s="2">
        <v>2100</v>
      </c>
      <c r="H526" t="str">
        <f>"CTA 095-18 - S.J. LOPEZ"</f>
        <v>CTA 095-18 - S.J. LOPEZ</v>
      </c>
    </row>
    <row r="527" spans="1:8" x14ac:dyDescent="0.25">
      <c r="E527" t="str">
        <f>"12431"</f>
        <v>12431</v>
      </c>
      <c r="F527" t="str">
        <f>"CTA 099-18 - B.W. BURKLAND"</f>
        <v>CTA 099-18 - B.W. BURKLAND</v>
      </c>
      <c r="G527" s="2">
        <v>2100</v>
      </c>
      <c r="H527" t="str">
        <f>"CTA 099-18 - B.W. BURKLAND"</f>
        <v>CTA 099-18 - B.W. BURKLAND</v>
      </c>
    </row>
    <row r="528" spans="1:8" x14ac:dyDescent="0.25">
      <c r="E528" t="str">
        <f>"12432"</f>
        <v>12432</v>
      </c>
      <c r="F528" t="str">
        <f>"CTA 106-18 - A.M. MILLER"</f>
        <v>CTA 106-18 - A.M. MILLER</v>
      </c>
      <c r="G528" s="2">
        <v>2100</v>
      </c>
      <c r="H528" t="str">
        <f>"CTA 106-18 - A.M. MILLER"</f>
        <v>CTA 106-18 - A.M. MILLER</v>
      </c>
    </row>
    <row r="529" spans="1:8" x14ac:dyDescent="0.25">
      <c r="A529" t="s">
        <v>143</v>
      </c>
      <c r="B529">
        <v>78278</v>
      </c>
      <c r="C529" s="3">
        <v>4300</v>
      </c>
      <c r="D529" s="1">
        <v>43339</v>
      </c>
      <c r="E529" t="str">
        <f>"12294"</f>
        <v>12294</v>
      </c>
      <c r="F529" t="str">
        <f>"CTA 053-18 - A. MARTINEZ"</f>
        <v>CTA 053-18 - A. MARTINEZ</v>
      </c>
      <c r="G529" s="2">
        <v>2100</v>
      </c>
      <c r="H529" t="str">
        <f>"CTA 053-18 - A. MARTINEZ"</f>
        <v>CTA 053-18 - A. MARTINEZ</v>
      </c>
    </row>
    <row r="530" spans="1:8" x14ac:dyDescent="0.25">
      <c r="E530" t="str">
        <f>"12308"</f>
        <v>12308</v>
      </c>
      <c r="F530" t="str">
        <f>"CTA 070-18 - I.A. TRUJILLO"</f>
        <v>CTA 070-18 - I.A. TRUJILLO</v>
      </c>
      <c r="G530" s="2">
        <v>2200</v>
      </c>
      <c r="H530" t="str">
        <f>"CTA 070-18 - I.A. TRUJILLO"</f>
        <v>CTA 070-18 - I.A. TRUJILLO</v>
      </c>
    </row>
    <row r="531" spans="1:8" x14ac:dyDescent="0.25">
      <c r="A531" t="s">
        <v>144</v>
      </c>
      <c r="B531">
        <v>77959</v>
      </c>
      <c r="C531" s="3">
        <v>1946.73</v>
      </c>
      <c r="D531" s="1">
        <v>43325</v>
      </c>
      <c r="E531" t="str">
        <f>"201808062659"</f>
        <v>201808062659</v>
      </c>
      <c r="F531" t="str">
        <f>"J-3144"</f>
        <v>J-3144</v>
      </c>
      <c r="G531" s="2">
        <v>250</v>
      </c>
      <c r="H531" t="str">
        <f>"J-3144"</f>
        <v>J-3144</v>
      </c>
    </row>
    <row r="532" spans="1:8" x14ac:dyDescent="0.25">
      <c r="E532" t="str">
        <f>"201808062664"</f>
        <v>201808062664</v>
      </c>
      <c r="F532" t="str">
        <f>"17-18579"</f>
        <v>17-18579</v>
      </c>
      <c r="G532" s="2">
        <v>484.23</v>
      </c>
      <c r="H532" t="str">
        <f>"17-18579"</f>
        <v>17-18579</v>
      </c>
    </row>
    <row r="533" spans="1:8" x14ac:dyDescent="0.25">
      <c r="E533" t="str">
        <f>"201808062683"</f>
        <v>201808062683</v>
      </c>
      <c r="F533" t="str">
        <f>"18-19093"</f>
        <v>18-19093</v>
      </c>
      <c r="G533" s="2">
        <v>317.5</v>
      </c>
      <c r="H533" t="str">
        <f>"18-19093"</f>
        <v>18-19093</v>
      </c>
    </row>
    <row r="534" spans="1:8" x14ac:dyDescent="0.25">
      <c r="E534" t="str">
        <f>"201808062684"</f>
        <v>201808062684</v>
      </c>
      <c r="F534" t="str">
        <f>"17-18269"</f>
        <v>17-18269</v>
      </c>
      <c r="G534" s="2">
        <v>295</v>
      </c>
      <c r="H534" t="str">
        <f>"17-18269"</f>
        <v>17-18269</v>
      </c>
    </row>
    <row r="535" spans="1:8" x14ac:dyDescent="0.25">
      <c r="E535" t="str">
        <f>"201808082801"</f>
        <v>201808082801</v>
      </c>
      <c r="F535" t="str">
        <f>"16-18043"</f>
        <v>16-18043</v>
      </c>
      <c r="G535" s="2">
        <v>100</v>
      </c>
      <c r="H535" t="str">
        <f>"16-18043"</f>
        <v>16-18043</v>
      </c>
    </row>
    <row r="536" spans="1:8" x14ac:dyDescent="0.25">
      <c r="E536" t="str">
        <f>"201808082802"</f>
        <v>201808082802</v>
      </c>
      <c r="F536" t="str">
        <f>"17-18229"</f>
        <v>17-18229</v>
      </c>
      <c r="G536" s="2">
        <v>100</v>
      </c>
      <c r="H536" t="str">
        <f>"17-18229"</f>
        <v>17-18229</v>
      </c>
    </row>
    <row r="537" spans="1:8" x14ac:dyDescent="0.25">
      <c r="E537" t="str">
        <f>"201808082803"</f>
        <v>201808082803</v>
      </c>
      <c r="F537" t="str">
        <f>"18-18885"</f>
        <v>18-18885</v>
      </c>
      <c r="G537" s="2">
        <v>100</v>
      </c>
      <c r="H537" t="str">
        <f>"18-18885"</f>
        <v>18-18885</v>
      </c>
    </row>
    <row r="538" spans="1:8" x14ac:dyDescent="0.25">
      <c r="E538" t="str">
        <f>"201808082804"</f>
        <v>201808082804</v>
      </c>
      <c r="F538" t="str">
        <f>"18-19144"</f>
        <v>18-19144</v>
      </c>
      <c r="G538" s="2">
        <v>100</v>
      </c>
      <c r="H538" t="str">
        <f>"18-19144"</f>
        <v>18-19144</v>
      </c>
    </row>
    <row r="539" spans="1:8" x14ac:dyDescent="0.25">
      <c r="E539" t="str">
        <f>"201808082805"</f>
        <v>201808082805</v>
      </c>
      <c r="F539" t="str">
        <f>"18-18997"</f>
        <v>18-18997</v>
      </c>
      <c r="G539" s="2">
        <v>100</v>
      </c>
      <c r="H539" t="str">
        <f>"18-18997"</f>
        <v>18-18997</v>
      </c>
    </row>
    <row r="540" spans="1:8" x14ac:dyDescent="0.25">
      <c r="E540" t="str">
        <f>"201808082806"</f>
        <v>201808082806</v>
      </c>
      <c r="F540" t="str">
        <f>"17-18637"</f>
        <v>17-18637</v>
      </c>
      <c r="G540" s="2">
        <v>100</v>
      </c>
      <c r="H540" t="str">
        <f>"17-18637"</f>
        <v>17-18637</v>
      </c>
    </row>
    <row r="541" spans="1:8" x14ac:dyDescent="0.25">
      <c r="A541" t="s">
        <v>145</v>
      </c>
      <c r="B541">
        <v>999999</v>
      </c>
      <c r="C541" s="3">
        <v>691.2</v>
      </c>
      <c r="D541" s="1">
        <v>43326</v>
      </c>
      <c r="E541" t="str">
        <f>"0169202-IN"</f>
        <v>0169202-IN</v>
      </c>
      <c r="F541" t="str">
        <f>"INV 0169202-IN"</f>
        <v>INV 0169202-IN</v>
      </c>
      <c r="G541" s="2">
        <v>691.2</v>
      </c>
      <c r="H541" t="str">
        <f>"INV 0169202-IN"</f>
        <v>INV 0169202-IN</v>
      </c>
    </row>
    <row r="542" spans="1:8" x14ac:dyDescent="0.25">
      <c r="A542" t="s">
        <v>146</v>
      </c>
      <c r="B542">
        <v>999999</v>
      </c>
      <c r="C542" s="3">
        <v>2050</v>
      </c>
      <c r="D542" s="1">
        <v>43326</v>
      </c>
      <c r="E542" t="str">
        <f>"201807242390"</f>
        <v>201807242390</v>
      </c>
      <c r="F542" t="str">
        <f>"409206.6M"</f>
        <v>409206.6M</v>
      </c>
      <c r="G542" s="2">
        <v>400</v>
      </c>
      <c r="H542" t="str">
        <f>"409206.6M"</f>
        <v>409206.6M</v>
      </c>
    </row>
    <row r="543" spans="1:8" x14ac:dyDescent="0.25">
      <c r="E543" t="str">
        <f>"201807242391"</f>
        <v>201807242391</v>
      </c>
      <c r="F543" t="str">
        <f>"02-0227.1"</f>
        <v>02-0227.1</v>
      </c>
      <c r="G543" s="2">
        <v>400</v>
      </c>
      <c r="H543" t="str">
        <f>"02-0227.1"</f>
        <v>02-0227.1</v>
      </c>
    </row>
    <row r="544" spans="1:8" x14ac:dyDescent="0.25">
      <c r="E544" t="str">
        <f>"201807242392"</f>
        <v>201807242392</v>
      </c>
      <c r="F544" t="str">
        <f>"1JP5516A  1JP5516B"</f>
        <v>1JP5516A  1JP5516B</v>
      </c>
      <c r="G544" s="2">
        <v>600</v>
      </c>
      <c r="H544" t="str">
        <f>"1JP5516A  1JP5516B"</f>
        <v>1JP5516A  1JP5516B</v>
      </c>
    </row>
    <row r="545" spans="1:8" x14ac:dyDescent="0.25">
      <c r="E545" t="str">
        <f>"201808062686"</f>
        <v>201808062686</v>
      </c>
      <c r="F545" t="str">
        <f>"18-19039"</f>
        <v>18-19039</v>
      </c>
      <c r="G545" s="2">
        <v>100</v>
      </c>
      <c r="H545" t="str">
        <f>"18-19039"</f>
        <v>18-19039</v>
      </c>
    </row>
    <row r="546" spans="1:8" x14ac:dyDescent="0.25">
      <c r="E546" t="str">
        <f>"201808082745"</f>
        <v>201808082745</v>
      </c>
      <c r="F546" t="str">
        <f>"1JP5516C"</f>
        <v>1JP5516C</v>
      </c>
      <c r="G546" s="2">
        <v>250</v>
      </c>
      <c r="H546" t="str">
        <f>"1JP5516C"</f>
        <v>1JP5516C</v>
      </c>
    </row>
    <row r="547" spans="1:8" x14ac:dyDescent="0.25">
      <c r="E547" t="str">
        <f>"201808082746"</f>
        <v>201808082746</v>
      </c>
      <c r="F547" t="str">
        <f>"18-18995"</f>
        <v>18-18995</v>
      </c>
      <c r="G547" s="2">
        <v>100</v>
      </c>
      <c r="H547" t="str">
        <f>"18-18995"</f>
        <v>18-18995</v>
      </c>
    </row>
    <row r="548" spans="1:8" x14ac:dyDescent="0.25">
      <c r="E548" t="str">
        <f>"201808082747"</f>
        <v>201808082747</v>
      </c>
      <c r="F548" t="str">
        <f>"17-18646"</f>
        <v>17-18646</v>
      </c>
      <c r="G548" s="2">
        <v>100</v>
      </c>
      <c r="H548" t="str">
        <f>"17-18646"</f>
        <v>17-18646</v>
      </c>
    </row>
    <row r="549" spans="1:8" x14ac:dyDescent="0.25">
      <c r="E549" t="str">
        <f>"201808082748"</f>
        <v>201808082748</v>
      </c>
      <c r="F549" t="str">
        <f>"17-18672"</f>
        <v>17-18672</v>
      </c>
      <c r="G549" s="2">
        <v>100</v>
      </c>
      <c r="H549" t="str">
        <f>"17-18672"</f>
        <v>17-18672</v>
      </c>
    </row>
    <row r="550" spans="1:8" x14ac:dyDescent="0.25">
      <c r="A550" t="s">
        <v>146</v>
      </c>
      <c r="B550">
        <v>999999</v>
      </c>
      <c r="C550" s="3">
        <v>1200</v>
      </c>
      <c r="D550" s="1">
        <v>43340</v>
      </c>
      <c r="E550" t="str">
        <f>"201808152900"</f>
        <v>201808152900</v>
      </c>
      <c r="F550" t="str">
        <f>"16 013"</f>
        <v>16 013</v>
      </c>
      <c r="G550" s="2">
        <v>400</v>
      </c>
      <c r="H550" t="str">
        <f>"16 013"</f>
        <v>16 013</v>
      </c>
    </row>
    <row r="551" spans="1:8" x14ac:dyDescent="0.25">
      <c r="E551" t="str">
        <f>"201808152901"</f>
        <v>201808152901</v>
      </c>
      <c r="F551" t="str">
        <f>"BC20180304"</f>
        <v>BC20180304</v>
      </c>
      <c r="G551" s="2">
        <v>400</v>
      </c>
      <c r="H551" t="str">
        <f>"BC20180304"</f>
        <v>BC20180304</v>
      </c>
    </row>
    <row r="552" spans="1:8" x14ac:dyDescent="0.25">
      <c r="E552" t="str">
        <f>"201808162915"</f>
        <v>201808162915</v>
      </c>
      <c r="F552" t="str">
        <f>"1JP111017B"</f>
        <v>1JP111017B</v>
      </c>
      <c r="G552" s="2">
        <v>400</v>
      </c>
      <c r="H552" t="str">
        <f>"1JP111017B"</f>
        <v>1JP111017B</v>
      </c>
    </row>
    <row r="553" spans="1:8" x14ac:dyDescent="0.25">
      <c r="A553" t="s">
        <v>147</v>
      </c>
      <c r="B553">
        <v>78279</v>
      </c>
      <c r="C553" s="3">
        <v>300</v>
      </c>
      <c r="D553" s="1">
        <v>43339</v>
      </c>
      <c r="E553" t="str">
        <f>"201808162942"</f>
        <v>201808162942</v>
      </c>
      <c r="F553" t="str">
        <f>"CONTRACT PREP-1118 FM 20/PCT#3"</f>
        <v>CONTRACT PREP-1118 FM 20/PCT#3</v>
      </c>
      <c r="G553" s="2">
        <v>300</v>
      </c>
      <c r="H553" t="str">
        <f>"CONTRACT PREP-1118 FM 20/PCT#3"</f>
        <v>CONTRACT PREP-1118 FM 20/PCT#3</v>
      </c>
    </row>
    <row r="554" spans="1:8" x14ac:dyDescent="0.25">
      <c r="A554" t="s">
        <v>148</v>
      </c>
      <c r="B554">
        <v>77960</v>
      </c>
      <c r="C554" s="3">
        <v>91.32</v>
      </c>
      <c r="D554" s="1">
        <v>43325</v>
      </c>
      <c r="E554" t="str">
        <f>"5011301581"</f>
        <v>5011301581</v>
      </c>
      <c r="F554" t="str">
        <f>"CUST#0011167190/PCT#1"</f>
        <v>CUST#0011167190/PCT#1</v>
      </c>
      <c r="G554" s="2">
        <v>91.32</v>
      </c>
      <c r="H554" t="str">
        <f>"CUST#0011167190/PCT#1"</f>
        <v>CUST#0011167190/PCT#1</v>
      </c>
    </row>
    <row r="555" spans="1:8" x14ac:dyDescent="0.25">
      <c r="A555" t="s">
        <v>149</v>
      </c>
      <c r="B555">
        <v>77961</v>
      </c>
      <c r="C555" s="3">
        <v>162.46</v>
      </c>
      <c r="D555" s="1">
        <v>43325</v>
      </c>
      <c r="E555" t="str">
        <f>"8403736176"</f>
        <v>8403736176</v>
      </c>
      <c r="F555" t="str">
        <f>"CUST#10377368/PCT#3"</f>
        <v>CUST#10377368/PCT#3</v>
      </c>
      <c r="G555" s="2">
        <v>162.46</v>
      </c>
      <c r="H555" t="str">
        <f>"CUST#10377368/PCT#3"</f>
        <v>CUST#10377368/PCT#3</v>
      </c>
    </row>
    <row r="556" spans="1:8" x14ac:dyDescent="0.25">
      <c r="A556" t="s">
        <v>149</v>
      </c>
      <c r="B556">
        <v>78280</v>
      </c>
      <c r="C556" s="3">
        <v>193.58</v>
      </c>
      <c r="D556" s="1">
        <v>43339</v>
      </c>
      <c r="E556" t="str">
        <f>"8403765736"</f>
        <v>8403765736</v>
      </c>
      <c r="F556" t="str">
        <f>"CUST#10377368/PCT#2"</f>
        <v>CUST#10377368/PCT#2</v>
      </c>
      <c r="G556" s="2">
        <v>67.290000000000006</v>
      </c>
      <c r="H556" t="str">
        <f>"CUST#10377368/PCT#2"</f>
        <v>CUST#10377368/PCT#2</v>
      </c>
    </row>
    <row r="557" spans="1:8" x14ac:dyDescent="0.25">
      <c r="E557" t="str">
        <f>"8403773980"</f>
        <v>8403773980</v>
      </c>
      <c r="F557" t="str">
        <f>"CUST#10377368/PCT#3"</f>
        <v>CUST#10377368/PCT#3</v>
      </c>
      <c r="G557" s="2">
        <v>126.29</v>
      </c>
      <c r="H557" t="str">
        <f>"CUST#10377368/PCT#3"</f>
        <v>CUST#10377368/PCT#3</v>
      </c>
    </row>
    <row r="558" spans="1:8" x14ac:dyDescent="0.25">
      <c r="A558" t="s">
        <v>150</v>
      </c>
      <c r="B558">
        <v>78281</v>
      </c>
      <c r="C558" s="3">
        <v>4503.16</v>
      </c>
      <c r="D558" s="1">
        <v>43339</v>
      </c>
      <c r="E558" t="str">
        <f>"201808212968"</f>
        <v>201808212968</v>
      </c>
      <c r="F558" t="str">
        <f>"PAYER ID#13242108/PCT#4"</f>
        <v>PAYER ID#13242108/PCT#4</v>
      </c>
      <c r="G558" s="2">
        <v>1143.28</v>
      </c>
      <c r="H558" t="str">
        <f>"PAYER ID#13242108/PCT#4"</f>
        <v>PAYER ID#13242108/PCT#4</v>
      </c>
    </row>
    <row r="559" spans="1:8" x14ac:dyDescent="0.25">
      <c r="E559" t="str">
        <f>"201808212970"</f>
        <v>201808212970</v>
      </c>
      <c r="F559" t="str">
        <f>"PAYER ID#13242108/SIGN SHOP"</f>
        <v>PAYER ID#13242108/SIGN SHOP</v>
      </c>
      <c r="G559" s="2">
        <v>55.51</v>
      </c>
      <c r="H559" t="str">
        <f>"PAYER ID#13242108"</f>
        <v>PAYER ID#13242108</v>
      </c>
    </row>
    <row r="560" spans="1:8" x14ac:dyDescent="0.25">
      <c r="E560" t="str">
        <f>"201808212971"</f>
        <v>201808212971</v>
      </c>
      <c r="F560" t="str">
        <f>"PAYER ID#13242108/ANIMAL CONTR"</f>
        <v>PAYER ID#13242108/ANIMAL CONTR</v>
      </c>
      <c r="G560" s="2">
        <v>209.8</v>
      </c>
      <c r="H560" t="str">
        <f>"PAYER ID#13242108/ANIMAL CONTR"</f>
        <v>PAYER ID#13242108/ANIMAL CONTR</v>
      </c>
    </row>
    <row r="561" spans="1:9" x14ac:dyDescent="0.25">
      <c r="E561" t="str">
        <f>"201808212972"</f>
        <v>201808212972</v>
      </c>
      <c r="F561" t="str">
        <f>"PAYER ID#13242108/GENERAL SVCS"</f>
        <v>PAYER ID#13242108/GENERAL SVCS</v>
      </c>
      <c r="G561" s="2">
        <v>1062.57</v>
      </c>
      <c r="H561" t="str">
        <f>"PAYER ID#13242108/GENERAL SVCS"</f>
        <v>PAYER ID#13242108/GENERAL SVCS</v>
      </c>
    </row>
    <row r="562" spans="1:9" x14ac:dyDescent="0.25">
      <c r="E562" t="str">
        <f>"201808212973"</f>
        <v>201808212973</v>
      </c>
      <c r="F562" t="str">
        <f>"PAYER ID:13242108/PCT#1"</f>
        <v>PAYER ID:13242108/PCT#1</v>
      </c>
      <c r="G562" s="2">
        <v>733.43</v>
      </c>
      <c r="H562" t="str">
        <f>"PAYER ID:13242108/PCT#1"</f>
        <v>PAYER ID:13242108/PCT#1</v>
      </c>
    </row>
    <row r="563" spans="1:9" x14ac:dyDescent="0.25">
      <c r="E563" t="str">
        <f>"201808212974"</f>
        <v>201808212974</v>
      </c>
      <c r="F563" t="str">
        <f>"PAYER ID#13242108/PCT#2"</f>
        <v>PAYER ID#13242108/PCT#2</v>
      </c>
      <c r="G563" s="2">
        <v>714.28</v>
      </c>
      <c r="H563" t="str">
        <f>"PAYER ID#13242108/PCT#2"</f>
        <v>PAYER ID#13242108/PCT#2</v>
      </c>
    </row>
    <row r="564" spans="1:9" x14ac:dyDescent="0.25">
      <c r="E564" t="str">
        <f>"201808212975"</f>
        <v>201808212975</v>
      </c>
      <c r="F564" t="str">
        <f>"PAYER#13034093/PCT#3"</f>
        <v>PAYER#13034093/PCT#3</v>
      </c>
      <c r="G564" s="2">
        <v>584.29</v>
      </c>
      <c r="H564" t="str">
        <f>"PAYER#13034093/PCT#3"</f>
        <v>PAYER#13034093/PCT#3</v>
      </c>
    </row>
    <row r="565" spans="1:9" x14ac:dyDescent="0.25">
      <c r="A565" t="s">
        <v>151</v>
      </c>
      <c r="B565">
        <v>77895</v>
      </c>
      <c r="C565" s="3">
        <v>53085.71</v>
      </c>
      <c r="D565" s="1">
        <v>43321</v>
      </c>
      <c r="E565" t="str">
        <f>"201808082831"</f>
        <v>201808082831</v>
      </c>
      <c r="F565" t="str">
        <f>"ACCT# 02-2083-04 / 07292018"</f>
        <v>ACCT# 02-2083-04 / 07292018</v>
      </c>
      <c r="G565" s="2">
        <v>1484.9</v>
      </c>
      <c r="H565" t="str">
        <f>"ACCT# 02-2083-04 / 07292018"</f>
        <v>ACCT# 02-2083-04 / 07292018</v>
      </c>
    </row>
    <row r="566" spans="1:9" x14ac:dyDescent="0.25">
      <c r="E566" t="str">
        <f>"201808082832"</f>
        <v>201808082832</v>
      </c>
      <c r="F566" t="str">
        <f>"COUNTY DEVELOPMENT CENTER"</f>
        <v>COUNTY DEVELOPMENT CENTER</v>
      </c>
      <c r="G566" s="2">
        <v>2709.33</v>
      </c>
      <c r="H566" t="str">
        <f>"COUNTY DEVELOPMENT CENTER"</f>
        <v>COUNTY DEVELOPMENT CENTER</v>
      </c>
    </row>
    <row r="567" spans="1:9" x14ac:dyDescent="0.25">
      <c r="E567" t="str">
        <f>"201808082833"</f>
        <v>201808082833</v>
      </c>
      <c r="F567" t="str">
        <f>"LAW ENFORCEMENT CENTER"</f>
        <v>LAW ENFORCEMENT CENTER</v>
      </c>
      <c r="G567" s="2">
        <v>32196.09</v>
      </c>
      <c r="H567" t="str">
        <f>"LAW ENFORCEMENT CENTER"</f>
        <v>LAW ENFORCEMENT CENTER</v>
      </c>
    </row>
    <row r="568" spans="1:9" x14ac:dyDescent="0.25">
      <c r="E568" t="str">
        <f>"201808082834"</f>
        <v>201808082834</v>
      </c>
      <c r="F568" t="str">
        <f>"BASTROP COUNTY COURTHOUSE"</f>
        <v>BASTROP COUNTY COURTHOUSE</v>
      </c>
      <c r="G568" s="2">
        <v>16695.39</v>
      </c>
      <c r="H568" t="str">
        <f>"BASTROP COUNTY COURTHOUSE"</f>
        <v>BASTROP COUNTY COURTHOUSE</v>
      </c>
    </row>
    <row r="569" spans="1:9" x14ac:dyDescent="0.25">
      <c r="A569" t="s">
        <v>151</v>
      </c>
      <c r="B569">
        <v>77962</v>
      </c>
      <c r="C569" s="3">
        <v>100</v>
      </c>
      <c r="D569" s="1">
        <v>43325</v>
      </c>
      <c r="E569" t="s">
        <v>152</v>
      </c>
      <c r="F569" t="s">
        <v>153</v>
      </c>
      <c r="G569" s="2" t="str">
        <f>"RESTITUTION-A.M. LAWRENCE"</f>
        <v>RESTITUTION-A.M. LAWRENCE</v>
      </c>
      <c r="H569" t="str">
        <f>"210-0000"</f>
        <v>210-0000</v>
      </c>
      <c r="I569" t="str">
        <f>""</f>
        <v/>
      </c>
    </row>
    <row r="570" spans="1:9" x14ac:dyDescent="0.25">
      <c r="A570" t="s">
        <v>151</v>
      </c>
      <c r="B570">
        <v>78282</v>
      </c>
      <c r="C570" s="3">
        <v>500</v>
      </c>
      <c r="D570" s="1">
        <v>43339</v>
      </c>
      <c r="E570" t="str">
        <f>"201808162922"</f>
        <v>201808162922</v>
      </c>
      <c r="F570" t="str">
        <f>"RENTAL-PARKING LOT"</f>
        <v>RENTAL-PARKING LOT</v>
      </c>
      <c r="G570" s="2">
        <v>500</v>
      </c>
      <c r="H570" t="str">
        <f>"RENTAL-PARKING LOT"</f>
        <v>RENTAL-PARKING LOT</v>
      </c>
    </row>
    <row r="571" spans="1:9" x14ac:dyDescent="0.25">
      <c r="A571" t="s">
        <v>154</v>
      </c>
      <c r="B571">
        <v>77892</v>
      </c>
      <c r="C571" s="3">
        <v>1718.03</v>
      </c>
      <c r="D571" s="1">
        <v>43314</v>
      </c>
      <c r="E571" t="str">
        <f>"201808022474"</f>
        <v>201808022474</v>
      </c>
      <c r="F571" t="str">
        <f>"ACCT#007-0000388-000/07242018"</f>
        <v>ACCT#007-0000388-000/07242018</v>
      </c>
      <c r="G571" s="2">
        <v>711.28</v>
      </c>
      <c r="H571" t="str">
        <f>"ACCT#007-0000388-000/07242018"</f>
        <v>ACCT#007-0000388-000/07242018</v>
      </c>
    </row>
    <row r="572" spans="1:9" x14ac:dyDescent="0.25">
      <c r="E572" t="str">
        <f>"201808022475"</f>
        <v>201808022475</v>
      </c>
      <c r="F572" t="str">
        <f>"ACCT#007-0000389-000/07242018"</f>
        <v>ACCT#007-0000389-000/07242018</v>
      </c>
      <c r="G572" s="2">
        <v>48.51</v>
      </c>
      <c r="H572" t="str">
        <f>"ACCT#007-0000389-000/07242018"</f>
        <v>ACCT#007-0000389-000/07242018</v>
      </c>
    </row>
    <row r="573" spans="1:9" x14ac:dyDescent="0.25">
      <c r="E573" t="str">
        <f>"201808022476"</f>
        <v>201808022476</v>
      </c>
      <c r="F573" t="str">
        <f>"ACCT#044-0001240-000/07242018"</f>
        <v>ACCT#044-0001240-000/07242018</v>
      </c>
      <c r="G573" s="2">
        <v>444.5</v>
      </c>
      <c r="H573" t="str">
        <f>"ACCT#044-0001240-000/07242018"</f>
        <v>ACCT#044-0001240-000/07242018</v>
      </c>
    </row>
    <row r="574" spans="1:9" x14ac:dyDescent="0.25">
      <c r="E574" t="str">
        <f>"201808022477"</f>
        <v>201808022477</v>
      </c>
      <c r="F574" t="str">
        <f>"ACCT#044-0001250-000/07242018"</f>
        <v>ACCT#044-0001250-000/07242018</v>
      </c>
      <c r="G574" s="2">
        <v>31.59</v>
      </c>
      <c r="H574" t="str">
        <f>"ACCT#044-0001250-000/07242018"</f>
        <v>ACCT#044-0001250-000/07242018</v>
      </c>
    </row>
    <row r="575" spans="1:9" x14ac:dyDescent="0.25">
      <c r="E575" t="str">
        <f>"201808022478"</f>
        <v>201808022478</v>
      </c>
      <c r="F575" t="str">
        <f>"ACCT#044-0001252-000/07242018"</f>
        <v>ACCT#044-0001252-000/07242018</v>
      </c>
      <c r="G575" s="2">
        <v>463.26</v>
      </c>
      <c r="H575" t="str">
        <f>"ACCT#044-0001252-000/07242018"</f>
        <v>ACCT#044-0001252-000/07242018</v>
      </c>
    </row>
    <row r="576" spans="1:9" x14ac:dyDescent="0.25">
      <c r="E576" t="str">
        <f>"201808022479"</f>
        <v>201808022479</v>
      </c>
      <c r="F576" t="str">
        <f>"ACCT#044-0001253-000/07242018"</f>
        <v>ACCT#044-0001253-000/07242018</v>
      </c>
      <c r="G576" s="2">
        <v>18.89</v>
      </c>
      <c r="H576" t="str">
        <f>"ACCT#044-0001253-000/07242018"</f>
        <v>ACCT#044-0001253-000/07242018</v>
      </c>
    </row>
    <row r="577" spans="1:9" x14ac:dyDescent="0.25">
      <c r="A577" t="s">
        <v>155</v>
      </c>
      <c r="B577">
        <v>999999</v>
      </c>
      <c r="C577" s="3">
        <v>294.08</v>
      </c>
      <c r="D577" s="1">
        <v>43326</v>
      </c>
      <c r="E577" t="str">
        <f>"201808082864"</f>
        <v>201808082864</v>
      </c>
      <c r="F577" t="str">
        <f>"INDIGENT HEALTH"</f>
        <v>INDIGENT HEALTH</v>
      </c>
      <c r="G577" s="2">
        <v>294.08</v>
      </c>
      <c r="H577" t="str">
        <f>"INDIGENT HEALTH"</f>
        <v>INDIGENT HEALTH</v>
      </c>
    </row>
    <row r="578" spans="1:9" x14ac:dyDescent="0.25">
      <c r="E578" t="str">
        <f>""</f>
        <v/>
      </c>
      <c r="F578" t="str">
        <f>""</f>
        <v/>
      </c>
      <c r="H578" t="str">
        <f>"INDIGENT HEALTH"</f>
        <v>INDIGENT HEALTH</v>
      </c>
    </row>
    <row r="579" spans="1:9" x14ac:dyDescent="0.25">
      <c r="A579" t="s">
        <v>156</v>
      </c>
      <c r="B579">
        <v>77963</v>
      </c>
      <c r="C579" s="3">
        <v>356</v>
      </c>
      <c r="D579" s="1">
        <v>43325</v>
      </c>
      <c r="E579" t="str">
        <f>"71174567  10/01/18"</f>
        <v>71174567  10/01/18</v>
      </c>
      <c r="F579" t="str">
        <f>"BOND#71174567/TREASURER"</f>
        <v>BOND#71174567/TREASURER</v>
      </c>
      <c r="G579" s="2">
        <v>356</v>
      </c>
      <c r="H579" t="str">
        <f>"BOND#71174567"</f>
        <v>BOND#71174567</v>
      </c>
    </row>
    <row r="580" spans="1:9" x14ac:dyDescent="0.25">
      <c r="A580" t="s">
        <v>157</v>
      </c>
      <c r="B580">
        <v>78283</v>
      </c>
      <c r="C580" s="3">
        <v>150</v>
      </c>
      <c r="D580" s="1">
        <v>43339</v>
      </c>
      <c r="E580" t="str">
        <f>"12470"</f>
        <v>12470</v>
      </c>
      <c r="F580" t="str">
        <f>"SERVICE  06/27/18"</f>
        <v>SERVICE  06/27/18</v>
      </c>
      <c r="G580" s="2">
        <v>150</v>
      </c>
      <c r="H580" t="str">
        <f>"SERVICE  06/27/18"</f>
        <v>SERVICE  06/27/18</v>
      </c>
    </row>
    <row r="581" spans="1:9" x14ac:dyDescent="0.25">
      <c r="A581" t="s">
        <v>158</v>
      </c>
      <c r="B581">
        <v>77964</v>
      </c>
      <c r="C581" s="3">
        <v>75</v>
      </c>
      <c r="D581" s="1">
        <v>43325</v>
      </c>
      <c r="E581" t="str">
        <f>"12838"</f>
        <v>12838</v>
      </c>
      <c r="F581" t="str">
        <f>"SERVICE  06/28/18"</f>
        <v>SERVICE  06/28/18</v>
      </c>
      <c r="G581" s="2">
        <v>75</v>
      </c>
      <c r="H581" t="str">
        <f>"SERVICE  06/28/18"</f>
        <v>SERVICE  06/28/18</v>
      </c>
    </row>
    <row r="582" spans="1:9" x14ac:dyDescent="0.25">
      <c r="A582" t="s">
        <v>159</v>
      </c>
      <c r="B582">
        <v>77965</v>
      </c>
      <c r="C582" s="3">
        <v>366.12</v>
      </c>
      <c r="D582" s="1">
        <v>43325</v>
      </c>
      <c r="E582" t="str">
        <f>"201808082813"</f>
        <v>201808082813</v>
      </c>
      <c r="F582" t="str">
        <f>"LODGING"</f>
        <v>LODGING</v>
      </c>
      <c r="G582" s="2">
        <v>366.12</v>
      </c>
      <c r="H582" t="str">
        <f>"LODGING R. CARVIN"</f>
        <v>LODGING R. CARVIN</v>
      </c>
    </row>
    <row r="583" spans="1:9" x14ac:dyDescent="0.25">
      <c r="E583" t="str">
        <f>""</f>
        <v/>
      </c>
      <c r="F583" t="str">
        <f>""</f>
        <v/>
      </c>
      <c r="H583" t="str">
        <f>"LODGING J. MILLER"</f>
        <v>LODGING J. MILLER</v>
      </c>
    </row>
    <row r="584" spans="1:9" x14ac:dyDescent="0.25">
      <c r="A584" t="s">
        <v>160</v>
      </c>
      <c r="B584">
        <v>77966</v>
      </c>
      <c r="C584" s="3">
        <v>250</v>
      </c>
      <c r="D584" s="1">
        <v>43325</v>
      </c>
      <c r="E584" t="str">
        <f>"180712BCD"</f>
        <v>180712BCD</v>
      </c>
      <c r="F584" t="str">
        <f>"INTERPRETING SVCS"</f>
        <v>INTERPRETING SVCS</v>
      </c>
      <c r="G584" s="2">
        <v>250</v>
      </c>
      <c r="H584" t="str">
        <f>"INTERPRETING SVCS"</f>
        <v>INTERPRETING SVCS</v>
      </c>
    </row>
    <row r="585" spans="1:9" x14ac:dyDescent="0.25">
      <c r="A585" t="s">
        <v>161</v>
      </c>
      <c r="B585">
        <v>999999</v>
      </c>
      <c r="C585" s="3">
        <v>2316.5100000000002</v>
      </c>
      <c r="D585" s="1">
        <v>43326</v>
      </c>
      <c r="E585" t="str">
        <f>"201808082865"</f>
        <v>201808082865</v>
      </c>
      <c r="F585" t="str">
        <f>"INDIGENT HEALTH"</f>
        <v>INDIGENT HEALTH</v>
      </c>
      <c r="G585" s="2">
        <v>2316.5100000000002</v>
      </c>
      <c r="H585" t="str">
        <f>"INDIGENT HEALTH"</f>
        <v>INDIGENT HEALTH</v>
      </c>
    </row>
    <row r="586" spans="1:9" x14ac:dyDescent="0.25">
      <c r="E586" t="str">
        <f>""</f>
        <v/>
      </c>
      <c r="F586" t="str">
        <f>""</f>
        <v/>
      </c>
      <c r="H586" t="str">
        <f>"INDIGENT HEALTH"</f>
        <v>INDIGENT HEALTH</v>
      </c>
    </row>
    <row r="587" spans="1:9" x14ac:dyDescent="0.25">
      <c r="A587" t="s">
        <v>162</v>
      </c>
      <c r="B587">
        <v>77967</v>
      </c>
      <c r="C587" s="3">
        <v>12.5</v>
      </c>
      <c r="D587" s="1">
        <v>43325</v>
      </c>
      <c r="E587" t="s">
        <v>97</v>
      </c>
      <c r="F587" t="s">
        <v>163</v>
      </c>
      <c r="G587" s="2" t="str">
        <f>"RESTITUTION-K. PURCELL"</f>
        <v>RESTITUTION-K. PURCELL</v>
      </c>
      <c r="H587" t="str">
        <f>"210-0000"</f>
        <v>210-0000</v>
      </c>
      <c r="I587" t="str">
        <f>""</f>
        <v/>
      </c>
    </row>
    <row r="588" spans="1:9" x14ac:dyDescent="0.25">
      <c r="A588" t="s">
        <v>164</v>
      </c>
      <c r="B588">
        <v>77968</v>
      </c>
      <c r="C588" s="3">
        <v>1787.46</v>
      </c>
      <c r="D588" s="1">
        <v>43325</v>
      </c>
      <c r="E588" t="str">
        <f>"17053932"</f>
        <v>17053932</v>
      </c>
      <c r="F588" t="str">
        <f>"ACCT#434304/PCT#4"</f>
        <v>ACCT#434304/PCT#4</v>
      </c>
      <c r="G588" s="2">
        <v>1787.46</v>
      </c>
      <c r="H588" t="str">
        <f>"ACCT#434304/PCT#4"</f>
        <v>ACCT#434304/PCT#4</v>
      </c>
    </row>
    <row r="589" spans="1:9" x14ac:dyDescent="0.25">
      <c r="A589" t="s">
        <v>164</v>
      </c>
      <c r="B589">
        <v>78284</v>
      </c>
      <c r="C589" s="3">
        <v>11208.68</v>
      </c>
      <c r="D589" s="1">
        <v>43339</v>
      </c>
      <c r="E589" t="str">
        <f>"17096550"</f>
        <v>17096550</v>
      </c>
      <c r="F589" t="str">
        <f>"ACCT#434304/PCT#4"</f>
        <v>ACCT#434304/PCT#4</v>
      </c>
      <c r="G589" s="2">
        <v>1992.92</v>
      </c>
      <c r="H589" t="str">
        <f>"ACCT#434304/PCT#4"</f>
        <v>ACCT#434304/PCT#4</v>
      </c>
    </row>
    <row r="590" spans="1:9" x14ac:dyDescent="0.25">
      <c r="E590" t="str">
        <f>"17102063"</f>
        <v>17102063</v>
      </c>
      <c r="F590" t="str">
        <f>"ACCT#434304/PCT#3"</f>
        <v>ACCT#434304/PCT#3</v>
      </c>
      <c r="G590" s="2">
        <v>9215.76</v>
      </c>
      <c r="H590" t="str">
        <f>"ACCT#434304/PCT#3"</f>
        <v>ACCT#434304/PCT#3</v>
      </c>
    </row>
    <row r="591" spans="1:9" x14ac:dyDescent="0.25">
      <c r="A591" t="s">
        <v>165</v>
      </c>
      <c r="B591">
        <v>77894</v>
      </c>
      <c r="C591" s="3">
        <v>6753</v>
      </c>
      <c r="D591" s="1">
        <v>43320</v>
      </c>
      <c r="E591" t="str">
        <f>"394553"</f>
        <v>394553</v>
      </c>
      <c r="F591" t="str">
        <f>"PRECINCT #1 WORK"</f>
        <v>PRECINCT #1 WORK</v>
      </c>
      <c r="G591" s="2">
        <v>4895</v>
      </c>
      <c r="H591" t="str">
        <f>"PRECINCT #1 WORK"</f>
        <v>PRECINCT #1 WORK</v>
      </c>
    </row>
    <row r="592" spans="1:9" x14ac:dyDescent="0.25">
      <c r="E592" t="str">
        <f>"394554"</f>
        <v>394554</v>
      </c>
      <c r="F592" t="str">
        <f>"PRECINCT #1 WORK"</f>
        <v>PRECINCT #1 WORK</v>
      </c>
      <c r="G592" s="2">
        <v>1858</v>
      </c>
      <c r="H592" t="str">
        <f>"PRECINCT #1 WORK"</f>
        <v>PRECINCT #1 WORK</v>
      </c>
    </row>
    <row r="593" spans="1:8" x14ac:dyDescent="0.25">
      <c r="A593" t="s">
        <v>166</v>
      </c>
      <c r="B593">
        <v>999999</v>
      </c>
      <c r="C593" s="3">
        <v>3824.84</v>
      </c>
      <c r="D593" s="1">
        <v>43326</v>
      </c>
      <c r="E593" t="str">
        <f>"47393"</f>
        <v>47393</v>
      </c>
      <c r="F593" t="str">
        <f>"ACCT#353/PCT#2"</f>
        <v>ACCT#353/PCT#2</v>
      </c>
      <c r="G593" s="2">
        <v>199.75</v>
      </c>
      <c r="H593" t="str">
        <f>"ACCT#353/PCT#2"</f>
        <v>ACCT#353/PCT#2</v>
      </c>
    </row>
    <row r="594" spans="1:8" x14ac:dyDescent="0.25">
      <c r="E594" t="str">
        <f>"IN47294"</f>
        <v>IN47294</v>
      </c>
      <c r="F594" t="str">
        <f>"ACCT#353/FREIGHT/RADAR/PCT#2"</f>
        <v>ACCT#353/FREIGHT/RADAR/PCT#2</v>
      </c>
      <c r="G594" s="2">
        <v>1143.71</v>
      </c>
      <c r="H594" t="str">
        <f>"ACCT#353/FREIGHT/RADAR/PCT#2"</f>
        <v>ACCT#353/FREIGHT/RADAR/PCT#2</v>
      </c>
    </row>
    <row r="595" spans="1:8" x14ac:dyDescent="0.25">
      <c r="E595" t="str">
        <f>"WS18402 &amp;  WS18440"</f>
        <v>WS18402 &amp;  WS18440</v>
      </c>
      <c r="F595" t="str">
        <f>"CUST#353/PCT#2"</f>
        <v>CUST#353/PCT#2</v>
      </c>
      <c r="G595" s="2">
        <v>2481.38</v>
      </c>
      <c r="H595" t="str">
        <f>"CUST#353/PCT#2"</f>
        <v>CUST#353/PCT#2</v>
      </c>
    </row>
    <row r="596" spans="1:8" x14ac:dyDescent="0.25">
      <c r="A596" t="s">
        <v>166</v>
      </c>
      <c r="B596">
        <v>999999</v>
      </c>
      <c r="C596" s="3">
        <v>1074.48</v>
      </c>
      <c r="D596" s="1">
        <v>43340</v>
      </c>
      <c r="E596" t="str">
        <f>"IN47363"</f>
        <v>IN47363</v>
      </c>
      <c r="F596" t="str">
        <f>"ACCT#353/PCT#1"</f>
        <v>ACCT#353/PCT#1</v>
      </c>
      <c r="G596" s="2">
        <v>1074.48</v>
      </c>
      <c r="H596" t="str">
        <f>"ACCT#353/PCT#1"</f>
        <v>ACCT#353/PCT#1</v>
      </c>
    </row>
    <row r="597" spans="1:8" x14ac:dyDescent="0.25">
      <c r="A597" t="s">
        <v>167</v>
      </c>
      <c r="B597">
        <v>78285</v>
      </c>
      <c r="C597" s="3">
        <v>250</v>
      </c>
      <c r="D597" s="1">
        <v>43339</v>
      </c>
      <c r="E597" t="str">
        <f>"201808223016"</f>
        <v>201808223016</v>
      </c>
      <c r="F597" t="str">
        <f>"TRAINING"</f>
        <v>TRAINING</v>
      </c>
      <c r="G597" s="2">
        <v>250</v>
      </c>
      <c r="H597" t="str">
        <f>"TRAINING"</f>
        <v>TRAINING</v>
      </c>
    </row>
    <row r="598" spans="1:8" x14ac:dyDescent="0.25">
      <c r="A598" t="s">
        <v>168</v>
      </c>
      <c r="B598">
        <v>77969</v>
      </c>
      <c r="C598" s="3">
        <v>812.2</v>
      </c>
      <c r="D598" s="1">
        <v>43325</v>
      </c>
      <c r="E598" t="str">
        <f>"T300-131881"</f>
        <v>T300-131881</v>
      </c>
      <c r="F598" t="str">
        <f>"CUST#BAST676/PCT#4"</f>
        <v>CUST#BAST676/PCT#4</v>
      </c>
      <c r="G598" s="2">
        <v>354.88</v>
      </c>
      <c r="H598" t="str">
        <f>"CUST#BAST676/PCT#4"</f>
        <v>CUST#BAST676/PCT#4</v>
      </c>
    </row>
    <row r="599" spans="1:8" x14ac:dyDescent="0.25">
      <c r="E599" t="str">
        <f>"T300-132028"</f>
        <v>T300-132028</v>
      </c>
      <c r="F599" t="str">
        <f>"CUST#BAST676/PCT#4"</f>
        <v>CUST#BAST676/PCT#4</v>
      </c>
      <c r="G599" s="2">
        <v>457.32</v>
      </c>
      <c r="H599" t="str">
        <f>"CUST#BAST676/PCT#4"</f>
        <v>CUST#BAST676/PCT#4</v>
      </c>
    </row>
    <row r="600" spans="1:8" x14ac:dyDescent="0.25">
      <c r="A600" t="s">
        <v>169</v>
      </c>
      <c r="B600">
        <v>999999</v>
      </c>
      <c r="C600" s="3">
        <v>70</v>
      </c>
      <c r="D600" s="1">
        <v>43326</v>
      </c>
      <c r="E600" t="str">
        <f>"3050637"</f>
        <v>3050637</v>
      </c>
      <c r="F600" t="str">
        <f>"CELL PHONE REPAIR"</f>
        <v>CELL PHONE REPAIR</v>
      </c>
      <c r="G600" s="2">
        <v>70</v>
      </c>
      <c r="H600" t="str">
        <f>"LABOR"</f>
        <v>LABOR</v>
      </c>
    </row>
    <row r="601" spans="1:8" x14ac:dyDescent="0.25">
      <c r="A601" t="s">
        <v>170</v>
      </c>
      <c r="B601">
        <v>77970</v>
      </c>
      <c r="C601" s="3">
        <v>1000</v>
      </c>
      <c r="D601" s="1">
        <v>43325</v>
      </c>
      <c r="E601" t="str">
        <f>"201808082819"</f>
        <v>201808082819</v>
      </c>
      <c r="F601" t="str">
        <f>"JULY INVOICE"</f>
        <v>JULY INVOICE</v>
      </c>
      <c r="G601" s="2">
        <v>750</v>
      </c>
      <c r="H601" t="str">
        <f>"JULY INVOICE"</f>
        <v>JULY INVOICE</v>
      </c>
    </row>
    <row r="602" spans="1:8" x14ac:dyDescent="0.25">
      <c r="E602" t="str">
        <f>"JULY 2018"</f>
        <v>JULY 2018</v>
      </c>
      <c r="F602" t="str">
        <f>"PSYCHOLOGICAL EVALUATION"</f>
        <v>PSYCHOLOGICAL EVALUATION</v>
      </c>
      <c r="G602" s="2">
        <v>250</v>
      </c>
      <c r="H602" t="str">
        <f>"PSYCHOLOGICAL EVALUATION"</f>
        <v>PSYCHOLOGICAL EVALUATION</v>
      </c>
    </row>
    <row r="603" spans="1:8" x14ac:dyDescent="0.25">
      <c r="A603" t="s">
        <v>171</v>
      </c>
      <c r="B603">
        <v>77971</v>
      </c>
      <c r="C603" s="3">
        <v>150</v>
      </c>
      <c r="D603" s="1">
        <v>43325</v>
      </c>
      <c r="E603" t="str">
        <f>"201808072716"</f>
        <v>201808072716</v>
      </c>
      <c r="F603" t="str">
        <f>"CLEANING SVCS 07/13 &amp; 07/20/P2"</f>
        <v>CLEANING SVCS 07/13 &amp; 07/20/P2</v>
      </c>
      <c r="G603" s="2">
        <v>150</v>
      </c>
      <c r="H603" t="str">
        <f>"CLEANING SVCS 07/13 &amp; 07/20/P2"</f>
        <v>CLEANING SVCS 07/13 &amp; 07/20/P2</v>
      </c>
    </row>
    <row r="604" spans="1:8" x14ac:dyDescent="0.25">
      <c r="A604" t="s">
        <v>172</v>
      </c>
      <c r="B604">
        <v>78286</v>
      </c>
      <c r="C604" s="3">
        <v>700</v>
      </c>
      <c r="D604" s="1">
        <v>43339</v>
      </c>
      <c r="E604" t="str">
        <f>"201808223013"</f>
        <v>201808223013</v>
      </c>
      <c r="F604" t="str">
        <f>"TRAINING - SWAT SCHOOL"</f>
        <v>TRAINING - SWAT SCHOOL</v>
      </c>
      <c r="G604" s="2">
        <v>700</v>
      </c>
      <c r="H604" t="str">
        <f>"TRAINING - SWAT SCHOOL"</f>
        <v>TRAINING - SWAT SCHOOL</v>
      </c>
    </row>
    <row r="605" spans="1:8" x14ac:dyDescent="0.25">
      <c r="A605" t="s">
        <v>173</v>
      </c>
      <c r="B605">
        <v>77972</v>
      </c>
      <c r="C605" s="3">
        <v>1547.36</v>
      </c>
      <c r="D605" s="1">
        <v>43325</v>
      </c>
      <c r="E605" t="str">
        <f>"7986 1819 7200 008"</f>
        <v>7986 1819 7200 008</v>
      </c>
      <c r="F605" t="str">
        <f>"CONTRACT#042-1434-2"</f>
        <v>CONTRACT#042-1434-2</v>
      </c>
      <c r="G605" s="2">
        <v>1547.36</v>
      </c>
      <c r="H605" t="str">
        <f>"CONTRACT#042-1434-2"</f>
        <v>CONTRACT#042-1434-2</v>
      </c>
    </row>
    <row r="606" spans="1:8" x14ac:dyDescent="0.25">
      <c r="A606" t="s">
        <v>174</v>
      </c>
      <c r="B606">
        <v>77973</v>
      </c>
      <c r="C606" s="3">
        <v>3540</v>
      </c>
      <c r="D606" s="1">
        <v>43325</v>
      </c>
      <c r="E606" t="str">
        <f>"201808072695"</f>
        <v>201808072695</v>
      </c>
      <c r="F606" t="str">
        <f>"11-14658"</f>
        <v>11-14658</v>
      </c>
      <c r="G606" s="2">
        <v>3540</v>
      </c>
      <c r="H606" t="str">
        <f>"11-14658"</f>
        <v>11-14658</v>
      </c>
    </row>
    <row r="607" spans="1:8" x14ac:dyDescent="0.25">
      <c r="A607" t="s">
        <v>175</v>
      </c>
      <c r="B607">
        <v>78287</v>
      </c>
      <c r="C607" s="3">
        <v>281.22000000000003</v>
      </c>
      <c r="D607" s="1">
        <v>43339</v>
      </c>
      <c r="E607" t="str">
        <f>"IN1719558"</f>
        <v>IN1719558</v>
      </c>
      <c r="F607" t="str">
        <f>"ACCT#BC113:40R756/CONT#CN11583"</f>
        <v>ACCT#BC113:40R756/CONT#CN11583</v>
      </c>
      <c r="G607" s="2">
        <v>281.22000000000003</v>
      </c>
      <c r="H607" t="str">
        <f>"ACCT#BC113:40R756/CONT#CN11583"</f>
        <v>ACCT#BC113:40R756/CONT#CN11583</v>
      </c>
    </row>
    <row r="608" spans="1:8" x14ac:dyDescent="0.25">
      <c r="A608" t="s">
        <v>176</v>
      </c>
      <c r="B608">
        <v>77974</v>
      </c>
      <c r="C608" s="3">
        <v>235</v>
      </c>
      <c r="D608" s="1">
        <v>43325</v>
      </c>
      <c r="E608" t="str">
        <f>"11633"</f>
        <v>11633</v>
      </c>
      <c r="F608" t="str">
        <f>"SERVICE  06/29/18"</f>
        <v>SERVICE  06/29/18</v>
      </c>
      <c r="G608" s="2">
        <v>75</v>
      </c>
      <c r="H608" t="str">
        <f>"SERVICE  06/29/18"</f>
        <v>SERVICE  06/29/18</v>
      </c>
    </row>
    <row r="609" spans="1:8" x14ac:dyDescent="0.25">
      <c r="E609" t="str">
        <f>"12797"</f>
        <v>12797</v>
      </c>
      <c r="F609" t="str">
        <f>"SERVICE  06/04/18"</f>
        <v>SERVICE  06/04/18</v>
      </c>
      <c r="G609" s="2">
        <v>80</v>
      </c>
      <c r="H609" t="str">
        <f>"SERVICE  06/04/18"</f>
        <v>SERVICE  06/04/18</v>
      </c>
    </row>
    <row r="610" spans="1:8" x14ac:dyDescent="0.25">
      <c r="E610" t="str">
        <f>"12999"</f>
        <v>12999</v>
      </c>
      <c r="F610" t="str">
        <f>"SERVICE"</f>
        <v>SERVICE</v>
      </c>
      <c r="G610" s="2">
        <v>80</v>
      </c>
      <c r="H610" t="str">
        <f>"SERVICE"</f>
        <v>SERVICE</v>
      </c>
    </row>
    <row r="611" spans="1:8" x14ac:dyDescent="0.25">
      <c r="A611" t="s">
        <v>177</v>
      </c>
      <c r="B611">
        <v>77975</v>
      </c>
      <c r="C611" s="3">
        <v>100</v>
      </c>
      <c r="D611" s="1">
        <v>43325</v>
      </c>
      <c r="E611" t="str">
        <f>"201808072696"</f>
        <v>201808072696</v>
      </c>
      <c r="F611" t="str">
        <f>"LEGAL CONSULTATION SVCS-JULY"</f>
        <v>LEGAL CONSULTATION SVCS-JULY</v>
      </c>
      <c r="G611" s="2">
        <v>100</v>
      </c>
      <c r="H611" t="str">
        <f>"LEGAL CONSULTATION SVCS-JULY"</f>
        <v>LEGAL CONSULTATION SVCS-JULY</v>
      </c>
    </row>
    <row r="612" spans="1:8" x14ac:dyDescent="0.25">
      <c r="A612" t="s">
        <v>178</v>
      </c>
      <c r="B612">
        <v>999999</v>
      </c>
      <c r="C612" s="3">
        <v>1107.5</v>
      </c>
      <c r="D612" s="1">
        <v>43326</v>
      </c>
      <c r="E612" t="str">
        <f>"201807242380"</f>
        <v>201807242380</v>
      </c>
      <c r="F612" t="str">
        <f>"423-4498"</f>
        <v>423-4498</v>
      </c>
      <c r="G612" s="2">
        <v>152.5</v>
      </c>
      <c r="H612" t="str">
        <f>"423-4498"</f>
        <v>423-4498</v>
      </c>
    </row>
    <row r="613" spans="1:8" x14ac:dyDescent="0.25">
      <c r="E613" t="str">
        <f>"201808062676"</f>
        <v>201808062676</v>
      </c>
      <c r="F613" t="str">
        <f>"17-18636"</f>
        <v>17-18636</v>
      </c>
      <c r="G613" s="2">
        <v>100</v>
      </c>
      <c r="H613" t="str">
        <f>"17-18636"</f>
        <v>17-18636</v>
      </c>
    </row>
    <row r="614" spans="1:8" x14ac:dyDescent="0.25">
      <c r="E614" t="str">
        <f>"201808062677"</f>
        <v>201808062677</v>
      </c>
      <c r="F614" t="str">
        <f>"18-18877"</f>
        <v>18-18877</v>
      </c>
      <c r="G614" s="2">
        <v>295</v>
      </c>
      <c r="H614" t="str">
        <f>"18-18877"</f>
        <v>18-18877</v>
      </c>
    </row>
    <row r="615" spans="1:8" x14ac:dyDescent="0.25">
      <c r="E615" t="str">
        <f>"201808062678"</f>
        <v>201808062678</v>
      </c>
      <c r="F615" t="str">
        <f>"18-19144"</f>
        <v>18-19144</v>
      </c>
      <c r="G615" s="2">
        <v>175</v>
      </c>
      <c r="H615" t="str">
        <f>"18-19144"</f>
        <v>18-19144</v>
      </c>
    </row>
    <row r="616" spans="1:8" x14ac:dyDescent="0.25">
      <c r="E616" t="str">
        <f>"201808062679"</f>
        <v>201808062679</v>
      </c>
      <c r="F616" t="str">
        <f>"16-17819"</f>
        <v>16-17819</v>
      </c>
      <c r="G616" s="2">
        <v>225</v>
      </c>
      <c r="H616" t="str">
        <f>"16-17819"</f>
        <v>16-17819</v>
      </c>
    </row>
    <row r="617" spans="1:8" x14ac:dyDescent="0.25">
      <c r="E617" t="str">
        <f>"201808062680"</f>
        <v>201808062680</v>
      </c>
      <c r="F617" t="str">
        <f>"18-19054"</f>
        <v>18-19054</v>
      </c>
      <c r="G617" s="2">
        <v>160</v>
      </c>
      <c r="H617" t="str">
        <f>"18-19054"</f>
        <v>18-19054</v>
      </c>
    </row>
    <row r="618" spans="1:8" x14ac:dyDescent="0.25">
      <c r="A618" t="s">
        <v>179</v>
      </c>
      <c r="B618">
        <v>77976</v>
      </c>
      <c r="C618" s="3">
        <v>2869.41</v>
      </c>
      <c r="D618" s="1">
        <v>43325</v>
      </c>
      <c r="E618" t="str">
        <f>"10254969403"</f>
        <v>10254969403</v>
      </c>
      <c r="F618" t="str">
        <f>"Dell 2.0 Speaker System"</f>
        <v>Dell 2.0 Speaker System</v>
      </c>
      <c r="G618" s="2">
        <v>38.47</v>
      </c>
      <c r="H618" t="str">
        <f>"Dell 2.0 Speaker System"</f>
        <v>Dell 2.0 Speaker System</v>
      </c>
    </row>
    <row r="619" spans="1:8" x14ac:dyDescent="0.25">
      <c r="E619" t="str">
        <f>"10256959755"</f>
        <v>10256959755</v>
      </c>
      <c r="F619" t="str">
        <f>"Monitors &amp; Soundbar"</f>
        <v>Monitors &amp; Soundbar</v>
      </c>
      <c r="G619" s="2">
        <v>2702.7</v>
      </c>
      <c r="H619" t="str">
        <f>"Dell 23 Monitor"</f>
        <v>Dell 23 Monitor</v>
      </c>
    </row>
    <row r="620" spans="1:8" x14ac:dyDescent="0.25">
      <c r="E620" t="str">
        <f>""</f>
        <v/>
      </c>
      <c r="F620" t="str">
        <f>""</f>
        <v/>
      </c>
      <c r="H620" t="str">
        <f>"Dell USB SoundBar"</f>
        <v>Dell USB SoundBar</v>
      </c>
    </row>
    <row r="621" spans="1:8" x14ac:dyDescent="0.25">
      <c r="E621" t="str">
        <f>"10258272204"</f>
        <v>10258272204</v>
      </c>
      <c r="F621" t="str">
        <f>"Battery Replacement"</f>
        <v>Battery Replacement</v>
      </c>
      <c r="G621" s="2">
        <v>128.24</v>
      </c>
      <c r="H621" t="str">
        <f>"Battery Replacement"</f>
        <v>Battery Replacement</v>
      </c>
    </row>
    <row r="622" spans="1:8" x14ac:dyDescent="0.25">
      <c r="A622" t="s">
        <v>179</v>
      </c>
      <c r="B622">
        <v>78288</v>
      </c>
      <c r="C622" s="3">
        <v>3446.76</v>
      </c>
      <c r="D622" s="1">
        <v>43339</v>
      </c>
      <c r="E622" t="str">
        <f>"10259844283"</f>
        <v>10259844283</v>
      </c>
      <c r="F622" t="str">
        <f>"Replacement computer"</f>
        <v>Replacement computer</v>
      </c>
      <c r="G622" s="2">
        <v>1726.3</v>
      </c>
      <c r="H622" t="str">
        <f>"Laptop"</f>
        <v>Laptop</v>
      </c>
    </row>
    <row r="623" spans="1:8" x14ac:dyDescent="0.25">
      <c r="E623" t="str">
        <f>"10260842479"</f>
        <v>10260842479</v>
      </c>
      <c r="F623" t="str">
        <f>"Computer for Ellen Owens"</f>
        <v>Computer for Ellen Owens</v>
      </c>
      <c r="G623" s="2">
        <v>1720.46</v>
      </c>
      <c r="H623" t="str">
        <f>"Split"</f>
        <v>Split</v>
      </c>
    </row>
    <row r="624" spans="1:8" x14ac:dyDescent="0.25">
      <c r="E624" t="str">
        <f>""</f>
        <v/>
      </c>
      <c r="F624" t="str">
        <f>""</f>
        <v/>
      </c>
      <c r="H624" t="str">
        <f>"Dell Computer Split"</f>
        <v>Dell Computer Split</v>
      </c>
    </row>
    <row r="625" spans="1:8" x14ac:dyDescent="0.25">
      <c r="A625" t="s">
        <v>180</v>
      </c>
      <c r="B625">
        <v>78289</v>
      </c>
      <c r="C625" s="3">
        <v>75</v>
      </c>
      <c r="D625" s="1">
        <v>43339</v>
      </c>
      <c r="E625" t="str">
        <f>"12406"</f>
        <v>12406</v>
      </c>
      <c r="F625" t="str">
        <f>"SERVICE  06/27/18"</f>
        <v>SERVICE  06/27/18</v>
      </c>
      <c r="G625" s="2">
        <v>75</v>
      </c>
      <c r="H625" t="str">
        <f>"SERVICE  06/27/18"</f>
        <v>SERVICE  06/27/18</v>
      </c>
    </row>
    <row r="626" spans="1:8" x14ac:dyDescent="0.25">
      <c r="A626" t="s">
        <v>181</v>
      </c>
      <c r="B626">
        <v>999999</v>
      </c>
      <c r="C626" s="3">
        <v>2900</v>
      </c>
      <c r="D626" s="1">
        <v>43326</v>
      </c>
      <c r="E626" t="str">
        <f>"BATX015483"</f>
        <v>BATX015483</v>
      </c>
      <c r="F626" t="str">
        <f>"INV BATX015483"</f>
        <v>INV BATX015483</v>
      </c>
      <c r="G626" s="2">
        <v>2900</v>
      </c>
      <c r="H626" t="str">
        <f>"INV BATX015483"</f>
        <v>INV BATX015483</v>
      </c>
    </row>
    <row r="627" spans="1:8" x14ac:dyDescent="0.25">
      <c r="A627" t="s">
        <v>181</v>
      </c>
      <c r="B627">
        <v>999999</v>
      </c>
      <c r="C627" s="3">
        <v>2080</v>
      </c>
      <c r="D627" s="1">
        <v>43340</v>
      </c>
      <c r="E627" t="str">
        <f>"BATX015548"</f>
        <v>BATX015548</v>
      </c>
      <c r="F627" t="str">
        <f>"INV BATX015548"</f>
        <v>INV BATX015548</v>
      </c>
      <c r="G627" s="2">
        <v>2080</v>
      </c>
      <c r="H627" t="str">
        <f>"INV BATX015548"</f>
        <v>INV BATX015548</v>
      </c>
    </row>
    <row r="628" spans="1:8" x14ac:dyDescent="0.25">
      <c r="A628" t="s">
        <v>182</v>
      </c>
      <c r="B628">
        <v>77977</v>
      </c>
      <c r="C628" s="3">
        <v>109</v>
      </c>
      <c r="D628" s="1">
        <v>43325</v>
      </c>
      <c r="E628" t="str">
        <f>"24648"</f>
        <v>24648</v>
      </c>
      <c r="F628" t="str">
        <f>"KEY SVCS/GEN SVCS"</f>
        <v>KEY SVCS/GEN SVCS</v>
      </c>
      <c r="G628" s="2">
        <v>65</v>
      </c>
      <c r="H628" t="str">
        <f>"KEY SVCS/GEN SVCS"</f>
        <v>KEY SVCS/GEN SVCS</v>
      </c>
    </row>
    <row r="629" spans="1:8" x14ac:dyDescent="0.25">
      <c r="E629" t="str">
        <f>"24653"</f>
        <v>24653</v>
      </c>
      <c r="F629" t="str">
        <f>"INV 24653"</f>
        <v>INV 24653</v>
      </c>
      <c r="G629" s="2">
        <v>44</v>
      </c>
      <c r="H629" t="str">
        <f>"INV 24653"</f>
        <v>INV 24653</v>
      </c>
    </row>
    <row r="630" spans="1:8" x14ac:dyDescent="0.25">
      <c r="A630" t="s">
        <v>182</v>
      </c>
      <c r="B630">
        <v>78290</v>
      </c>
      <c r="C630" s="3">
        <v>122.6</v>
      </c>
      <c r="D630" s="1">
        <v>43339</v>
      </c>
      <c r="E630" t="str">
        <f>"24691"</f>
        <v>24691</v>
      </c>
      <c r="F630" t="str">
        <f>"KEYS/BOLT SNAP/KEY RING/GEN SV"</f>
        <v>KEYS/BOLT SNAP/KEY RING/GEN SV</v>
      </c>
      <c r="G630" s="2">
        <v>53.6</v>
      </c>
      <c r="H630" t="str">
        <f>"KEYS/BOLT SNAP/KEY RING/GEN SV"</f>
        <v>KEYS/BOLT SNAP/KEY RING/GEN SV</v>
      </c>
    </row>
    <row r="631" spans="1:8" x14ac:dyDescent="0.25">
      <c r="E631" t="str">
        <f>"24701"</f>
        <v>24701</v>
      </c>
      <c r="F631" t="str">
        <f>"INV 24701"</f>
        <v>INV 24701</v>
      </c>
      <c r="G631" s="2">
        <v>21</v>
      </c>
      <c r="H631" t="str">
        <f>"INV 24701"</f>
        <v>INV 24701</v>
      </c>
    </row>
    <row r="632" spans="1:8" x14ac:dyDescent="0.25">
      <c r="E632" t="str">
        <f>"24720"</f>
        <v>24720</v>
      </c>
      <c r="F632" t="str">
        <f>"DUPLICATE KEYS/PCT#1"</f>
        <v>DUPLICATE KEYS/PCT#1</v>
      </c>
      <c r="G632" s="2">
        <v>48</v>
      </c>
      <c r="H632" t="str">
        <f>"DUPLICATE KEYS/PCT#1"</f>
        <v>DUPLICATE KEYS/PCT#1</v>
      </c>
    </row>
    <row r="633" spans="1:8" x14ac:dyDescent="0.25">
      <c r="A633" t="s">
        <v>183</v>
      </c>
      <c r="B633">
        <v>77978</v>
      </c>
      <c r="C633" s="3">
        <v>2390.83</v>
      </c>
      <c r="D633" s="1">
        <v>43325</v>
      </c>
      <c r="E633" t="str">
        <f>"18061120N"</f>
        <v>18061120N</v>
      </c>
      <c r="F633" t="str">
        <f>"CUST CODE:PKE5000/06/01-06/30"</f>
        <v>CUST CODE:PKE5000/06/01-06/30</v>
      </c>
      <c r="G633" s="2">
        <v>2390.83</v>
      </c>
      <c r="H633" t="str">
        <f>"CUST CODE:PKE5000/06/01-06/30"</f>
        <v>CUST CODE:PKE5000/06/01-06/30</v>
      </c>
    </row>
    <row r="634" spans="1:8" x14ac:dyDescent="0.25">
      <c r="E634" t="str">
        <f>""</f>
        <v/>
      </c>
      <c r="F634" t="str">
        <f>""</f>
        <v/>
      </c>
      <c r="H634" t="str">
        <f>"CUST CODE:PKE5000/06/01-06/30"</f>
        <v>CUST CODE:PKE5000/06/01-06/30</v>
      </c>
    </row>
    <row r="635" spans="1:8" x14ac:dyDescent="0.25">
      <c r="A635" t="s">
        <v>183</v>
      </c>
      <c r="B635">
        <v>78291</v>
      </c>
      <c r="C635" s="3">
        <v>2159.9</v>
      </c>
      <c r="D635" s="1">
        <v>43339</v>
      </c>
      <c r="E635" t="str">
        <f>"18071120N"</f>
        <v>18071120N</v>
      </c>
      <c r="F635" t="str">
        <f>"CUST#PKE5000/07/01-07/31"</f>
        <v>CUST#PKE5000/07/01-07/31</v>
      </c>
      <c r="G635" s="2">
        <v>2159.9</v>
      </c>
      <c r="H635" t="str">
        <f>"CUST#PKE5000/07/01-07/31"</f>
        <v>CUST#PKE5000/07/01-07/31</v>
      </c>
    </row>
    <row r="636" spans="1:8" x14ac:dyDescent="0.25">
      <c r="E636" t="str">
        <f>""</f>
        <v/>
      </c>
      <c r="F636" t="str">
        <f>""</f>
        <v/>
      </c>
      <c r="H636" t="str">
        <f>"CUST#PKE5000/07/01-07/31"</f>
        <v>CUST#PKE5000/07/01-07/31</v>
      </c>
    </row>
    <row r="637" spans="1:8" x14ac:dyDescent="0.25">
      <c r="A637" t="s">
        <v>184</v>
      </c>
      <c r="B637">
        <v>77979</v>
      </c>
      <c r="C637" s="3">
        <v>689.83</v>
      </c>
      <c r="D637" s="1">
        <v>43325</v>
      </c>
      <c r="E637" t="str">
        <f>"100210"</f>
        <v>100210</v>
      </c>
      <c r="F637" t="str">
        <f>"EXPANDED METAL FLAT/ANGLE/P3"</f>
        <v>EXPANDED METAL FLAT/ANGLE/P3</v>
      </c>
      <c r="G637" s="2">
        <v>65.209999999999994</v>
      </c>
      <c r="H637" t="str">
        <f>"EXPANDED METAL FLAT/ANGLE/P3"</f>
        <v>EXPANDED METAL FLAT/ANGLE/P3</v>
      </c>
    </row>
    <row r="638" spans="1:8" x14ac:dyDescent="0.25">
      <c r="E638" t="str">
        <f>"100246"</f>
        <v>100246</v>
      </c>
      <c r="F638" t="str">
        <f>"ACCT#33000/WELD PLATE/PCT#1"</f>
        <v>ACCT#33000/WELD PLATE/PCT#1</v>
      </c>
      <c r="G638" s="2">
        <v>254.24</v>
      </c>
      <c r="H638" t="str">
        <f>"ACCT#33000/WELD PLATE/PCT#1"</f>
        <v>ACCT#33000/WELD PLATE/PCT#1</v>
      </c>
    </row>
    <row r="639" spans="1:8" x14ac:dyDescent="0.25">
      <c r="E639" t="str">
        <f>"100544"</f>
        <v>100544</v>
      </c>
      <c r="F639" t="str">
        <f>"PBR Light Stone"</f>
        <v>PBR Light Stone</v>
      </c>
      <c r="G639" s="2">
        <v>210.38</v>
      </c>
      <c r="H639" t="str">
        <f>"PBR Light Stone"</f>
        <v>PBR Light Stone</v>
      </c>
    </row>
    <row r="640" spans="1:8" x14ac:dyDescent="0.25">
      <c r="E640" t="str">
        <f>""</f>
        <v/>
      </c>
      <c r="F640" t="str">
        <f>""</f>
        <v/>
      </c>
      <c r="H640" t="str">
        <f>"Block &amp; Band"</f>
        <v>Block &amp; Band</v>
      </c>
    </row>
    <row r="641" spans="1:8" x14ac:dyDescent="0.25">
      <c r="E641" t="str">
        <f>""</f>
        <v/>
      </c>
      <c r="F641" t="str">
        <f>""</f>
        <v/>
      </c>
      <c r="H641" t="str">
        <f>"FL-830 Outside Cor.."</f>
        <v>FL-830 Outside Cor..</v>
      </c>
    </row>
    <row r="642" spans="1:8" x14ac:dyDescent="0.25">
      <c r="E642" t="str">
        <f>""</f>
        <v/>
      </c>
      <c r="F642" t="str">
        <f>""</f>
        <v/>
      </c>
      <c r="H642" t="str">
        <f>"Misc."</f>
        <v>Misc.</v>
      </c>
    </row>
    <row r="643" spans="1:8" x14ac:dyDescent="0.25">
      <c r="E643" t="str">
        <f>"100690"</f>
        <v>100690</v>
      </c>
      <c r="F643" t="str">
        <f>"DDM LLC 2"</f>
        <v>DDM LLC 2</v>
      </c>
      <c r="G643" s="2">
        <v>160</v>
      </c>
      <c r="H643" t="str">
        <f>"FL 31 Downspout"</f>
        <v>FL 31 Downspout</v>
      </c>
    </row>
    <row r="644" spans="1:8" x14ac:dyDescent="0.25">
      <c r="E644" t="str">
        <f>""</f>
        <v/>
      </c>
      <c r="F644" t="str">
        <f>""</f>
        <v/>
      </c>
      <c r="H644" t="str">
        <f>"Special Trim"</f>
        <v>Special Trim</v>
      </c>
    </row>
    <row r="645" spans="1:8" x14ac:dyDescent="0.25">
      <c r="E645" t="str">
        <f>""</f>
        <v/>
      </c>
      <c r="F645" t="str">
        <f>""</f>
        <v/>
      </c>
      <c r="H645" t="str">
        <f>"Polar White Pop Riv"</f>
        <v>Polar White Pop Riv</v>
      </c>
    </row>
    <row r="646" spans="1:8" x14ac:dyDescent="0.25">
      <c r="A646" t="s">
        <v>185</v>
      </c>
      <c r="B646">
        <v>77980</v>
      </c>
      <c r="C646" s="3">
        <v>300</v>
      </c>
      <c r="D646" s="1">
        <v>43325</v>
      </c>
      <c r="E646" t="str">
        <f>"0005"</f>
        <v>0005</v>
      </c>
      <c r="F646" t="str">
        <f>"LEGAL PATERNITY TEST"</f>
        <v>LEGAL PATERNITY TEST</v>
      </c>
      <c r="G646" s="2">
        <v>300</v>
      </c>
      <c r="H646" t="str">
        <f>"LEGAL PATERNITY TEST"</f>
        <v>LEGAL PATERNITY TEST</v>
      </c>
    </row>
    <row r="647" spans="1:8" x14ac:dyDescent="0.25">
      <c r="A647" t="s">
        <v>186</v>
      </c>
      <c r="B647">
        <v>78415</v>
      </c>
      <c r="C647" s="3">
        <v>749.4</v>
      </c>
      <c r="D647" s="1">
        <v>43343</v>
      </c>
      <c r="E647" t="str">
        <f>"201808313169"</f>
        <v>201808313169</v>
      </c>
      <c r="F647" t="str">
        <f>"ACCT#405900029213/09012018"</f>
        <v>ACCT#405900029213/09012018</v>
      </c>
      <c r="G647" s="2">
        <v>374.7</v>
      </c>
      <c r="H647" t="str">
        <f>"ACCT#405900029213/09012018"</f>
        <v>ACCT#405900029213/09012018</v>
      </c>
    </row>
    <row r="648" spans="1:8" x14ac:dyDescent="0.25">
      <c r="E648" t="str">
        <f>"201808313170"</f>
        <v>201808313170</v>
      </c>
      <c r="F648" t="str">
        <f>"ACCT#405900029225/09012018"</f>
        <v>ACCT#405900029225/09012018</v>
      </c>
      <c r="G648" s="2">
        <v>187.35</v>
      </c>
      <c r="H648" t="str">
        <f>"DONNIE STARK"</f>
        <v>DONNIE STARK</v>
      </c>
    </row>
    <row r="649" spans="1:8" x14ac:dyDescent="0.25">
      <c r="E649" t="str">
        <f>"201808313171"</f>
        <v>201808313171</v>
      </c>
      <c r="F649" t="str">
        <f>"ACCT#405900028789/09012018"</f>
        <v>ACCT#405900028789/09012018</v>
      </c>
      <c r="G649" s="2">
        <v>187.35</v>
      </c>
      <c r="H649" t="str">
        <f>"ACCT#405900028789/09012018"</f>
        <v>ACCT#405900028789/09012018</v>
      </c>
    </row>
    <row r="650" spans="1:8" x14ac:dyDescent="0.25">
      <c r="A650" t="s">
        <v>187</v>
      </c>
      <c r="B650">
        <v>77981</v>
      </c>
      <c r="C650" s="3">
        <v>1238.57</v>
      </c>
      <c r="D650" s="1">
        <v>43325</v>
      </c>
      <c r="E650" t="str">
        <f>"32707"</f>
        <v>32707</v>
      </c>
      <c r="F650" t="str">
        <f>"VEHICLE EXPENSES/PCT#3"</f>
        <v>VEHICLE EXPENSES/PCT#3</v>
      </c>
      <c r="G650" s="2">
        <v>847.33</v>
      </c>
      <c r="H650" t="str">
        <f>"VEHICLE EXPENSES/PCT#3"</f>
        <v>VEHICLE EXPENSES/PCT#3</v>
      </c>
    </row>
    <row r="651" spans="1:8" x14ac:dyDescent="0.25">
      <c r="E651" t="str">
        <f>"32719"</f>
        <v>32719</v>
      </c>
      <c r="F651" t="str">
        <f>"VEHICLE EXPS/PCT#2"</f>
        <v>VEHICLE EXPS/PCT#2</v>
      </c>
      <c r="G651" s="2">
        <v>391.24</v>
      </c>
      <c r="H651" t="str">
        <f>"VEHICLE EXPS/PCT#2"</f>
        <v>VEHICLE EXPS/PCT#2</v>
      </c>
    </row>
    <row r="652" spans="1:8" x14ac:dyDescent="0.25">
      <c r="A652" t="s">
        <v>188</v>
      </c>
      <c r="B652">
        <v>77982</v>
      </c>
      <c r="C652" s="3">
        <v>919</v>
      </c>
      <c r="D652" s="1">
        <v>43325</v>
      </c>
      <c r="E652" t="str">
        <f>"4519"</f>
        <v>4519</v>
      </c>
      <c r="F652" t="str">
        <f>"SERVICE CALL/PCT#1"</f>
        <v>SERVICE CALL/PCT#1</v>
      </c>
      <c r="G652" s="2">
        <v>919</v>
      </c>
      <c r="H652" t="str">
        <f>"SERVICE CALL/PCT#1"</f>
        <v>SERVICE CALL/PCT#1</v>
      </c>
    </row>
    <row r="653" spans="1:8" x14ac:dyDescent="0.25">
      <c r="A653" t="s">
        <v>189</v>
      </c>
      <c r="B653">
        <v>999999</v>
      </c>
      <c r="C653" s="3">
        <v>3512.5</v>
      </c>
      <c r="D653" s="1">
        <v>43326</v>
      </c>
      <c r="E653" t="str">
        <f>"201807242387"</f>
        <v>201807242387</v>
      </c>
      <c r="F653" t="str">
        <f>"16140"</f>
        <v>16140</v>
      </c>
      <c r="G653" s="2">
        <v>2100</v>
      </c>
      <c r="H653" t="str">
        <f>"16140"</f>
        <v>16140</v>
      </c>
    </row>
    <row r="654" spans="1:8" x14ac:dyDescent="0.25">
      <c r="E654" t="str">
        <f>"201807242388"</f>
        <v>201807242388</v>
      </c>
      <c r="F654" t="str">
        <f>"11457"</f>
        <v>11457</v>
      </c>
      <c r="G654" s="2">
        <v>400</v>
      </c>
      <c r="H654" t="str">
        <f>"11457"</f>
        <v>11457</v>
      </c>
    </row>
    <row r="655" spans="1:8" x14ac:dyDescent="0.25">
      <c r="E655" t="str">
        <f>"201807242389"</f>
        <v>201807242389</v>
      </c>
      <c r="F655" t="str">
        <f>"16536"</f>
        <v>16536</v>
      </c>
      <c r="G655" s="2">
        <v>400</v>
      </c>
      <c r="H655" t="str">
        <f>"16536"</f>
        <v>16536</v>
      </c>
    </row>
    <row r="656" spans="1:8" x14ac:dyDescent="0.25">
      <c r="E656" t="str">
        <f>"201808082724"</f>
        <v>201808082724</v>
      </c>
      <c r="F656" t="str">
        <f>"17-18617"</f>
        <v>17-18617</v>
      </c>
      <c r="G656" s="2">
        <v>112.5</v>
      </c>
      <c r="H656" t="str">
        <f>"17-18617"</f>
        <v>17-18617</v>
      </c>
    </row>
    <row r="657" spans="1:8" x14ac:dyDescent="0.25">
      <c r="E657" t="str">
        <f>"201808082725"</f>
        <v>201808082725</v>
      </c>
      <c r="F657" t="str">
        <f>"06-11263"</f>
        <v>06-11263</v>
      </c>
      <c r="G657" s="2">
        <v>250</v>
      </c>
      <c r="H657" t="str">
        <f>"06-11263"</f>
        <v>06-11263</v>
      </c>
    </row>
    <row r="658" spans="1:8" x14ac:dyDescent="0.25">
      <c r="E658" t="str">
        <f>"201808082726"</f>
        <v>201808082726</v>
      </c>
      <c r="F658" t="str">
        <f>"02-04123-18"</f>
        <v>02-04123-18</v>
      </c>
      <c r="G658" s="2">
        <v>250</v>
      </c>
      <c r="H658" t="str">
        <f>"02-04123-18"</f>
        <v>02-04123-18</v>
      </c>
    </row>
    <row r="659" spans="1:8" x14ac:dyDescent="0.25">
      <c r="A659" t="s">
        <v>189</v>
      </c>
      <c r="B659">
        <v>999999</v>
      </c>
      <c r="C659" s="3">
        <v>4762</v>
      </c>
      <c r="D659" s="1">
        <v>43340</v>
      </c>
      <c r="E659" t="str">
        <f>"201808152898"</f>
        <v>201808152898</v>
      </c>
      <c r="F659" t="str">
        <f>"15397"</f>
        <v>15397</v>
      </c>
      <c r="G659" s="2">
        <v>400</v>
      </c>
      <c r="H659" t="str">
        <f>"15397"</f>
        <v>15397</v>
      </c>
    </row>
    <row r="660" spans="1:8" x14ac:dyDescent="0.25">
      <c r="E660" t="str">
        <f>"201808152904"</f>
        <v>201808152904</v>
      </c>
      <c r="F660" t="str">
        <f>"18-S-00346"</f>
        <v>18-S-00346</v>
      </c>
      <c r="G660" s="2">
        <v>400</v>
      </c>
      <c r="H660" t="str">
        <f>"18-S-00346"</f>
        <v>18-S-00346</v>
      </c>
    </row>
    <row r="661" spans="1:8" x14ac:dyDescent="0.25">
      <c r="E661" t="str">
        <f>"201808152905"</f>
        <v>201808152905</v>
      </c>
      <c r="F661" t="str">
        <f>"AC-2018-0530  AC-20180621W4"</f>
        <v>AC-2018-0530  AC-20180621W4</v>
      </c>
      <c r="G661" s="2">
        <v>200</v>
      </c>
      <c r="H661" t="str">
        <f>"AC-2018-0530  AC-20180621W4"</f>
        <v>AC-2018-0530  AC-20180621W4</v>
      </c>
    </row>
    <row r="662" spans="1:8" x14ac:dyDescent="0.25">
      <c r="E662" t="str">
        <f>"201808162916"</f>
        <v>201808162916</v>
      </c>
      <c r="F662" t="str">
        <f>"10339"</f>
        <v>10339</v>
      </c>
      <c r="G662" s="2">
        <v>400</v>
      </c>
      <c r="H662" t="str">
        <f>"10339"</f>
        <v>10339</v>
      </c>
    </row>
    <row r="663" spans="1:8" x14ac:dyDescent="0.25">
      <c r="E663" t="str">
        <f>"201808162917"</f>
        <v>201808162917</v>
      </c>
      <c r="F663" t="str">
        <f>"16321"</f>
        <v>16321</v>
      </c>
      <c r="G663" s="2">
        <v>400</v>
      </c>
      <c r="H663" t="str">
        <f>"16321"</f>
        <v>16321</v>
      </c>
    </row>
    <row r="664" spans="1:8" x14ac:dyDescent="0.25">
      <c r="E664" t="str">
        <f>"201808162918"</f>
        <v>201808162918</v>
      </c>
      <c r="F664" t="str">
        <f>"16169"</f>
        <v>16169</v>
      </c>
      <c r="G664" s="2">
        <v>400</v>
      </c>
      <c r="H664" t="str">
        <f>"16169"</f>
        <v>16169</v>
      </c>
    </row>
    <row r="665" spans="1:8" x14ac:dyDescent="0.25">
      <c r="E665" t="str">
        <f>"201808212985"</f>
        <v>201808212985</v>
      </c>
      <c r="F665" t="str">
        <f>"18-18960"</f>
        <v>18-18960</v>
      </c>
      <c r="G665" s="2">
        <v>375</v>
      </c>
      <c r="H665" t="str">
        <f>"18-18960"</f>
        <v>18-18960</v>
      </c>
    </row>
    <row r="666" spans="1:8" x14ac:dyDescent="0.25">
      <c r="E666" t="str">
        <f>"201808212992"</f>
        <v>201808212992</v>
      </c>
      <c r="F666" t="str">
        <f>"56225"</f>
        <v>56225</v>
      </c>
      <c r="G666" s="2">
        <v>250</v>
      </c>
      <c r="H666" t="str">
        <f>"56225"</f>
        <v>56225</v>
      </c>
    </row>
    <row r="667" spans="1:8" x14ac:dyDescent="0.25">
      <c r="E667" t="str">
        <f>"201808212994"</f>
        <v>201808212994</v>
      </c>
      <c r="F667" t="str">
        <f>"35646"</f>
        <v>35646</v>
      </c>
      <c r="G667" s="2">
        <v>250</v>
      </c>
      <c r="H667" t="str">
        <f>"35646"</f>
        <v>35646</v>
      </c>
    </row>
    <row r="668" spans="1:8" x14ac:dyDescent="0.25">
      <c r="E668" t="str">
        <f>"201808212995"</f>
        <v>201808212995</v>
      </c>
      <c r="F668" t="str">
        <f>"46621"</f>
        <v>46621</v>
      </c>
      <c r="G668" s="2">
        <v>250</v>
      </c>
      <c r="H668" t="str">
        <f>"46621"</f>
        <v>46621</v>
      </c>
    </row>
    <row r="669" spans="1:8" x14ac:dyDescent="0.25">
      <c r="E669" t="str">
        <f>"201808212996"</f>
        <v>201808212996</v>
      </c>
      <c r="F669" t="str">
        <f>"55934"</f>
        <v>55934</v>
      </c>
      <c r="G669" s="2">
        <v>250</v>
      </c>
      <c r="H669" t="str">
        <f>"55934"</f>
        <v>55934</v>
      </c>
    </row>
    <row r="670" spans="1:8" x14ac:dyDescent="0.25">
      <c r="E670" t="str">
        <f>"201808212997"</f>
        <v>201808212997</v>
      </c>
      <c r="F670" t="str">
        <f>"1JP31918G"</f>
        <v>1JP31918G</v>
      </c>
      <c r="G670" s="2">
        <v>250</v>
      </c>
      <c r="H670" t="str">
        <f>"1JP31918G"</f>
        <v>1JP31918G</v>
      </c>
    </row>
    <row r="671" spans="1:8" x14ac:dyDescent="0.25">
      <c r="E671" t="str">
        <f>"201808213003"</f>
        <v>201808213003</v>
      </c>
      <c r="F671" t="str">
        <f>"18-18924"</f>
        <v>18-18924</v>
      </c>
      <c r="G671" s="2">
        <v>250</v>
      </c>
      <c r="H671" t="str">
        <f>"18-18924"</f>
        <v>18-18924</v>
      </c>
    </row>
    <row r="672" spans="1:8" x14ac:dyDescent="0.25">
      <c r="E672" t="str">
        <f>"201808213004"</f>
        <v>201808213004</v>
      </c>
      <c r="F672" t="str">
        <f>"18-19166"</f>
        <v>18-19166</v>
      </c>
      <c r="G672" s="2">
        <v>437</v>
      </c>
      <c r="H672" t="str">
        <f>"18-19166"</f>
        <v>18-19166</v>
      </c>
    </row>
    <row r="673" spans="1:8" x14ac:dyDescent="0.25">
      <c r="E673" t="str">
        <f>"201808213005"</f>
        <v>201808213005</v>
      </c>
      <c r="F673" t="str">
        <f>"17-13617"</f>
        <v>17-13617</v>
      </c>
      <c r="G673" s="2">
        <v>250</v>
      </c>
      <c r="H673" t="str">
        <f>"17-13617"</f>
        <v>17-13617</v>
      </c>
    </row>
    <row r="674" spans="1:8" x14ac:dyDescent="0.25">
      <c r="A674" t="s">
        <v>190</v>
      </c>
      <c r="B674">
        <v>77983</v>
      </c>
      <c r="C674" s="3">
        <v>1200</v>
      </c>
      <c r="D674" s="1">
        <v>43325</v>
      </c>
      <c r="E674" t="str">
        <f>"15-1217"</f>
        <v>15-1217</v>
      </c>
      <c r="F674" t="str">
        <f>"20 YD ROAD BASE/PCT#3"</f>
        <v>20 YD ROAD BASE/PCT#3</v>
      </c>
      <c r="G674" s="2">
        <v>1200</v>
      </c>
      <c r="H674" t="str">
        <f>"20 YD ROAD BASE/PCT#3"</f>
        <v>20 YD ROAD BASE/PCT#3</v>
      </c>
    </row>
    <row r="675" spans="1:8" x14ac:dyDescent="0.25">
      <c r="A675" t="s">
        <v>191</v>
      </c>
      <c r="B675">
        <v>999999</v>
      </c>
      <c r="C675" s="3">
        <v>1780.73</v>
      </c>
      <c r="D675" s="1">
        <v>43326</v>
      </c>
      <c r="E675" t="str">
        <f>"0302117"</f>
        <v>0302117</v>
      </c>
      <c r="F675" t="str">
        <f>"INV 0302117"</f>
        <v>INV 0302117</v>
      </c>
      <c r="G675" s="2">
        <v>1780.73</v>
      </c>
      <c r="H675" t="str">
        <f>"INV 0302117"</f>
        <v>INV 0302117</v>
      </c>
    </row>
    <row r="676" spans="1:8" x14ac:dyDescent="0.25">
      <c r="A676" t="s">
        <v>192</v>
      </c>
      <c r="B676">
        <v>78172</v>
      </c>
      <c r="C676" s="3">
        <v>25</v>
      </c>
      <c r="D676" s="1">
        <v>43326</v>
      </c>
      <c r="E676" t="str">
        <f>"201808142887"</f>
        <v>201808142887</v>
      </c>
      <c r="F676" t="str">
        <f>"REFUND COURT FEES"</f>
        <v>REFUND COURT FEES</v>
      </c>
      <c r="G676" s="2">
        <v>25</v>
      </c>
      <c r="H676" t="str">
        <f>"REFUND COURT FEES"</f>
        <v>REFUND COURT FEES</v>
      </c>
    </row>
    <row r="677" spans="1:8" x14ac:dyDescent="0.25">
      <c r="A677" t="s">
        <v>193</v>
      </c>
      <c r="B677">
        <v>77984</v>
      </c>
      <c r="C677" s="3">
        <v>718.61</v>
      </c>
      <c r="D677" s="1">
        <v>43325</v>
      </c>
      <c r="E677" t="str">
        <f>"1054964"</f>
        <v>1054964</v>
      </c>
      <c r="F677" t="str">
        <f>"ACCT#B06875/ORD#1152771/ELECT"</f>
        <v>ACCT#B06875/ORD#1152771/ELECT</v>
      </c>
      <c r="G677" s="2">
        <v>718.61</v>
      </c>
      <c r="H677" t="str">
        <f>"ACCT#B06875/ORD#1152771/ELECT"</f>
        <v>ACCT#B06875/ORD#1152771/ELECT</v>
      </c>
    </row>
    <row r="678" spans="1:8" x14ac:dyDescent="0.25">
      <c r="A678" t="s">
        <v>194</v>
      </c>
      <c r="B678">
        <v>999999</v>
      </c>
      <c r="C678" s="3">
        <v>119</v>
      </c>
      <c r="D678" s="1">
        <v>43340</v>
      </c>
      <c r="E678" t="str">
        <f>"52421-12893 &amp;12894"</f>
        <v>52421-12893 &amp;12894</v>
      </c>
      <c r="F678" t="str">
        <f>"CLASSIFIED AD-AUDITOR'S OFFICE"</f>
        <v>CLASSIFIED AD-AUDITOR'S OFFICE</v>
      </c>
      <c r="G678" s="2">
        <v>119</v>
      </c>
      <c r="H678" t="str">
        <f>"CLASSIFIED AD-AUDITOR'S OFFICE"</f>
        <v>CLASSIFIED AD-AUDITOR'S OFFICE</v>
      </c>
    </row>
    <row r="679" spans="1:8" x14ac:dyDescent="0.25">
      <c r="A679" t="s">
        <v>195</v>
      </c>
      <c r="B679">
        <v>77985</v>
      </c>
      <c r="C679" s="3">
        <v>530.62</v>
      </c>
      <c r="D679" s="1">
        <v>43325</v>
      </c>
      <c r="E679" t="str">
        <f>"11712"</f>
        <v>11712</v>
      </c>
      <c r="F679" t="str">
        <f>"SUPPLIES/PCT#4"</f>
        <v>SUPPLIES/PCT#4</v>
      </c>
      <c r="G679" s="2">
        <v>530.62</v>
      </c>
      <c r="H679" t="str">
        <f>"SUPPLIES/PCT#4"</f>
        <v>SUPPLIES/PCT#4</v>
      </c>
    </row>
    <row r="680" spans="1:8" x14ac:dyDescent="0.25">
      <c r="A680" t="s">
        <v>196</v>
      </c>
      <c r="B680">
        <v>77896</v>
      </c>
      <c r="C680" s="3">
        <v>1333.75</v>
      </c>
      <c r="D680" s="1">
        <v>43321</v>
      </c>
      <c r="E680" t="str">
        <f>"201808082835"</f>
        <v>201808082835</v>
      </c>
      <c r="F680" t="str">
        <f>"ACCT#007-0008410-002/07312018"</f>
        <v>ACCT#007-0008410-002/07312018</v>
      </c>
      <c r="G680" s="2">
        <v>302.77999999999997</v>
      </c>
      <c r="H680" t="str">
        <f>"ACCT#007-0008410-002/07312018"</f>
        <v>ACCT#007-0008410-002/07312018</v>
      </c>
    </row>
    <row r="681" spans="1:8" x14ac:dyDescent="0.25">
      <c r="E681" t="str">
        <f>"201808082836"</f>
        <v>201808082836</v>
      </c>
      <c r="F681" t="str">
        <f>"ACCT#007-0011501-000/07312018"</f>
        <v>ACCT#007-0011501-000/07312018</v>
      </c>
      <c r="G681" s="2">
        <v>84.88</v>
      </c>
      <c r="H681" t="str">
        <f>"ACCT#007-0011501-000/07312018"</f>
        <v>ACCT#007-0011501-000/07312018</v>
      </c>
    </row>
    <row r="682" spans="1:8" x14ac:dyDescent="0.25">
      <c r="E682" t="str">
        <f>"201808082837"</f>
        <v>201808082837</v>
      </c>
      <c r="F682" t="str">
        <f>"ACCT#007-0011510-000/07312018"</f>
        <v>ACCT#007-0011510-000/07312018</v>
      </c>
      <c r="G682" s="2">
        <v>235.91</v>
      </c>
      <c r="H682" t="str">
        <f>"ACCT#007-0011510-000/07312018"</f>
        <v>ACCT#007-0011510-000/07312018</v>
      </c>
    </row>
    <row r="683" spans="1:8" x14ac:dyDescent="0.25">
      <c r="E683" t="str">
        <f>"201808082838"</f>
        <v>201808082838</v>
      </c>
      <c r="F683" t="str">
        <f>"ACCT#007-0011530-000/07312018"</f>
        <v>ACCT#007-0011530-000/07312018</v>
      </c>
      <c r="G683" s="2">
        <v>97.4</v>
      </c>
      <c r="H683" t="str">
        <f>"ACCT#007-0011530-000/07312018"</f>
        <v>ACCT#007-0011530-000/07312018</v>
      </c>
    </row>
    <row r="684" spans="1:8" x14ac:dyDescent="0.25">
      <c r="E684" t="str">
        <f>"201808082839"</f>
        <v>201808082839</v>
      </c>
      <c r="F684" t="str">
        <f>"ACCT#007-0011534-001/07312018"</f>
        <v>ACCT#007-0011534-001/07312018</v>
      </c>
      <c r="G684" s="2">
        <v>156.88</v>
      </c>
      <c r="H684" t="str">
        <f>"ACCT#007-0011534-001/07312018"</f>
        <v>ACCT#007-0011534-001/07312018</v>
      </c>
    </row>
    <row r="685" spans="1:8" x14ac:dyDescent="0.25">
      <c r="E685" t="str">
        <f>"201808082840"</f>
        <v>201808082840</v>
      </c>
      <c r="F685" t="str">
        <f>"ACCT#007-0011535-000/07312018"</f>
        <v>ACCT#007-0011535-000/07312018</v>
      </c>
      <c r="G685" s="2">
        <v>192.93</v>
      </c>
      <c r="H685" t="str">
        <f>"ACCT#007-0011535-000/07312018"</f>
        <v>ACCT#007-0011535-000/07312018</v>
      </c>
    </row>
    <row r="686" spans="1:8" x14ac:dyDescent="0.25">
      <c r="E686" t="str">
        <f>"201808082841"</f>
        <v>201808082841</v>
      </c>
      <c r="F686" t="str">
        <f>"ACCT#007-0011544-001/07312018"</f>
        <v>ACCT#007-0011544-001/07312018</v>
      </c>
      <c r="G686" s="2">
        <v>111.49</v>
      </c>
      <c r="H686" t="str">
        <f>"ACCT#007-0011544-001/07312018"</f>
        <v>ACCT#007-0011544-001/07312018</v>
      </c>
    </row>
    <row r="687" spans="1:8" x14ac:dyDescent="0.25">
      <c r="E687" t="str">
        <f>"201808082842"</f>
        <v>201808082842</v>
      </c>
      <c r="F687" t="str">
        <f>"ACCT#007-0071128-001/07312018"</f>
        <v>ACCT#007-0071128-001/07312018</v>
      </c>
      <c r="G687" s="2">
        <v>151.47999999999999</v>
      </c>
      <c r="H687" t="str">
        <f>"ACCT#007-0071128-001/07312018"</f>
        <v>ACCT#007-0071128-001/07312018</v>
      </c>
    </row>
    <row r="688" spans="1:8" x14ac:dyDescent="0.25">
      <c r="A688" t="s">
        <v>197</v>
      </c>
      <c r="B688">
        <v>77986</v>
      </c>
      <c r="C688" s="3">
        <v>34.04</v>
      </c>
      <c r="D688" s="1">
        <v>43325</v>
      </c>
      <c r="E688" t="str">
        <f>"145-19978-01"</f>
        <v>145-19978-01</v>
      </c>
      <c r="F688" t="str">
        <f>"INV 145-19978-01"</f>
        <v>INV 145-19978-01</v>
      </c>
      <c r="G688" s="2">
        <v>34.04</v>
      </c>
      <c r="H688" t="str">
        <f>"INV 145-19978-01"</f>
        <v>INV 145-19978-01</v>
      </c>
    </row>
    <row r="689" spans="1:8" x14ac:dyDescent="0.25">
      <c r="A689" t="s">
        <v>197</v>
      </c>
      <c r="B689">
        <v>78292</v>
      </c>
      <c r="C689" s="3">
        <v>151.59</v>
      </c>
      <c r="D689" s="1">
        <v>43339</v>
      </c>
      <c r="E689" t="str">
        <f>"145-20543-01"</f>
        <v>145-20543-01</v>
      </c>
      <c r="F689" t="str">
        <f>"CUST#0888336/GEN SVCS"</f>
        <v>CUST#0888336/GEN SVCS</v>
      </c>
      <c r="G689" s="2">
        <v>81.459999999999994</v>
      </c>
      <c r="H689" t="str">
        <f>"CUST#0888336/GEN SVCS"</f>
        <v>CUST#0888336/GEN SVCS</v>
      </c>
    </row>
    <row r="690" spans="1:8" x14ac:dyDescent="0.25">
      <c r="E690" t="str">
        <f>"145-20543-02"</f>
        <v>145-20543-02</v>
      </c>
      <c r="F690" t="str">
        <f>"CUST#0888336/GEN SVCS"</f>
        <v>CUST#0888336/GEN SVCS</v>
      </c>
      <c r="G690" s="2">
        <v>70.13</v>
      </c>
      <c r="H690" t="str">
        <f>"CUST#0888336/GEN SVCS"</f>
        <v>CUST#0888336/GEN SVCS</v>
      </c>
    </row>
    <row r="691" spans="1:8" x14ac:dyDescent="0.25">
      <c r="A691" t="s">
        <v>198</v>
      </c>
      <c r="B691">
        <v>77987</v>
      </c>
      <c r="C691" s="3">
        <v>3591</v>
      </c>
      <c r="D691" s="1">
        <v>43325</v>
      </c>
      <c r="E691" t="str">
        <f>"4696"</f>
        <v>4696</v>
      </c>
      <c r="F691" t="str">
        <f>"Training"</f>
        <v>Training</v>
      </c>
      <c r="G691" s="2">
        <v>3591</v>
      </c>
      <c r="H691" t="str">
        <f>"Epic Live Virtual -"</f>
        <v>Epic Live Virtual -</v>
      </c>
    </row>
    <row r="692" spans="1:8" x14ac:dyDescent="0.25">
      <c r="A692" t="s">
        <v>199</v>
      </c>
      <c r="B692">
        <v>77988</v>
      </c>
      <c r="C692" s="3">
        <v>109126.59</v>
      </c>
      <c r="D692" s="1">
        <v>43325</v>
      </c>
      <c r="E692" t="str">
        <f>"9401893424"</f>
        <v>9401893424</v>
      </c>
      <c r="F692" t="str">
        <f>"ACCT#912904/BOL#33091DEMO/P2"</f>
        <v>ACCT#912904/BOL#33091DEMO/P2</v>
      </c>
      <c r="G692" s="2">
        <v>-1125</v>
      </c>
      <c r="H692" t="str">
        <f>"ACCT#912904/BOL#33091DEMO/P2"</f>
        <v>ACCT#912904/BOL#33091DEMO/P2</v>
      </c>
    </row>
    <row r="693" spans="1:8" x14ac:dyDescent="0.25">
      <c r="E693" t="str">
        <f>"9401845343"</f>
        <v>9401845343</v>
      </c>
      <c r="F693" t="str">
        <f>"ACCT#912904/BOL#22475/PCT#2"</f>
        <v>ACCT#912904/BOL#22475/PCT#2</v>
      </c>
      <c r="G693" s="2">
        <v>661.49</v>
      </c>
      <c r="H693" t="str">
        <f>"ACCT#912904/BOL#22475/PCT#2"</f>
        <v>ACCT#912904/BOL#22475/PCT#2</v>
      </c>
    </row>
    <row r="694" spans="1:8" x14ac:dyDescent="0.25">
      <c r="E694" t="str">
        <f>"9401864100"</f>
        <v>9401864100</v>
      </c>
      <c r="F694" t="str">
        <f>"ACCT#912897/BOL#22636/PCT#3"</f>
        <v>ACCT#912897/BOL#22636/PCT#3</v>
      </c>
      <c r="G694" s="2">
        <v>776.64</v>
      </c>
      <c r="H694" t="str">
        <f>"ACCT#912897/BOL#22636/PCT#3"</f>
        <v>ACCT#912897/BOL#22636/PCT#3</v>
      </c>
    </row>
    <row r="695" spans="1:8" x14ac:dyDescent="0.25">
      <c r="E695" t="str">
        <f>"9401879268"</f>
        <v>9401879268</v>
      </c>
      <c r="F695" t="str">
        <f>"ACCT#912904/BOL#22946/PCT#2"</f>
        <v>ACCT#912904/BOL#22946/PCT#2</v>
      </c>
      <c r="G695" s="2">
        <v>10659.63</v>
      </c>
      <c r="H695" t="str">
        <f>"ACCT#912904/BOL#22946/PCT#2"</f>
        <v>ACCT#912904/BOL#22946/PCT#2</v>
      </c>
    </row>
    <row r="696" spans="1:8" x14ac:dyDescent="0.25">
      <c r="E696" t="str">
        <f>"9401879462"</f>
        <v>9401879462</v>
      </c>
      <c r="F696" t="str">
        <f>"ACCT#912904/BOL#22950/PCT#2"</f>
        <v>ACCT#912904/BOL#22950/PCT#2</v>
      </c>
      <c r="G696" s="2">
        <v>14507.99</v>
      </c>
      <c r="H696" t="str">
        <f>"ACCT#912904/BOL#22950/PCT#2"</f>
        <v>ACCT#912904/BOL#22950/PCT#2</v>
      </c>
    </row>
    <row r="697" spans="1:8" x14ac:dyDescent="0.25">
      <c r="E697" t="str">
        <f>"9401880239"</f>
        <v>9401880239</v>
      </c>
      <c r="F697" t="str">
        <f>"ACCT#912904/BOL#22959/PCT#2"</f>
        <v>ACCT#912904/BOL#22959/PCT#2</v>
      </c>
      <c r="G697" s="2">
        <v>13184.6</v>
      </c>
      <c r="H697" t="str">
        <f>"ACCT#912904/BOL#22959/PCT#2"</f>
        <v>ACCT#912904/BOL#22959/PCT#2</v>
      </c>
    </row>
    <row r="698" spans="1:8" x14ac:dyDescent="0.25">
      <c r="E698" t="str">
        <f>"9401884679"</f>
        <v>9401884679</v>
      </c>
      <c r="F698" t="str">
        <f>"ACCT#912904/BOL#23011/PCT#2"</f>
        <v>ACCT#912904/BOL#23011/PCT#2</v>
      </c>
      <c r="G698" s="2">
        <v>10109.76</v>
      </c>
      <c r="H698" t="str">
        <f>"ACCT#912904/BOL#23011/PCT#2"</f>
        <v>ACCT#912904/BOL#23011/PCT#2</v>
      </c>
    </row>
    <row r="699" spans="1:8" x14ac:dyDescent="0.25">
      <c r="E699" t="str">
        <f>"9401884681"</f>
        <v>9401884681</v>
      </c>
      <c r="F699" t="str">
        <f>"ACCT#912922/BOL#23010/PCT#1"</f>
        <v>ACCT#912922/BOL#23010/PCT#1</v>
      </c>
      <c r="G699" s="2">
        <v>13497.6</v>
      </c>
      <c r="H699" t="str">
        <f>"ACCT#912922/BOL#23010/PCT#1"</f>
        <v>ACCT#912922/BOL#23010/PCT#1</v>
      </c>
    </row>
    <row r="700" spans="1:8" x14ac:dyDescent="0.25">
      <c r="E700" t="str">
        <f>"9401885497"</f>
        <v>9401885497</v>
      </c>
      <c r="F700" t="str">
        <f>"ACCT#912904/BOL#23017/PCT#2"</f>
        <v>ACCT#912904/BOL#23017/PCT#2</v>
      </c>
      <c r="G700" s="2">
        <v>7264.61</v>
      </c>
      <c r="H700" t="str">
        <f>"ACCT#912904/BOL#23017/PCT#2"</f>
        <v>ACCT#912904/BOL#23017/PCT#2</v>
      </c>
    </row>
    <row r="701" spans="1:8" x14ac:dyDescent="0.25">
      <c r="E701" t="str">
        <f>"9401886392"</f>
        <v>9401886392</v>
      </c>
      <c r="F701" t="str">
        <f>"ACCT#912904/DEMURRAGE/PCT#2"</f>
        <v>ACCT#912904/DEMURRAGE/PCT#2</v>
      </c>
      <c r="G701" s="2">
        <v>160</v>
      </c>
      <c r="H701" t="str">
        <f>"ACCT#912904/DEMURRAGE/PCT#2"</f>
        <v>ACCT#912904/DEMURRAGE/PCT#2</v>
      </c>
    </row>
    <row r="702" spans="1:8" x14ac:dyDescent="0.25">
      <c r="E702" t="str">
        <f>"9401886393"</f>
        <v>9401886393</v>
      </c>
      <c r="F702" t="str">
        <f>"ACCT#912904/DEMURRAGE/PCT#2"</f>
        <v>ACCT#912904/DEMURRAGE/PCT#2</v>
      </c>
      <c r="G702" s="2">
        <v>166.4</v>
      </c>
      <c r="H702" t="str">
        <f>"ACCT#912904/DEMURRAGE/PCT#2"</f>
        <v>ACCT#912904/DEMURRAGE/PCT#2</v>
      </c>
    </row>
    <row r="703" spans="1:8" x14ac:dyDescent="0.25">
      <c r="E703" t="str">
        <f>"9401886545"</f>
        <v>9401886545</v>
      </c>
      <c r="F703" t="str">
        <f>"ACCT#912922/BOL#23025/PCT#1"</f>
        <v>ACCT#912922/BOL#23025/PCT#1</v>
      </c>
      <c r="G703" s="2">
        <v>9710.01</v>
      </c>
      <c r="H703" t="str">
        <f>"ACCT#912922/BOL#23025/PCT#1"</f>
        <v>ACCT#912922/BOL#23025/PCT#1</v>
      </c>
    </row>
    <row r="704" spans="1:8" x14ac:dyDescent="0.25">
      <c r="E704" t="str">
        <f>"9401889456"</f>
        <v>9401889456</v>
      </c>
      <c r="F704" t="str">
        <f>"ACCT#912904/BOL#33091/PCT#2"</f>
        <v>ACCT#912904/BOL#33091/PCT#2</v>
      </c>
      <c r="G704" s="2">
        <v>7321.71</v>
      </c>
      <c r="H704" t="str">
        <f>"ACCT#912904/BOL#33091/PCT#2"</f>
        <v>ACCT#912904/BOL#33091/PCT#2</v>
      </c>
    </row>
    <row r="705" spans="1:8" x14ac:dyDescent="0.25">
      <c r="E705" t="str">
        <f>"9401889457"</f>
        <v>9401889457</v>
      </c>
      <c r="F705" t="str">
        <f>"ACCT#912904/BOL#23076/PCT#2"</f>
        <v>ACCT#912904/BOL#23076/PCT#2</v>
      </c>
      <c r="G705" s="2">
        <v>11439.81</v>
      </c>
      <c r="H705" t="str">
        <f>"ACCT#912904/BOL#23076/PCT#2"</f>
        <v>ACCT#912904/BOL#23076/PCT#2</v>
      </c>
    </row>
    <row r="706" spans="1:8" x14ac:dyDescent="0.25">
      <c r="E706" t="str">
        <f>"9401890649"</f>
        <v>9401890649</v>
      </c>
      <c r="F706" t="str">
        <f>"ACCT#912922/DEMURRAGE/PCT#1"</f>
        <v>ACCT#912922/DEMURRAGE/PCT#1</v>
      </c>
      <c r="G706" s="2">
        <v>320</v>
      </c>
      <c r="H706" t="str">
        <f>"ACCT#912922/DEMURRAGE/PCT#1"</f>
        <v>ACCT#912922/DEMURRAGE/PCT#1</v>
      </c>
    </row>
    <row r="707" spans="1:8" x14ac:dyDescent="0.25">
      <c r="E707" t="str">
        <f>"9401892002"</f>
        <v>9401892002</v>
      </c>
      <c r="F707" t="str">
        <f>"ACCT#912922/BOL#23093/PCT#1"</f>
        <v>ACCT#912922/BOL#23093/PCT#1</v>
      </c>
      <c r="G707" s="2">
        <v>2050.06</v>
      </c>
      <c r="H707" t="str">
        <f>"ACCT#912922/BOL#23093/PCT#1"</f>
        <v>ACCT#912922/BOL#23093/PCT#1</v>
      </c>
    </row>
    <row r="708" spans="1:8" x14ac:dyDescent="0.25">
      <c r="E708" t="str">
        <f>"9401894945"</f>
        <v>9401894945</v>
      </c>
      <c r="F708" t="str">
        <f>"ACCT#912922/BOL#23131/PCT#1"</f>
        <v>ACCT#912922/BOL#23131/PCT#1</v>
      </c>
      <c r="G708" s="2">
        <v>4241.79</v>
      </c>
      <c r="H708" t="str">
        <f>"ACCT#912922/BOL#23131/PCT#1"</f>
        <v>ACCT#912922/BOL#23131/PCT#1</v>
      </c>
    </row>
    <row r="709" spans="1:8" x14ac:dyDescent="0.25">
      <c r="E709" t="str">
        <f>"9401894946"</f>
        <v>9401894946</v>
      </c>
      <c r="F709" t="str">
        <f>"ACCT#912922/BOL#23139/PCT#1"</f>
        <v>ACCT#912922/BOL#23139/PCT#1</v>
      </c>
      <c r="G709" s="2">
        <v>4179.49</v>
      </c>
      <c r="H709" t="str">
        <f>"ACCT#912922/BOL#23139/PCT#1"</f>
        <v>ACCT#912922/BOL#23139/PCT#1</v>
      </c>
    </row>
    <row r="710" spans="1:8" x14ac:dyDescent="0.25">
      <c r="A710" t="s">
        <v>199</v>
      </c>
      <c r="B710">
        <v>78293</v>
      </c>
      <c r="C710" s="3">
        <v>68560.850000000006</v>
      </c>
      <c r="D710" s="1">
        <v>43339</v>
      </c>
      <c r="E710" t="str">
        <f>"9401896175"</f>
        <v>9401896175</v>
      </c>
      <c r="F710" t="str">
        <f>"ACCT#912922/BOL#23025/PCT#1"</f>
        <v>ACCT#912922/BOL#23025/PCT#1</v>
      </c>
      <c r="G710" s="2">
        <v>-2699.79</v>
      </c>
      <c r="H710" t="str">
        <f>"ACCT#912922/BOL#23025/PCT#1"</f>
        <v>ACCT#912922/BOL#23025/PCT#1</v>
      </c>
    </row>
    <row r="711" spans="1:8" x14ac:dyDescent="0.25">
      <c r="E711" t="str">
        <f>"9401893870"</f>
        <v>9401893870</v>
      </c>
      <c r="F711" t="str">
        <f>"ACCT#912922/DEMURRAGE/PCT#1"</f>
        <v>ACCT#912922/DEMURRAGE/PCT#1</v>
      </c>
      <c r="G711" s="2">
        <v>320</v>
      </c>
      <c r="H711" t="str">
        <f>"ACCT#912922/DEMURRAGE/PCT#1"</f>
        <v>ACCT#912922/DEMURRAGE/PCT#1</v>
      </c>
    </row>
    <row r="712" spans="1:8" x14ac:dyDescent="0.25">
      <c r="E712" t="str">
        <f>"9401896315"</f>
        <v>9401896315</v>
      </c>
      <c r="F712" t="str">
        <f>"ACCT#912897/BOL#23158/PCT#3"</f>
        <v>ACCT#912897/BOL#23158/PCT#3</v>
      </c>
      <c r="G712" s="2">
        <v>12636.43</v>
      </c>
      <c r="H712" t="str">
        <f>"ACCT#912897/BOL#23158/PCT#3"</f>
        <v>ACCT#912897/BOL#23158/PCT#3</v>
      </c>
    </row>
    <row r="713" spans="1:8" x14ac:dyDescent="0.25">
      <c r="E713" t="str">
        <f>"9401896316"</f>
        <v>9401896316</v>
      </c>
      <c r="F713" t="str">
        <f>"BOL#23151/PCT#1"</f>
        <v>BOL#23151/PCT#1</v>
      </c>
      <c r="G713" s="2">
        <v>4060.08</v>
      </c>
      <c r="H713" t="str">
        <f>"BOL#23151/PCT#1"</f>
        <v>BOL#23151/PCT#1</v>
      </c>
    </row>
    <row r="714" spans="1:8" x14ac:dyDescent="0.25">
      <c r="E714" t="str">
        <f>"9401897353"</f>
        <v>9401897353</v>
      </c>
      <c r="F714" t="str">
        <f>"BOL#23177/PCT#1"</f>
        <v>BOL#23177/PCT#1</v>
      </c>
      <c r="G714" s="2">
        <v>2201.37</v>
      </c>
      <c r="H714" t="str">
        <f>"BOL#23177/PCT#1"</f>
        <v>BOL#23177/PCT#1</v>
      </c>
    </row>
    <row r="715" spans="1:8" x14ac:dyDescent="0.25">
      <c r="E715" t="str">
        <f>"9401899337"</f>
        <v>9401899337</v>
      </c>
      <c r="F715" t="str">
        <f>"ACCT#912922/RETURN FREIGHT/P1"</f>
        <v>ACCT#912922/RETURN FREIGHT/P1</v>
      </c>
      <c r="G715" s="2">
        <v>380.16</v>
      </c>
      <c r="H715" t="str">
        <f>"ACCT#912922/RETURN FREIGHT/P1"</f>
        <v>ACCT#912922/RETURN FREIGHT/P1</v>
      </c>
    </row>
    <row r="716" spans="1:8" x14ac:dyDescent="0.25">
      <c r="E716" t="str">
        <f>"9401899459"</f>
        <v>9401899459</v>
      </c>
      <c r="F716" t="str">
        <f>"ACCT#912897/BOL#23204/PCT#3"</f>
        <v>ACCT#912897/BOL#23204/PCT#3</v>
      </c>
      <c r="G716" s="2">
        <v>13876.56</v>
      </c>
      <c r="H716" t="str">
        <f>"ACCT#912897/BOL#23204/PCT#3"</f>
        <v>ACCT#912897/BOL#23204/PCT#3</v>
      </c>
    </row>
    <row r="717" spans="1:8" x14ac:dyDescent="0.25">
      <c r="E717" t="str">
        <f>"9401899636"</f>
        <v>9401899636</v>
      </c>
      <c r="F717" t="str">
        <f>"ACCT#912897/BOL#23209/PCT#3"</f>
        <v>ACCT#912897/BOL#23209/PCT#3</v>
      </c>
      <c r="G717" s="2">
        <v>13953.44</v>
      </c>
      <c r="H717" t="str">
        <f>"ACCT#912897/BOL#23209/PCT#3"</f>
        <v>ACCT#912897/BOL#23209/PCT#3</v>
      </c>
    </row>
    <row r="718" spans="1:8" x14ac:dyDescent="0.25">
      <c r="E718" t="str">
        <f>"9401900433"</f>
        <v>9401900433</v>
      </c>
      <c r="F718" t="str">
        <f>"ACCT#912897/BOL#23213/PCT#3"</f>
        <v>ACCT#912897/BOL#23213/PCT#3</v>
      </c>
      <c r="G718" s="2">
        <v>13036.39</v>
      </c>
      <c r="H718" t="str">
        <f>"ACCT#912897/BOL#23213/PCT#3"</f>
        <v>ACCT#912897/BOL#23213/PCT#3</v>
      </c>
    </row>
    <row r="719" spans="1:8" x14ac:dyDescent="0.25">
      <c r="E719" t="str">
        <f>"9401904427"</f>
        <v>9401904427</v>
      </c>
      <c r="F719" t="str">
        <f>"ACCT#912897/BOL#23262/PCT#3"</f>
        <v>ACCT#912897/BOL#23262/PCT#3</v>
      </c>
      <c r="G719" s="2">
        <v>10796.21</v>
      </c>
      <c r="H719" t="str">
        <f>"ACCT#912897/BOL#23262/PCT#3"</f>
        <v>ACCT#912897/BOL#23262/PCT#3</v>
      </c>
    </row>
    <row r="720" spans="1:8" x14ac:dyDescent="0.25">
      <c r="A720" t="s">
        <v>200</v>
      </c>
      <c r="B720">
        <v>77989</v>
      </c>
      <c r="C720" s="3">
        <v>542</v>
      </c>
      <c r="D720" s="1">
        <v>43325</v>
      </c>
      <c r="E720" t="str">
        <f>"201808082847"</f>
        <v>201808082847</v>
      </c>
      <c r="F720" t="str">
        <f>"SANE EXAM-CASE# 18-S-01237 3/8"</f>
        <v>SANE EXAM-CASE# 18-S-01237 3/8</v>
      </c>
      <c r="G720" s="2">
        <v>542</v>
      </c>
    </row>
    <row r="721" spans="1:9" x14ac:dyDescent="0.25">
      <c r="A721" t="s">
        <v>201</v>
      </c>
      <c r="B721">
        <v>77990</v>
      </c>
      <c r="C721" s="3">
        <v>54.41</v>
      </c>
      <c r="D721" s="1">
        <v>43325</v>
      </c>
      <c r="E721" t="str">
        <f>"201808082866"</f>
        <v>201808082866</v>
      </c>
      <c r="F721" t="str">
        <f>"INDIGENT HEALTH"</f>
        <v>INDIGENT HEALTH</v>
      </c>
      <c r="G721" s="2">
        <v>54.41</v>
      </c>
      <c r="H721" t="str">
        <f>"INDIGENT HEALTH"</f>
        <v>INDIGENT HEALTH</v>
      </c>
    </row>
    <row r="722" spans="1:9" x14ac:dyDescent="0.25">
      <c r="A722" t="s">
        <v>202</v>
      </c>
      <c r="B722">
        <v>78294</v>
      </c>
      <c r="C722" s="3">
        <v>95.98</v>
      </c>
      <c r="D722" s="1">
        <v>43339</v>
      </c>
      <c r="E722" t="str">
        <f>"6-270-41313"</f>
        <v>6-270-41313</v>
      </c>
      <c r="F722" t="str">
        <f>"ACCT#1305-8295-8/DIST ATTNY"</f>
        <v>ACCT#1305-8295-8/DIST ATTNY</v>
      </c>
      <c r="G722" s="2">
        <v>29.14</v>
      </c>
      <c r="H722" t="str">
        <f>"ACCT#1305-8295-8/DIST ATTNY"</f>
        <v>ACCT#1305-8295-8/DIST ATTNY</v>
      </c>
    </row>
    <row r="723" spans="1:9" x14ac:dyDescent="0.25">
      <c r="E723" t="str">
        <f>"6-270-55295"</f>
        <v>6-270-55295</v>
      </c>
      <c r="F723" t="str">
        <f>"ACCT#4702-9210-5/AUDITOR"</f>
        <v>ACCT#4702-9210-5/AUDITOR</v>
      </c>
      <c r="G723" s="2">
        <v>66.84</v>
      </c>
      <c r="H723" t="str">
        <f>"ACCT#4702-9210-5/AUDITOR"</f>
        <v>ACCT#4702-9210-5/AUDITOR</v>
      </c>
    </row>
    <row r="724" spans="1:9" x14ac:dyDescent="0.25">
      <c r="A724" t="s">
        <v>203</v>
      </c>
      <c r="B724">
        <v>78295</v>
      </c>
      <c r="C724" s="3">
        <v>153.96</v>
      </c>
      <c r="D724" s="1">
        <v>43339</v>
      </c>
      <c r="E724" t="str">
        <f>"6055596"</f>
        <v>6055596</v>
      </c>
      <c r="F724" t="str">
        <f>"CUST#306066/CCP WATER LINE"</f>
        <v>CUST#306066/CCP WATER LINE</v>
      </c>
      <c r="G724" s="2">
        <v>153.96</v>
      </c>
      <c r="H724" t="str">
        <f>"CUST#306066/CCP WATER LINE"</f>
        <v>CUST#306066/CCP WATER LINE</v>
      </c>
    </row>
    <row r="725" spans="1:9" x14ac:dyDescent="0.25">
      <c r="A725" t="s">
        <v>204</v>
      </c>
      <c r="B725">
        <v>77991</v>
      </c>
      <c r="C725" s="3">
        <v>12.5</v>
      </c>
      <c r="D725" s="1">
        <v>43325</v>
      </c>
      <c r="E725" t="s">
        <v>205</v>
      </c>
      <c r="F725" t="s">
        <v>206</v>
      </c>
      <c r="G725" s="2" t="str">
        <f>"RESTITUTION-K. PURCELL"</f>
        <v>RESTITUTION-K. PURCELL</v>
      </c>
      <c r="H725" t="str">
        <f>"210-0000"</f>
        <v>210-0000</v>
      </c>
      <c r="I725" t="str">
        <f>""</f>
        <v/>
      </c>
    </row>
    <row r="726" spans="1:9" x14ac:dyDescent="0.25">
      <c r="A726" t="s">
        <v>207</v>
      </c>
      <c r="B726">
        <v>77992</v>
      </c>
      <c r="C726" s="3">
        <v>3600</v>
      </c>
      <c r="D726" s="1">
        <v>43325</v>
      </c>
      <c r="E726" t="str">
        <f>"19971-4"</f>
        <v>19971-4</v>
      </c>
      <c r="F726" t="str">
        <f>"CLIENT ID:19971"</f>
        <v>CLIENT ID:19971</v>
      </c>
      <c r="G726" s="2">
        <v>3600</v>
      </c>
      <c r="H726" t="str">
        <f>"CLIENT ID:19971"</f>
        <v>CLIENT ID:19971</v>
      </c>
    </row>
    <row r="727" spans="1:9" x14ac:dyDescent="0.25">
      <c r="A727" t="s">
        <v>208</v>
      </c>
      <c r="B727">
        <v>77993</v>
      </c>
      <c r="C727" s="3">
        <v>17368.75</v>
      </c>
      <c r="D727" s="1">
        <v>43325</v>
      </c>
      <c r="E727" t="str">
        <f>"NP53800558"</f>
        <v>NP53800558</v>
      </c>
      <c r="F727" t="str">
        <f>"INV NP53800558"</f>
        <v>INV NP53800558</v>
      </c>
      <c r="G727" s="2">
        <v>15422.15</v>
      </c>
      <c r="H727" t="str">
        <f>"INV NP53800558"</f>
        <v>INV NP53800558</v>
      </c>
    </row>
    <row r="728" spans="1:9" x14ac:dyDescent="0.25">
      <c r="E728" t="str">
        <f>"NP53800582"</f>
        <v>NP53800582</v>
      </c>
      <c r="F728" t="str">
        <f>"STMT NP53800582"</f>
        <v>STMT NP53800582</v>
      </c>
      <c r="G728" s="2">
        <v>566.95000000000005</v>
      </c>
      <c r="H728" t="str">
        <f>"Animal Services"</f>
        <v>Animal Services</v>
      </c>
    </row>
    <row r="729" spans="1:9" x14ac:dyDescent="0.25">
      <c r="E729" t="str">
        <f>"NP53900522 08/01"</f>
        <v>NP53900522 08/01</v>
      </c>
      <c r="F729" t="str">
        <f>"NP53900522"</f>
        <v>NP53900522</v>
      </c>
      <c r="G729" s="2">
        <v>1334.19</v>
      </c>
      <c r="H729" t="str">
        <f>"IT"</f>
        <v>IT</v>
      </c>
    </row>
    <row r="730" spans="1:9" x14ac:dyDescent="0.25">
      <c r="E730" t="str">
        <f>""</f>
        <v/>
      </c>
      <c r="F730" t="str">
        <f>""</f>
        <v/>
      </c>
      <c r="H730" t="str">
        <f>"Engineer"</f>
        <v>Engineer</v>
      </c>
    </row>
    <row r="731" spans="1:9" x14ac:dyDescent="0.25">
      <c r="E731" t="str">
        <f>""</f>
        <v/>
      </c>
      <c r="F731" t="str">
        <f>""</f>
        <v/>
      </c>
      <c r="H731" t="str">
        <f>"Sign SHop"</f>
        <v>Sign SHop</v>
      </c>
    </row>
    <row r="732" spans="1:9" x14ac:dyDescent="0.25">
      <c r="E732" t="str">
        <f>""</f>
        <v/>
      </c>
      <c r="F732" t="str">
        <f>""</f>
        <v/>
      </c>
      <c r="H732" t="str">
        <f>"Animal"</f>
        <v>Animal</v>
      </c>
    </row>
    <row r="733" spans="1:9" x14ac:dyDescent="0.25">
      <c r="E733" t="str">
        <f>""</f>
        <v/>
      </c>
      <c r="F733" t="str">
        <f>""</f>
        <v/>
      </c>
      <c r="H733" t="str">
        <f>"Environmental"</f>
        <v>Environmental</v>
      </c>
    </row>
    <row r="734" spans="1:9" x14ac:dyDescent="0.25">
      <c r="E734" t="str">
        <f>""</f>
        <v/>
      </c>
      <c r="F734" t="str">
        <f>""</f>
        <v/>
      </c>
      <c r="H734" t="str">
        <f>"Habitat"</f>
        <v>Habitat</v>
      </c>
    </row>
    <row r="735" spans="1:9" x14ac:dyDescent="0.25">
      <c r="E735" t="str">
        <f>""</f>
        <v/>
      </c>
      <c r="F735" t="str">
        <f>""</f>
        <v/>
      </c>
      <c r="H735" t="str">
        <f>"Ag"</f>
        <v>Ag</v>
      </c>
    </row>
    <row r="736" spans="1:9" x14ac:dyDescent="0.25">
      <c r="E736" t="str">
        <f>""</f>
        <v/>
      </c>
      <c r="F736" t="str">
        <f>""</f>
        <v/>
      </c>
      <c r="H736" t="str">
        <f>"PCt 1"</f>
        <v>PCt 1</v>
      </c>
    </row>
    <row r="737" spans="1:9" x14ac:dyDescent="0.25">
      <c r="E737" t="str">
        <f>""</f>
        <v/>
      </c>
      <c r="F737" t="str">
        <f>""</f>
        <v/>
      </c>
      <c r="H737" t="str">
        <f>"Pct 2"</f>
        <v>Pct 2</v>
      </c>
    </row>
    <row r="738" spans="1:9" x14ac:dyDescent="0.25">
      <c r="E738" t="str">
        <f>"NP53951938"</f>
        <v>NP53951938</v>
      </c>
      <c r="F738" t="str">
        <f>"Stmt NP53951938"</f>
        <v>Stmt NP53951938</v>
      </c>
      <c r="G738" s="2">
        <v>45.46</v>
      </c>
      <c r="H738" t="str">
        <f>"Natlie"</f>
        <v>Natlie</v>
      </c>
    </row>
    <row r="739" spans="1:9" x14ac:dyDescent="0.25">
      <c r="A739" t="s">
        <v>208</v>
      </c>
      <c r="B739">
        <v>78296</v>
      </c>
      <c r="C739" s="3">
        <v>14832.26</v>
      </c>
      <c r="D739" s="1">
        <v>43339</v>
      </c>
      <c r="E739" t="str">
        <f>"NP53951913"</f>
        <v>NP53951913</v>
      </c>
      <c r="F739" t="str">
        <f>"INV NP53951913"</f>
        <v>INV NP53951913</v>
      </c>
      <c r="G739" s="2">
        <v>14832.26</v>
      </c>
      <c r="H739" t="str">
        <f>"INV NP53951913"</f>
        <v>INV NP53951913</v>
      </c>
    </row>
    <row r="740" spans="1:9" x14ac:dyDescent="0.25">
      <c r="A740" t="s">
        <v>209</v>
      </c>
      <c r="B740">
        <v>78297</v>
      </c>
      <c r="C740" s="3">
        <v>337.1</v>
      </c>
      <c r="D740" s="1">
        <v>43339</v>
      </c>
      <c r="E740" t="str">
        <f>"8473280"</f>
        <v>8473280</v>
      </c>
      <c r="F740" t="str">
        <f>"ACCT#80975-001/PCT#3"</f>
        <v>ACCT#80975-001/PCT#3</v>
      </c>
      <c r="G740" s="2">
        <v>337.1</v>
      </c>
      <c r="H740" t="str">
        <f>"ACCT#80975-001/PCT#3"</f>
        <v>ACCT#80975-001/PCT#3</v>
      </c>
    </row>
    <row r="741" spans="1:9" x14ac:dyDescent="0.25">
      <c r="A741" t="s">
        <v>210</v>
      </c>
      <c r="B741">
        <v>77994</v>
      </c>
      <c r="C741" s="3">
        <v>50</v>
      </c>
      <c r="D741" s="1">
        <v>43325</v>
      </c>
      <c r="E741" t="s">
        <v>211</v>
      </c>
      <c r="F741" t="s">
        <v>212</v>
      </c>
      <c r="G741" s="2" t="str">
        <f>"RESTITUTION-D. CORKILL"</f>
        <v>RESTITUTION-D. CORKILL</v>
      </c>
      <c r="H741" t="str">
        <f>"210-0000"</f>
        <v>210-0000</v>
      </c>
      <c r="I741" t="str">
        <f>""</f>
        <v/>
      </c>
    </row>
    <row r="742" spans="1:9" x14ac:dyDescent="0.25">
      <c r="A742" t="s">
        <v>213</v>
      </c>
      <c r="B742">
        <v>999999</v>
      </c>
      <c r="C742" s="3">
        <v>1025</v>
      </c>
      <c r="D742" s="1">
        <v>43326</v>
      </c>
      <c r="E742" t="str">
        <f>"201807242386"</f>
        <v>201807242386</v>
      </c>
      <c r="F742" t="str">
        <f>"16 324"</f>
        <v>16 324</v>
      </c>
      <c r="G742" s="2">
        <v>400</v>
      </c>
      <c r="H742" t="str">
        <f>"16 324"</f>
        <v>16 324</v>
      </c>
    </row>
    <row r="743" spans="1:9" x14ac:dyDescent="0.25">
      <c r="E743" t="str">
        <f>"201808082734"</f>
        <v>201808082734</v>
      </c>
      <c r="F743" t="str">
        <f>"55 794  56 127"</f>
        <v>55 794  56 127</v>
      </c>
      <c r="G743" s="2">
        <v>375</v>
      </c>
      <c r="H743" t="str">
        <f>"55 794  56 127"</f>
        <v>55 794  56 127</v>
      </c>
    </row>
    <row r="744" spans="1:9" x14ac:dyDescent="0.25">
      <c r="E744" t="str">
        <f>"201808082735"</f>
        <v>201808082735</v>
      </c>
      <c r="F744" t="str">
        <f>"JP3 NO:30612018A"</f>
        <v>JP3 NO:30612018A</v>
      </c>
      <c r="G744" s="2">
        <v>250</v>
      </c>
      <c r="H744" t="str">
        <f>"JP3 NO:30612018A"</f>
        <v>JP3 NO:30612018A</v>
      </c>
    </row>
    <row r="745" spans="1:9" x14ac:dyDescent="0.25">
      <c r="A745" t="s">
        <v>214</v>
      </c>
      <c r="B745">
        <v>77995</v>
      </c>
      <c r="C745" s="3">
        <v>1000</v>
      </c>
      <c r="D745" s="1">
        <v>43325</v>
      </c>
      <c r="E745" t="str">
        <f>"BASCO1001_FM"</f>
        <v>BASCO1001_FM</v>
      </c>
      <c r="F745" t="str">
        <f>"RESEARCH VACATION HOMES/INFO"</f>
        <v>RESEARCH VACATION HOMES/INFO</v>
      </c>
      <c r="G745" s="2">
        <v>1000</v>
      </c>
      <c r="H745" t="str">
        <f>"RESEARCH VACATION HOMES/INFO"</f>
        <v>RESEARCH VACATION HOMES/INFO</v>
      </c>
    </row>
    <row r="746" spans="1:9" x14ac:dyDescent="0.25">
      <c r="A746" t="s">
        <v>215</v>
      </c>
      <c r="B746">
        <v>999999</v>
      </c>
      <c r="C746" s="3">
        <v>470</v>
      </c>
      <c r="D746" s="1">
        <v>43326</v>
      </c>
      <c r="E746" t="str">
        <f>"AP376498"</f>
        <v>AP376498</v>
      </c>
      <c r="F746" t="str">
        <f>"ACCT#3324/PCT#3"</f>
        <v>ACCT#3324/PCT#3</v>
      </c>
      <c r="G746" s="2">
        <v>252.5</v>
      </c>
      <c r="H746" t="str">
        <f>"ACCT#3324/PCT#3"</f>
        <v>ACCT#3324/PCT#3</v>
      </c>
    </row>
    <row r="747" spans="1:9" x14ac:dyDescent="0.25">
      <c r="E747" t="str">
        <f>"AP377206"</f>
        <v>AP377206</v>
      </c>
      <c r="F747" t="str">
        <f>"ACCT#3324/PCT#3"</f>
        <v>ACCT#3324/PCT#3</v>
      </c>
      <c r="G747" s="2">
        <v>217.5</v>
      </c>
      <c r="H747" t="str">
        <f>"ACCT#3324/PCT#3"</f>
        <v>ACCT#3324/PCT#3</v>
      </c>
    </row>
    <row r="748" spans="1:9" x14ac:dyDescent="0.25">
      <c r="A748" t="s">
        <v>216</v>
      </c>
      <c r="B748">
        <v>999999</v>
      </c>
      <c r="C748" s="3">
        <v>617.85</v>
      </c>
      <c r="D748" s="1">
        <v>43326</v>
      </c>
      <c r="E748" t="str">
        <f>"105991"</f>
        <v>105991</v>
      </c>
      <c r="F748" t="str">
        <f>"CRIMINAL COURT DOCKET"</f>
        <v>CRIMINAL COURT DOCKET</v>
      </c>
      <c r="G748" s="2">
        <v>124.44</v>
      </c>
      <c r="H748" t="str">
        <f>"CRIMINAL COURT DOCKET"</f>
        <v>CRIMINAL COURT DOCKET</v>
      </c>
    </row>
    <row r="749" spans="1:9" x14ac:dyDescent="0.25">
      <c r="E749" t="str">
        <f>"106098"</f>
        <v>106098</v>
      </c>
      <c r="F749" t="str">
        <f>"INV GC 106098"</f>
        <v>INV GC 106098</v>
      </c>
      <c r="G749" s="2">
        <v>40.96</v>
      </c>
      <c r="H749" t="str">
        <f>"INV GC 106098"</f>
        <v>INV GC 106098</v>
      </c>
    </row>
    <row r="750" spans="1:9" x14ac:dyDescent="0.25">
      <c r="E750" t="str">
        <f>"106119"</f>
        <v>106119</v>
      </c>
      <c r="F750" t="str">
        <f>"APPLICATION/AFFIDAVIT/DIST CT"</f>
        <v>APPLICATION/AFFIDAVIT/DIST CT</v>
      </c>
      <c r="G750" s="2">
        <v>291.49</v>
      </c>
      <c r="H750" t="str">
        <f>"APPLICATION/AFFIDAVIT/DIST CT"</f>
        <v>APPLICATION/AFFIDAVIT/DIST CT</v>
      </c>
    </row>
    <row r="751" spans="1:9" x14ac:dyDescent="0.25">
      <c r="E751" t="str">
        <f>"106164"</f>
        <v>106164</v>
      </c>
      <c r="F751" t="str">
        <f>"OFFICE SUPPLIES/EXTENSION OFF"</f>
        <v>OFFICE SUPPLIES/EXTENSION OFF</v>
      </c>
      <c r="G751" s="2">
        <v>120</v>
      </c>
      <c r="H751" t="str">
        <f>"OFFICE SUPPLIES/EXTENSION OFF"</f>
        <v>OFFICE SUPPLIES/EXTENSION OFF</v>
      </c>
    </row>
    <row r="752" spans="1:9" x14ac:dyDescent="0.25">
      <c r="E752" t="str">
        <f>"GC 106097"</f>
        <v>GC 106097</v>
      </c>
      <c r="F752" t="str">
        <f>"INV GC 106097"</f>
        <v>INV GC 106097</v>
      </c>
      <c r="G752" s="2">
        <v>40.96</v>
      </c>
      <c r="H752" t="str">
        <f>"INV GC 106097"</f>
        <v>INV GC 106097</v>
      </c>
    </row>
    <row r="753" spans="1:8" x14ac:dyDescent="0.25">
      <c r="A753" t="s">
        <v>216</v>
      </c>
      <c r="B753">
        <v>999999</v>
      </c>
      <c r="C753" s="3">
        <v>321.49</v>
      </c>
      <c r="D753" s="1">
        <v>43340</v>
      </c>
      <c r="E753" t="str">
        <f>"106240"</f>
        <v>106240</v>
      </c>
      <c r="F753" t="str">
        <f>"INV GC 106240"</f>
        <v>INV GC 106240</v>
      </c>
      <c r="G753" s="2">
        <v>175.14</v>
      </c>
      <c r="H753" t="str">
        <f>"INV GC 106240"</f>
        <v>INV GC 106240</v>
      </c>
    </row>
    <row r="754" spans="1:8" x14ac:dyDescent="0.25">
      <c r="E754" t="str">
        <f>"106241"</f>
        <v>106241</v>
      </c>
      <c r="F754" t="str">
        <f>"INV GC 106241"</f>
        <v>INV GC 106241</v>
      </c>
      <c r="G754" s="2">
        <v>40.96</v>
      </c>
      <c r="H754" t="str">
        <f>"INV GC 106241"</f>
        <v>INV GC 106241</v>
      </c>
    </row>
    <row r="755" spans="1:8" x14ac:dyDescent="0.25">
      <c r="E755" t="str">
        <f>"106290"</f>
        <v>106290</v>
      </c>
      <c r="F755" t="str">
        <f>"WARNINGS/NOTICE TO APPEAR"</f>
        <v>WARNINGS/NOTICE TO APPEAR</v>
      </c>
      <c r="G755" s="2">
        <v>105.39</v>
      </c>
      <c r="H755" t="str">
        <f>"WARNINGS/NOTICE TO APPEAR"</f>
        <v>WARNINGS/NOTICE TO APPEAR</v>
      </c>
    </row>
    <row r="756" spans="1:8" x14ac:dyDescent="0.25">
      <c r="A756" t="s">
        <v>217</v>
      </c>
      <c r="B756">
        <v>78298</v>
      </c>
      <c r="C756" s="3">
        <v>661.85</v>
      </c>
      <c r="D756" s="1">
        <v>43339</v>
      </c>
      <c r="E756" t="str">
        <f>"010387300"</f>
        <v>010387300</v>
      </c>
      <c r="F756" t="str">
        <f>"INV 010387300"</f>
        <v>INV 010387300</v>
      </c>
      <c r="G756" s="2">
        <v>661.85</v>
      </c>
      <c r="H756" t="str">
        <f>"INV 010387300"</f>
        <v>INV 010387300</v>
      </c>
    </row>
    <row r="757" spans="1:8" x14ac:dyDescent="0.25">
      <c r="E757" t="str">
        <f>""</f>
        <v/>
      </c>
      <c r="F757" t="str">
        <f>""</f>
        <v/>
      </c>
      <c r="H757" t="str">
        <f>""</f>
        <v/>
      </c>
    </row>
    <row r="758" spans="1:8" x14ac:dyDescent="0.25">
      <c r="A758" t="s">
        <v>218</v>
      </c>
      <c r="B758">
        <v>999999</v>
      </c>
      <c r="C758" s="3">
        <v>7709</v>
      </c>
      <c r="D758" s="1">
        <v>43326</v>
      </c>
      <c r="E758" t="str">
        <f>"42785227872"</f>
        <v>42785227872</v>
      </c>
      <c r="F758" t="str">
        <f>"Courthouse Roof Leak"</f>
        <v>Courthouse Roof Leak</v>
      </c>
      <c r="G758" s="2">
        <v>3734</v>
      </c>
      <c r="H758" t="str">
        <f>"Courthouse Roof Leak"</f>
        <v>Courthouse Roof Leak</v>
      </c>
    </row>
    <row r="759" spans="1:8" x14ac:dyDescent="0.25">
      <c r="E759" t="str">
        <f>"8808"</f>
        <v>8808</v>
      </c>
      <c r="F759" t="str">
        <f>"Inv# 8808"</f>
        <v>Inv# 8808</v>
      </c>
      <c r="G759" s="2">
        <v>3975</v>
      </c>
      <c r="H759" t="str">
        <f>"Payment"</f>
        <v>Payment</v>
      </c>
    </row>
    <row r="760" spans="1:8" x14ac:dyDescent="0.25">
      <c r="A760" t="s">
        <v>219</v>
      </c>
      <c r="B760">
        <v>999999</v>
      </c>
      <c r="C760" s="3">
        <v>1864.84</v>
      </c>
      <c r="D760" s="1">
        <v>43326</v>
      </c>
      <c r="E760" t="str">
        <f>"N53088 N53172 +"</f>
        <v>N53088 N53172 +</v>
      </c>
      <c r="F760" t="str">
        <f>"Shirts for Road &amp; Bridge"</f>
        <v>Shirts for Road &amp; Bridge</v>
      </c>
      <c r="G760" s="2">
        <v>1802.66</v>
      </c>
      <c r="H760" t="str">
        <f>"GG1024MSQ - M"</f>
        <v>GG1024MSQ - M</v>
      </c>
    </row>
    <row r="761" spans="1:8" x14ac:dyDescent="0.25">
      <c r="E761" t="str">
        <f>""</f>
        <v/>
      </c>
      <c r="F761" t="str">
        <f>""</f>
        <v/>
      </c>
      <c r="H761" t="str">
        <f>"GG1024MSQ - 2XL"</f>
        <v>GG1024MSQ - 2XL</v>
      </c>
    </row>
    <row r="762" spans="1:8" x14ac:dyDescent="0.25">
      <c r="E762" t="str">
        <f>""</f>
        <v/>
      </c>
      <c r="F762" t="str">
        <f>""</f>
        <v/>
      </c>
      <c r="H762" t="str">
        <f>"GG102GUN"</f>
        <v>GG102GUN</v>
      </c>
    </row>
    <row r="763" spans="1:8" x14ac:dyDescent="0.25">
      <c r="E763" t="str">
        <f>""</f>
        <v/>
      </c>
      <c r="F763" t="str">
        <f>""</f>
        <v/>
      </c>
      <c r="H763" t="str">
        <f>"GG1024CRB"</f>
        <v>GG1024CRB</v>
      </c>
    </row>
    <row r="764" spans="1:8" x14ac:dyDescent="0.25">
      <c r="E764" t="str">
        <f>""</f>
        <v/>
      </c>
      <c r="F764" t="str">
        <f>""</f>
        <v/>
      </c>
      <c r="H764" t="str">
        <f>"GG1024SLT - XL"</f>
        <v>GG1024SLT - XL</v>
      </c>
    </row>
    <row r="765" spans="1:8" x14ac:dyDescent="0.25">
      <c r="E765" t="str">
        <f>""</f>
        <v/>
      </c>
      <c r="F765" t="str">
        <f>""</f>
        <v/>
      </c>
      <c r="H765" t="str">
        <f>"GG1024SLT - 2XL"</f>
        <v>GG1024SLT - 2XL</v>
      </c>
    </row>
    <row r="766" spans="1:8" x14ac:dyDescent="0.25">
      <c r="E766" t="str">
        <f>""</f>
        <v/>
      </c>
      <c r="F766" t="str">
        <f>""</f>
        <v/>
      </c>
      <c r="H766" t="str">
        <f>"GG1024DPW"</f>
        <v>GG1024DPW</v>
      </c>
    </row>
    <row r="767" spans="1:8" x14ac:dyDescent="0.25">
      <c r="E767" t="str">
        <f>""</f>
        <v/>
      </c>
      <c r="F767" t="str">
        <f>""</f>
        <v/>
      </c>
      <c r="H767" t="str">
        <f>"GG1023DPW"</f>
        <v>GG1023DPW</v>
      </c>
    </row>
    <row r="768" spans="1:8" x14ac:dyDescent="0.25">
      <c r="E768" t="str">
        <f>""</f>
        <v/>
      </c>
      <c r="F768" t="str">
        <f>""</f>
        <v/>
      </c>
      <c r="H768" t="str">
        <f>"GG1023OLV"</f>
        <v>GG1023OLV</v>
      </c>
    </row>
    <row r="769" spans="1:8" x14ac:dyDescent="0.25">
      <c r="E769" t="str">
        <f>""</f>
        <v/>
      </c>
      <c r="F769" t="str">
        <f>""</f>
        <v/>
      </c>
      <c r="H769" t="str">
        <f>"GG1023MSQ"</f>
        <v>GG1023MSQ</v>
      </c>
    </row>
    <row r="770" spans="1:8" x14ac:dyDescent="0.25">
      <c r="E770" t="str">
        <f>""</f>
        <v/>
      </c>
      <c r="F770" t="str">
        <f>""</f>
        <v/>
      </c>
      <c r="H770" t="str">
        <f>"GG1023RVR"</f>
        <v>GG1023RVR</v>
      </c>
    </row>
    <row r="771" spans="1:8" x14ac:dyDescent="0.25">
      <c r="E771" t="str">
        <f>"N53399"</f>
        <v>N53399</v>
      </c>
      <c r="F771" t="str">
        <f>"INV N53399"</f>
        <v>INV N53399</v>
      </c>
      <c r="G771" s="2">
        <v>62.18</v>
      </c>
      <c r="H771" t="str">
        <f>"INV N53399"</f>
        <v>INV N53399</v>
      </c>
    </row>
    <row r="772" spans="1:8" x14ac:dyDescent="0.25">
      <c r="A772" t="s">
        <v>219</v>
      </c>
      <c r="B772">
        <v>999999</v>
      </c>
      <c r="C772" s="3">
        <v>661.27</v>
      </c>
      <c r="D772" s="1">
        <v>43340</v>
      </c>
      <c r="E772" t="str">
        <f>"N54105"</f>
        <v>N54105</v>
      </c>
      <c r="F772" t="str">
        <f>"CUST#02260/ORD#S46196/ANIMAL C"</f>
        <v>CUST#02260/ORD#S46196/ANIMAL C</v>
      </c>
      <c r="G772" s="2">
        <v>44.03</v>
      </c>
      <c r="H772" t="str">
        <f>"CUST#02260/ANIMAL CONTROL"</f>
        <v>CUST#02260/ANIMAL CONTROL</v>
      </c>
    </row>
    <row r="773" spans="1:8" x14ac:dyDescent="0.25">
      <c r="E773" t="str">
        <f>"N54106"</f>
        <v>N54106</v>
      </c>
      <c r="F773" t="str">
        <f>"CUST#02260/ORD#S46280/ANIMAL C"</f>
        <v>CUST#02260/ORD#S46280/ANIMAL C</v>
      </c>
      <c r="G773" s="2">
        <v>227.68</v>
      </c>
      <c r="H773" t="str">
        <f>"CUST#02260/ANIMAL SHELTER"</f>
        <v>CUST#02260/ANIMAL SHELTER</v>
      </c>
    </row>
    <row r="774" spans="1:8" x14ac:dyDescent="0.25">
      <c r="E774" t="str">
        <f>"N54188"</f>
        <v>N54188</v>
      </c>
      <c r="F774" t="str">
        <f>"CUST#02260/ORD#S46196/ANIMAL C"</f>
        <v>CUST#02260/ORD#S46196/ANIMAL C</v>
      </c>
      <c r="G774" s="2">
        <v>389.56</v>
      </c>
      <c r="H774" t="str">
        <f>"CUST#02260/ORD#S46196/ANIMAL C"</f>
        <v>CUST#02260/ORD#S46196/ANIMAL C</v>
      </c>
    </row>
    <row r="775" spans="1:8" x14ac:dyDescent="0.25">
      <c r="A775" t="s">
        <v>220</v>
      </c>
      <c r="B775">
        <v>78299</v>
      </c>
      <c r="C775" s="3">
        <v>346</v>
      </c>
      <c r="D775" s="1">
        <v>43339</v>
      </c>
      <c r="E775" t="str">
        <f>"625-103379"</f>
        <v>625-103379</v>
      </c>
      <c r="F775" t="str">
        <f>"CUST#535538/PCT#2"</f>
        <v>CUST#535538/PCT#2</v>
      </c>
      <c r="G775" s="2">
        <v>346</v>
      </c>
      <c r="H775" t="str">
        <f>"CUST#535538/PCT#2"</f>
        <v>CUST#535538/PCT#2</v>
      </c>
    </row>
    <row r="776" spans="1:8" x14ac:dyDescent="0.25">
      <c r="A776" t="s">
        <v>221</v>
      </c>
      <c r="B776">
        <v>78300</v>
      </c>
      <c r="C776" s="3">
        <v>417.17</v>
      </c>
      <c r="D776" s="1">
        <v>43339</v>
      </c>
      <c r="E776" t="str">
        <f>"S121926953.001"</f>
        <v>S121926953.001</v>
      </c>
      <c r="F776" t="str">
        <f>"INV S121926953.001"</f>
        <v>INV S121926953.001</v>
      </c>
      <c r="G776" s="2">
        <v>417.17</v>
      </c>
      <c r="H776" t="str">
        <f>"INV S121926953.001"</f>
        <v>INV S121926953.001</v>
      </c>
    </row>
    <row r="777" spans="1:8" x14ac:dyDescent="0.25">
      <c r="A777" t="s">
        <v>222</v>
      </c>
      <c r="B777">
        <v>77996</v>
      </c>
      <c r="C777" s="3">
        <v>600</v>
      </c>
      <c r="D777" s="1">
        <v>43325</v>
      </c>
      <c r="E777" t="str">
        <f>"1070"</f>
        <v>1070</v>
      </c>
      <c r="F777" t="str">
        <f>"TRANSPORT-W. EMERSON"</f>
        <v>TRANSPORT-W. EMERSON</v>
      </c>
      <c r="G777" s="2">
        <v>600</v>
      </c>
      <c r="H777" t="str">
        <f>"TRANSPORT-W. EMERSON"</f>
        <v>TRANSPORT-W. EMERSON</v>
      </c>
    </row>
    <row r="778" spans="1:8" x14ac:dyDescent="0.25">
      <c r="A778" t="s">
        <v>223</v>
      </c>
      <c r="B778">
        <v>77997</v>
      </c>
      <c r="C778" s="3">
        <v>241.15</v>
      </c>
      <c r="D778" s="1">
        <v>43325</v>
      </c>
      <c r="E778" t="str">
        <f>"1-168062"</f>
        <v>1-168062</v>
      </c>
      <c r="F778" t="str">
        <f>"INV 1-168062 / UNIT 4111"</f>
        <v>INV 1-168062 / UNIT 4111</v>
      </c>
      <c r="G778" s="2">
        <v>241.15</v>
      </c>
      <c r="H778" t="str">
        <f>"INV 1-168062"</f>
        <v>INV 1-168062</v>
      </c>
    </row>
    <row r="779" spans="1:8" x14ac:dyDescent="0.25">
      <c r="A779" t="s">
        <v>224</v>
      </c>
      <c r="B779">
        <v>77998</v>
      </c>
      <c r="C779" s="3">
        <v>5869.88</v>
      </c>
      <c r="D779" s="1">
        <v>43325</v>
      </c>
      <c r="E779" t="str">
        <f>"56030979"</f>
        <v>56030979</v>
      </c>
      <c r="F779" t="str">
        <f>"Industry Weapon Expansion"</f>
        <v>Industry Weapon Expansion</v>
      </c>
      <c r="G779" s="2">
        <v>5869.88</v>
      </c>
      <c r="H779" t="str">
        <f>"EXPANSION PAK"</f>
        <v>EXPANSION PAK</v>
      </c>
    </row>
    <row r="780" spans="1:8" x14ac:dyDescent="0.25">
      <c r="A780" t="s">
        <v>225</v>
      </c>
      <c r="B780">
        <v>77999</v>
      </c>
      <c r="C780" s="3">
        <v>30.96</v>
      </c>
      <c r="D780" s="1">
        <v>43325</v>
      </c>
      <c r="E780" t="str">
        <f>"9857070560"</f>
        <v>9857070560</v>
      </c>
      <c r="F780" t="str">
        <f>"INV 9857070560"</f>
        <v>INV 9857070560</v>
      </c>
      <c r="G780" s="2">
        <v>30.96</v>
      </c>
      <c r="H780" t="str">
        <f>"9857070560"</f>
        <v>9857070560</v>
      </c>
    </row>
    <row r="781" spans="1:8" x14ac:dyDescent="0.25">
      <c r="A781" t="s">
        <v>225</v>
      </c>
      <c r="B781">
        <v>78301</v>
      </c>
      <c r="C781" s="3">
        <v>319.39</v>
      </c>
      <c r="D781" s="1">
        <v>43339</v>
      </c>
      <c r="E781" t="str">
        <f>"9870416097"</f>
        <v>9870416097</v>
      </c>
      <c r="F781" t="str">
        <f>"INV 9870416097"</f>
        <v>INV 9870416097</v>
      </c>
      <c r="G781" s="2">
        <v>19.260000000000002</v>
      </c>
      <c r="H781" t="str">
        <f>"INV 9870416097"</f>
        <v>INV 9870416097</v>
      </c>
    </row>
    <row r="782" spans="1:8" x14ac:dyDescent="0.25">
      <c r="E782" t="str">
        <f>"9874186928"</f>
        <v>9874186928</v>
      </c>
      <c r="F782" t="str">
        <f>"INV 9874186928"</f>
        <v>INV 9874186928</v>
      </c>
      <c r="G782" s="2">
        <v>300.13</v>
      </c>
      <c r="H782" t="str">
        <f>"INV 9874186928"</f>
        <v>INV 9874186928</v>
      </c>
    </row>
    <row r="783" spans="1:8" x14ac:dyDescent="0.25">
      <c r="A783" t="s">
        <v>226</v>
      </c>
      <c r="B783">
        <v>999999</v>
      </c>
      <c r="C783" s="3">
        <v>157.9</v>
      </c>
      <c r="D783" s="1">
        <v>43326</v>
      </c>
      <c r="E783" t="str">
        <f>"0670235"</f>
        <v>0670235</v>
      </c>
      <c r="F783" t="str">
        <f>"INV 0670235"</f>
        <v>INV 0670235</v>
      </c>
      <c r="G783" s="2">
        <v>157.9</v>
      </c>
      <c r="H783" t="str">
        <f>"INV 0670235"</f>
        <v>INV 0670235</v>
      </c>
    </row>
    <row r="784" spans="1:8" x14ac:dyDescent="0.25">
      <c r="A784" t="s">
        <v>226</v>
      </c>
      <c r="B784">
        <v>999999</v>
      </c>
      <c r="C784" s="3">
        <v>12438.83</v>
      </c>
      <c r="D784" s="1">
        <v>43340</v>
      </c>
      <c r="E784" t="str">
        <f>"0671535"</f>
        <v>0671535</v>
      </c>
      <c r="F784" t="str">
        <f>"INV 0671535"</f>
        <v>INV 0671535</v>
      </c>
      <c r="G784" s="2">
        <v>783.98</v>
      </c>
      <c r="H784" t="str">
        <f>"INV 0671535"</f>
        <v>INV 0671535</v>
      </c>
    </row>
    <row r="785" spans="1:9" x14ac:dyDescent="0.25">
      <c r="E785" t="str">
        <f>"0671741"</f>
        <v>0671741</v>
      </c>
      <c r="F785" t="str">
        <f>"INV 0671741"</f>
        <v>INV 0671741</v>
      </c>
      <c r="G785" s="2">
        <v>179.85</v>
      </c>
      <c r="H785" t="str">
        <f>"INV 0671741"</f>
        <v>INV 0671741</v>
      </c>
    </row>
    <row r="786" spans="1:9" x14ac:dyDescent="0.25">
      <c r="E786" t="str">
        <f>"1770102"</f>
        <v>1770102</v>
      </c>
      <c r="F786" t="str">
        <f>"INV 1770102"</f>
        <v>INV 1770102</v>
      </c>
      <c r="G786" s="2">
        <v>11475</v>
      </c>
      <c r="H786" t="str">
        <f>"INV 1770102"</f>
        <v>INV 1770102</v>
      </c>
    </row>
    <row r="787" spans="1:9" x14ac:dyDescent="0.25">
      <c r="E787" t="str">
        <f>""</f>
        <v/>
      </c>
      <c r="F787" t="str">
        <f>""</f>
        <v/>
      </c>
      <c r="H787" t="str">
        <f>"INV 1770102"</f>
        <v>INV 1770102</v>
      </c>
    </row>
    <row r="788" spans="1:9" x14ac:dyDescent="0.25">
      <c r="E788" t="str">
        <f>""</f>
        <v/>
      </c>
      <c r="F788" t="str">
        <f>""</f>
        <v/>
      </c>
      <c r="H788" t="str">
        <f>"INV 1770102"</f>
        <v>INV 1770102</v>
      </c>
    </row>
    <row r="789" spans="1:9" x14ac:dyDescent="0.25">
      <c r="A789" t="s">
        <v>227</v>
      </c>
      <c r="B789">
        <v>999999</v>
      </c>
      <c r="C789" s="3">
        <v>3577.27</v>
      </c>
      <c r="D789" s="1">
        <v>43326</v>
      </c>
      <c r="E789" t="str">
        <f>"1535360"</f>
        <v>1535360</v>
      </c>
      <c r="F789" t="str">
        <f>"INV 1535360"</f>
        <v>INV 1535360</v>
      </c>
      <c r="G789" s="2">
        <v>2586.1999999999998</v>
      </c>
      <c r="H789" t="str">
        <f>"INV 1535360"</f>
        <v>INV 1535360</v>
      </c>
    </row>
    <row r="790" spans="1:9" x14ac:dyDescent="0.25">
      <c r="E790" t="str">
        <f>"1536152"</f>
        <v>1536152</v>
      </c>
      <c r="F790" t="str">
        <f>"CUST#0007014928/GEN SVCS"</f>
        <v>CUST#0007014928/GEN SVCS</v>
      </c>
      <c r="G790" s="2">
        <v>991.07</v>
      </c>
      <c r="H790" t="str">
        <f>"CUST#0007014928/GEN SVCS"</f>
        <v>CUST#0007014928/GEN SVCS</v>
      </c>
    </row>
    <row r="791" spans="1:9" x14ac:dyDescent="0.25">
      <c r="A791" t="s">
        <v>228</v>
      </c>
      <c r="B791">
        <v>78000</v>
      </c>
      <c r="C791" s="3">
        <v>56133.59</v>
      </c>
      <c r="D791" s="1">
        <v>43325</v>
      </c>
      <c r="E791" t="str">
        <f>"AVO 30601"</f>
        <v>AVO 30601</v>
      </c>
      <c r="F791" t="str">
        <f>"ENGINEERING SVCS THRU JULY2018"</f>
        <v>ENGINEERING SVCS THRU JULY2018</v>
      </c>
      <c r="G791" s="2">
        <v>56133.59</v>
      </c>
      <c r="H791" t="str">
        <f>"ENGINEERING SVCS THRU JULY2018"</f>
        <v>ENGINEERING SVCS THRU JULY2018</v>
      </c>
    </row>
    <row r="792" spans="1:9" x14ac:dyDescent="0.25">
      <c r="A792" t="s">
        <v>229</v>
      </c>
      <c r="B792">
        <v>78001</v>
      </c>
      <c r="C792" s="3">
        <v>671.22</v>
      </c>
      <c r="D792" s="1">
        <v>43325</v>
      </c>
      <c r="E792" t="str">
        <f>"201808082827"</f>
        <v>201808082827</v>
      </c>
      <c r="F792" t="str">
        <f>"LODGING"</f>
        <v>LODGING</v>
      </c>
      <c r="G792" s="2">
        <v>671.22</v>
      </c>
      <c r="H792" t="str">
        <f>"LODGING - B. GOMEZ"</f>
        <v>LODGING - B. GOMEZ</v>
      </c>
    </row>
    <row r="793" spans="1:9" x14ac:dyDescent="0.25">
      <c r="E793" t="str">
        <f>""</f>
        <v/>
      </c>
      <c r="F793" t="str">
        <f>""</f>
        <v/>
      </c>
      <c r="H793" t="str">
        <f>"LODGING - Z. CARTER"</f>
        <v>LODGING - Z. CARTER</v>
      </c>
    </row>
    <row r="794" spans="1:9" x14ac:dyDescent="0.25">
      <c r="A794" t="s">
        <v>230</v>
      </c>
      <c r="B794">
        <v>78002</v>
      </c>
      <c r="C794" s="3">
        <v>61</v>
      </c>
      <c r="D794" s="1">
        <v>43325</v>
      </c>
      <c r="E794" t="s">
        <v>93</v>
      </c>
      <c r="F794" t="s">
        <v>231</v>
      </c>
      <c r="G794" s="2" t="str">
        <f>"OVERPAYMENT"</f>
        <v>OVERPAYMENT</v>
      </c>
      <c r="H794" t="str">
        <f>"210-0000"</f>
        <v>210-0000</v>
      </c>
      <c r="I794" t="str">
        <f>""</f>
        <v/>
      </c>
    </row>
    <row r="795" spans="1:9" x14ac:dyDescent="0.25">
      <c r="A795" t="s">
        <v>232</v>
      </c>
      <c r="B795">
        <v>78003</v>
      </c>
      <c r="C795" s="3">
        <v>460.3</v>
      </c>
      <c r="D795" s="1">
        <v>43325</v>
      </c>
      <c r="E795" t="str">
        <f>"201808062648"</f>
        <v>201808062648</v>
      </c>
      <c r="F795" t="str">
        <f>"MILEAGE REIMBURSEMENT/PCT#2"</f>
        <v>MILEAGE REIMBURSEMENT/PCT#2</v>
      </c>
      <c r="G795" s="2">
        <v>319.69</v>
      </c>
      <c r="H795" t="str">
        <f>"MILEAGE REIMBURSEMENT/PCT#2"</f>
        <v>MILEAGE REIMBURSEMENT/PCT#2</v>
      </c>
    </row>
    <row r="796" spans="1:9" x14ac:dyDescent="0.25">
      <c r="E796" t="str">
        <f>"201808072718"</f>
        <v>201808072718</v>
      </c>
      <c r="F796" t="str">
        <f>"MILEAGE REIMBURSEMENT"</f>
        <v>MILEAGE REIMBURSEMENT</v>
      </c>
      <c r="G796" s="2">
        <v>140.61000000000001</v>
      </c>
      <c r="H796" t="str">
        <f>"MILEAGE REIMBURSEMENT"</f>
        <v>MILEAGE REIMBURSEMENT</v>
      </c>
    </row>
    <row r="797" spans="1:9" x14ac:dyDescent="0.25">
      <c r="A797" t="s">
        <v>232</v>
      </c>
      <c r="B797">
        <v>78302</v>
      </c>
      <c r="C797" s="3">
        <v>222.74</v>
      </c>
      <c r="D797" s="1">
        <v>43339</v>
      </c>
      <c r="E797" t="str">
        <f>"201808223026"</f>
        <v>201808223026</v>
      </c>
      <c r="F797" t="str">
        <f>"MILEAGE REIMBURSEMENT"</f>
        <v>MILEAGE REIMBURSEMENT</v>
      </c>
      <c r="G797" s="2">
        <v>222.74</v>
      </c>
      <c r="H797" t="str">
        <f>"MILEAGE REIMBURSEMENT"</f>
        <v>MILEAGE REIMBURSEMENT</v>
      </c>
    </row>
    <row r="798" spans="1:9" x14ac:dyDescent="0.25">
      <c r="A798" t="s">
        <v>233</v>
      </c>
      <c r="B798">
        <v>78004</v>
      </c>
      <c r="C798" s="3">
        <v>660.8</v>
      </c>
      <c r="D798" s="1">
        <v>43325</v>
      </c>
      <c r="E798" t="str">
        <f>"266363"</f>
        <v>266363</v>
      </c>
      <c r="F798" t="str">
        <f>"ITEM#0622010330/PCT#3"</f>
        <v>ITEM#0622010330/PCT#3</v>
      </c>
      <c r="G798" s="2">
        <v>660.8</v>
      </c>
      <c r="H798" t="str">
        <f>"ITEM#0622010330/PCT#3"</f>
        <v>ITEM#0622010330/PCT#3</v>
      </c>
    </row>
    <row r="799" spans="1:9" x14ac:dyDescent="0.25">
      <c r="A799" t="s">
        <v>234</v>
      </c>
      <c r="B799">
        <v>78005</v>
      </c>
      <c r="C799" s="3">
        <v>525</v>
      </c>
      <c r="D799" s="1">
        <v>43325</v>
      </c>
      <c r="E799" t="str">
        <f>"12222"</f>
        <v>12222</v>
      </c>
      <c r="F799" t="str">
        <f>"SERVICE  06/18/18"</f>
        <v>SERVICE  06/18/18</v>
      </c>
      <c r="G799" s="2">
        <v>225</v>
      </c>
      <c r="H799" t="str">
        <f>"SERVICE  06/18/18"</f>
        <v>SERVICE  06/18/18</v>
      </c>
    </row>
    <row r="800" spans="1:9" x14ac:dyDescent="0.25">
      <c r="E800" t="str">
        <f>"12576"</f>
        <v>12576</v>
      </c>
      <c r="F800" t="str">
        <f>"SERVICE  05/16/18"</f>
        <v>SERVICE  05/16/18</v>
      </c>
      <c r="G800" s="2">
        <v>75</v>
      </c>
      <c r="H800" t="str">
        <f>"SERVICE  05/16/18"</f>
        <v>SERVICE  05/16/18</v>
      </c>
    </row>
    <row r="801" spans="1:9" x14ac:dyDescent="0.25">
      <c r="E801" t="str">
        <f>"12931"</f>
        <v>12931</v>
      </c>
      <c r="F801" t="str">
        <f>"SERVICE"</f>
        <v>SERVICE</v>
      </c>
      <c r="G801" s="2">
        <v>150</v>
      </c>
      <c r="H801" t="str">
        <f>"SERVICE"</f>
        <v>SERVICE</v>
      </c>
    </row>
    <row r="802" spans="1:9" x14ac:dyDescent="0.25">
      <c r="E802" t="str">
        <f>"12954"</f>
        <v>12954</v>
      </c>
      <c r="F802" t="str">
        <f>"SERVICE  05/18/18"</f>
        <v>SERVICE  05/18/18</v>
      </c>
      <c r="G802" s="2">
        <v>75</v>
      </c>
      <c r="H802" t="str">
        <f>"SERVICE  05/18/18"</f>
        <v>SERVICE  05/18/18</v>
      </c>
    </row>
    <row r="803" spans="1:9" x14ac:dyDescent="0.25">
      <c r="A803" t="s">
        <v>234</v>
      </c>
      <c r="B803">
        <v>78303</v>
      </c>
      <c r="C803" s="3">
        <v>75</v>
      </c>
      <c r="D803" s="1">
        <v>43339</v>
      </c>
      <c r="E803" t="str">
        <f>"11039"</f>
        <v>11039</v>
      </c>
      <c r="F803" t="str">
        <f>"SERVICE  06/27/18"</f>
        <v>SERVICE  06/27/18</v>
      </c>
      <c r="G803" s="2">
        <v>75</v>
      </c>
      <c r="H803" t="str">
        <f>"SERVICE  06/27/18"</f>
        <v>SERVICE  06/27/18</v>
      </c>
    </row>
    <row r="804" spans="1:9" x14ac:dyDescent="0.25">
      <c r="A804" t="s">
        <v>235</v>
      </c>
      <c r="B804">
        <v>78006</v>
      </c>
      <c r="C804" s="3">
        <v>75</v>
      </c>
      <c r="D804" s="1">
        <v>43325</v>
      </c>
      <c r="E804" t="str">
        <f>"11633"</f>
        <v>11633</v>
      </c>
      <c r="F804" t="str">
        <f>"SERVICE  06/29/18"</f>
        <v>SERVICE  06/29/18</v>
      </c>
      <c r="G804" s="2">
        <v>75</v>
      </c>
      <c r="H804" t="str">
        <f>"SERVICE  06/29/18"</f>
        <v>SERVICE  06/29/18</v>
      </c>
    </row>
    <row r="805" spans="1:9" x14ac:dyDescent="0.25">
      <c r="A805" t="s">
        <v>236</v>
      </c>
      <c r="B805">
        <v>78007</v>
      </c>
      <c r="C805" s="3">
        <v>76.59</v>
      </c>
      <c r="D805" s="1">
        <v>43325</v>
      </c>
      <c r="E805" t="str">
        <f>"366529"</f>
        <v>366529</v>
      </c>
      <c r="F805" t="str">
        <f>"ACCT#002628/PCT#2"</f>
        <v>ACCT#002628/PCT#2</v>
      </c>
      <c r="G805" s="2">
        <v>76.59</v>
      </c>
      <c r="H805" t="str">
        <f>"ACCT#002628/PCT#2"</f>
        <v>ACCT#002628/PCT#2</v>
      </c>
    </row>
    <row r="806" spans="1:9" x14ac:dyDescent="0.25">
      <c r="A806" t="s">
        <v>237</v>
      </c>
      <c r="B806">
        <v>78008</v>
      </c>
      <c r="C806" s="3">
        <v>106.89</v>
      </c>
      <c r="D806" s="1">
        <v>43325</v>
      </c>
      <c r="E806" t="str">
        <f>"NV29192"</f>
        <v>NV29192</v>
      </c>
      <c r="F806" t="str">
        <f>"ACCT#68930-000/ANIMAL SVCS"</f>
        <v>ACCT#68930-000/ANIMAL SVCS</v>
      </c>
      <c r="G806" s="2">
        <v>106.89</v>
      </c>
      <c r="H806" t="str">
        <f>"ACCT#68930-000/ANIMAL SVCS"</f>
        <v>ACCT#68930-000/ANIMAL SVCS</v>
      </c>
    </row>
    <row r="807" spans="1:9" x14ac:dyDescent="0.25">
      <c r="A807" t="s">
        <v>237</v>
      </c>
      <c r="B807">
        <v>78304</v>
      </c>
      <c r="C807" s="3">
        <v>692.96</v>
      </c>
      <c r="D807" s="1">
        <v>43339</v>
      </c>
      <c r="E807" t="str">
        <f>"NY05108"</f>
        <v>NY05108</v>
      </c>
      <c r="F807" t="str">
        <f>"ACCT#68930/ORD#CZE6155"</f>
        <v>ACCT#68930/ORD#CZE6155</v>
      </c>
      <c r="G807" s="2">
        <v>133.31</v>
      </c>
      <c r="H807" t="str">
        <f>"ACCT#68930/ORD#CZE6155"</f>
        <v>ACCT#68930/ORD#CZE6155</v>
      </c>
    </row>
    <row r="808" spans="1:9" x14ac:dyDescent="0.25">
      <c r="E808" t="str">
        <f>"NY11570"</f>
        <v>NY11570</v>
      </c>
      <c r="F808" t="str">
        <f>"ACCT#68930/ORDER#CZE8012"</f>
        <v>ACCT#68930/ORDER#CZE8012</v>
      </c>
      <c r="G808" s="2">
        <v>559.65</v>
      </c>
      <c r="H808" t="str">
        <f>"ACCT#68930/ORDER#CZE8012"</f>
        <v>ACCT#68930/ORDER#CZE8012</v>
      </c>
    </row>
    <row r="809" spans="1:9" x14ac:dyDescent="0.25">
      <c r="A809" t="s">
        <v>238</v>
      </c>
      <c r="B809">
        <v>78009</v>
      </c>
      <c r="C809" s="3">
        <v>100</v>
      </c>
      <c r="D809" s="1">
        <v>43325</v>
      </c>
      <c r="E809" t="s">
        <v>87</v>
      </c>
      <c r="F809" t="s">
        <v>239</v>
      </c>
      <c r="G809" s="2" t="str">
        <f>"RESTITUTION-M. FELTS"</f>
        <v>RESTITUTION-M. FELTS</v>
      </c>
      <c r="H809" t="str">
        <f>"210-0000"</f>
        <v>210-0000</v>
      </c>
      <c r="I809" t="str">
        <f>""</f>
        <v/>
      </c>
    </row>
    <row r="810" spans="1:9" x14ac:dyDescent="0.25">
      <c r="A810" t="s">
        <v>240</v>
      </c>
      <c r="B810">
        <v>78305</v>
      </c>
      <c r="C810" s="3">
        <v>521</v>
      </c>
      <c r="D810" s="1">
        <v>43339</v>
      </c>
      <c r="E810" t="str">
        <f>"201808212964"</f>
        <v>201808212964</v>
      </c>
      <c r="F810" t="str">
        <f>"TRAVEL ADVANCE-HOTEL"</f>
        <v>TRAVEL ADVANCE-HOTEL</v>
      </c>
      <c r="G810" s="2">
        <v>217.5</v>
      </c>
      <c r="H810" t="str">
        <f>"TRAVEL ADVANCE-HOTEL"</f>
        <v>TRAVEL ADVANCE-HOTEL</v>
      </c>
    </row>
    <row r="811" spans="1:9" x14ac:dyDescent="0.25">
      <c r="E811" t="str">
        <f>"201808212966"</f>
        <v>201808212966</v>
      </c>
      <c r="F811" t="str">
        <f>"TRAVEL ADVANCE-HOTEL"</f>
        <v>TRAVEL ADVANCE-HOTEL</v>
      </c>
      <c r="G811" s="2">
        <v>303.5</v>
      </c>
      <c r="H811" t="str">
        <f>"TRAVEL ADVANCE-HOTEL"</f>
        <v>TRAVEL ADVANCE-HOTEL</v>
      </c>
    </row>
    <row r="812" spans="1:9" x14ac:dyDescent="0.25">
      <c r="A812" t="s">
        <v>241</v>
      </c>
      <c r="B812">
        <v>999999</v>
      </c>
      <c r="C812" s="3">
        <v>650</v>
      </c>
      <c r="D812" s="1">
        <v>43326</v>
      </c>
      <c r="E812" t="str">
        <f>"201808082828"</f>
        <v>201808082828</v>
      </c>
      <c r="F812" t="str">
        <f>"INV JULY"</f>
        <v>INV JULY</v>
      </c>
      <c r="G812" s="2">
        <v>650</v>
      </c>
      <c r="H812" t="str">
        <f>"INV JULY"</f>
        <v>INV JULY</v>
      </c>
    </row>
    <row r="813" spans="1:9" x14ac:dyDescent="0.25">
      <c r="A813" t="s">
        <v>241</v>
      </c>
      <c r="B813">
        <v>999999</v>
      </c>
      <c r="C813" s="3">
        <v>650</v>
      </c>
      <c r="D813" s="1">
        <v>43340</v>
      </c>
      <c r="E813" t="str">
        <f>"201808223019"</f>
        <v>201808223019</v>
      </c>
      <c r="F813" t="str">
        <f>"AUGUST SERVICES"</f>
        <v>AUGUST SERVICES</v>
      </c>
      <c r="G813" s="2">
        <v>650</v>
      </c>
      <c r="H813" t="str">
        <f>"AUGUST SERVICES"</f>
        <v>AUGUST SERVICES</v>
      </c>
    </row>
    <row r="814" spans="1:9" x14ac:dyDescent="0.25">
      <c r="A814" t="s">
        <v>242</v>
      </c>
      <c r="B814">
        <v>78010</v>
      </c>
      <c r="C814" s="3">
        <v>2125</v>
      </c>
      <c r="D814" s="1">
        <v>43325</v>
      </c>
      <c r="E814" t="str">
        <f>"201808082763"</f>
        <v>201808082763</v>
      </c>
      <c r="F814" t="str">
        <f>"55 822"</f>
        <v>55 822</v>
      </c>
      <c r="G814" s="2">
        <v>250</v>
      </c>
      <c r="H814" t="str">
        <f>"55 822"</f>
        <v>55 822</v>
      </c>
    </row>
    <row r="815" spans="1:9" x14ac:dyDescent="0.25">
      <c r="E815" t="str">
        <f>"201808082764"</f>
        <v>201808082764</v>
      </c>
      <c r="F815" t="str">
        <f>"17-18535"</f>
        <v>17-18535</v>
      </c>
      <c r="G815" s="2">
        <v>175</v>
      </c>
      <c r="H815" t="str">
        <f>"17-18535"</f>
        <v>17-18535</v>
      </c>
    </row>
    <row r="816" spans="1:9" x14ac:dyDescent="0.25">
      <c r="E816" t="str">
        <f>"201808082765"</f>
        <v>201808082765</v>
      </c>
      <c r="F816" t="str">
        <f>"18-19166"</f>
        <v>18-19166</v>
      </c>
      <c r="G816" s="2">
        <v>150</v>
      </c>
      <c r="H816" t="str">
        <f>"18-19166"</f>
        <v>18-19166</v>
      </c>
    </row>
    <row r="817" spans="1:8" x14ac:dyDescent="0.25">
      <c r="E817" t="str">
        <f>"201808082766"</f>
        <v>201808082766</v>
      </c>
      <c r="F817" t="str">
        <f>"56 000  04/10 - 07/19"</f>
        <v>56 000  04/10 - 07/19</v>
      </c>
      <c r="G817" s="2">
        <v>250</v>
      </c>
      <c r="H817" t="str">
        <f>"56 000  04/10 - 07/19"</f>
        <v>56 000  04/10 - 07/19</v>
      </c>
    </row>
    <row r="818" spans="1:8" x14ac:dyDescent="0.25">
      <c r="E818" t="str">
        <f>"201808082767"</f>
        <v>201808082767</v>
      </c>
      <c r="F818" t="str">
        <f>"55 888"</f>
        <v>55 888</v>
      </c>
      <c r="G818" s="2">
        <v>250</v>
      </c>
      <c r="H818" t="str">
        <f>"55 888"</f>
        <v>55 888</v>
      </c>
    </row>
    <row r="819" spans="1:8" x14ac:dyDescent="0.25">
      <c r="E819" t="str">
        <f>"201808082768"</f>
        <v>201808082768</v>
      </c>
      <c r="F819" t="str">
        <f>"54 740"</f>
        <v>54 740</v>
      </c>
      <c r="G819" s="2">
        <v>250</v>
      </c>
      <c r="H819" t="str">
        <f>"54 740"</f>
        <v>54 740</v>
      </c>
    </row>
    <row r="820" spans="1:8" x14ac:dyDescent="0.25">
      <c r="E820" t="str">
        <f>"201808082769"</f>
        <v>201808082769</v>
      </c>
      <c r="F820" t="str">
        <f>"17-18635"</f>
        <v>17-18635</v>
      </c>
      <c r="G820" s="2">
        <v>175</v>
      </c>
      <c r="H820" t="str">
        <f>"17-18635"</f>
        <v>17-18635</v>
      </c>
    </row>
    <row r="821" spans="1:8" x14ac:dyDescent="0.25">
      <c r="E821" t="str">
        <f>"201808082770"</f>
        <v>201808082770</v>
      </c>
      <c r="F821" t="str">
        <f>"18-18864"</f>
        <v>18-18864</v>
      </c>
      <c r="G821" s="2">
        <v>175</v>
      </c>
      <c r="H821" t="str">
        <f>"18-18864"</f>
        <v>18-18864</v>
      </c>
    </row>
    <row r="822" spans="1:8" x14ac:dyDescent="0.25">
      <c r="E822" t="str">
        <f>"201808082771"</f>
        <v>201808082771</v>
      </c>
      <c r="F822" t="str">
        <f>"17-18576"</f>
        <v>17-18576</v>
      </c>
      <c r="G822" s="2">
        <v>175</v>
      </c>
      <c r="H822" t="str">
        <f>"17-18576"</f>
        <v>17-18576</v>
      </c>
    </row>
    <row r="823" spans="1:8" x14ac:dyDescent="0.25">
      <c r="E823" t="str">
        <f>"201808082772"</f>
        <v>201808082772</v>
      </c>
      <c r="F823" t="str">
        <f>"17-18637"</f>
        <v>17-18637</v>
      </c>
      <c r="G823" s="2">
        <v>175</v>
      </c>
      <c r="H823" t="str">
        <f>"17-18637"</f>
        <v>17-18637</v>
      </c>
    </row>
    <row r="824" spans="1:8" x14ac:dyDescent="0.25">
      <c r="E824" t="str">
        <f>"201808082773"</f>
        <v>201808082773</v>
      </c>
      <c r="F824" t="str">
        <f>"17-18672"</f>
        <v>17-18672</v>
      </c>
      <c r="G824" s="2">
        <v>100</v>
      </c>
      <c r="H824" t="str">
        <f>"17-18672"</f>
        <v>17-18672</v>
      </c>
    </row>
    <row r="825" spans="1:8" x14ac:dyDescent="0.25">
      <c r="A825" t="s">
        <v>242</v>
      </c>
      <c r="B825">
        <v>78306</v>
      </c>
      <c r="C825" s="3">
        <v>250</v>
      </c>
      <c r="D825" s="1">
        <v>43339</v>
      </c>
      <c r="E825" t="str">
        <f>"201808212988"</f>
        <v>201808212988</v>
      </c>
      <c r="F825" t="str">
        <f>"55 783"</f>
        <v>55 783</v>
      </c>
      <c r="G825" s="2">
        <v>250</v>
      </c>
      <c r="H825" t="str">
        <f>"55 783"</f>
        <v>55 783</v>
      </c>
    </row>
    <row r="826" spans="1:8" x14ac:dyDescent="0.25">
      <c r="A826" t="s">
        <v>243</v>
      </c>
      <c r="B826">
        <v>78413</v>
      </c>
      <c r="C826" s="3">
        <v>99.45</v>
      </c>
      <c r="D826" s="1">
        <v>43343</v>
      </c>
      <c r="E826" t="str">
        <f>"201808313167"</f>
        <v>201808313167</v>
      </c>
      <c r="F826" t="str">
        <f>"LODGING"</f>
        <v>LODGING</v>
      </c>
      <c r="G826" s="2">
        <v>99.45</v>
      </c>
    </row>
    <row r="827" spans="1:8" x14ac:dyDescent="0.25">
      <c r="A827" t="s">
        <v>244</v>
      </c>
      <c r="B827">
        <v>78011</v>
      </c>
      <c r="C827" s="3">
        <v>1225.55</v>
      </c>
      <c r="D827" s="1">
        <v>43325</v>
      </c>
      <c r="E827" t="str">
        <f>"PIMP0279493"</f>
        <v>PIMP0279493</v>
      </c>
      <c r="F827" t="str">
        <f>"CUST#0129200/PCT#4"</f>
        <v>CUST#0129200/PCT#4</v>
      </c>
      <c r="G827" s="2">
        <v>493.86</v>
      </c>
      <c r="H827" t="str">
        <f>"CUST#0129200/PCT#4"</f>
        <v>CUST#0129200/PCT#4</v>
      </c>
    </row>
    <row r="828" spans="1:8" x14ac:dyDescent="0.25">
      <c r="E828" t="str">
        <f>"WIMA0108059"</f>
        <v>WIMA0108059</v>
      </c>
      <c r="F828" t="str">
        <f>"CUST#0129150/PCT#3"</f>
        <v>CUST#0129150/PCT#3</v>
      </c>
      <c r="G828" s="2">
        <v>731.69</v>
      </c>
      <c r="H828" t="str">
        <f>"CUST#0129150/PCT#3"</f>
        <v>CUST#0129150/PCT#3</v>
      </c>
    </row>
    <row r="829" spans="1:8" x14ac:dyDescent="0.25">
      <c r="A829" t="s">
        <v>244</v>
      </c>
      <c r="B829">
        <v>78307</v>
      </c>
      <c r="C829" s="3">
        <v>1796.5</v>
      </c>
      <c r="D829" s="1">
        <v>43339</v>
      </c>
      <c r="E829" t="str">
        <f>"PIMA0292880"</f>
        <v>PIMA0292880</v>
      </c>
      <c r="F829" t="str">
        <f>"CUST#0129150/FILTER/PCT#3"</f>
        <v>CUST#0129150/FILTER/PCT#3</v>
      </c>
      <c r="G829" s="2">
        <v>100.28</v>
      </c>
      <c r="H829" t="str">
        <f>"CUST#0129150/FILTER/PCT#3"</f>
        <v>CUST#0129150/FILTER/PCT#3</v>
      </c>
    </row>
    <row r="830" spans="1:8" x14ac:dyDescent="0.25">
      <c r="E830" t="str">
        <f>"PIMP0282332"</f>
        <v>PIMP0282332</v>
      </c>
      <c r="F830" t="str">
        <f>"CUST#0129200/PCT#4"</f>
        <v>CUST#0129200/PCT#4</v>
      </c>
      <c r="G830" s="2">
        <v>394.64</v>
      </c>
      <c r="H830" t="str">
        <f>"CUST#0129200/PCT#4"</f>
        <v>CUST#0129200/PCT#4</v>
      </c>
    </row>
    <row r="831" spans="1:8" x14ac:dyDescent="0.25">
      <c r="E831" t="str">
        <f>"PIMP0282333"</f>
        <v>PIMP0282333</v>
      </c>
      <c r="F831" t="str">
        <f>"CUST#0129100/PCT#4"</f>
        <v>CUST#0129100/PCT#4</v>
      </c>
      <c r="G831" s="2">
        <v>229.62</v>
      </c>
      <c r="H831" t="str">
        <f>"CUST#0129100/PCT#4"</f>
        <v>CUST#0129100/PCT#4</v>
      </c>
    </row>
    <row r="832" spans="1:8" x14ac:dyDescent="0.25">
      <c r="E832" t="str">
        <f>"WIUS0116401"</f>
        <v>WIUS0116401</v>
      </c>
      <c r="F832" t="str">
        <f>"CUST#0129150/PCT#3"</f>
        <v>CUST#0129150/PCT#3</v>
      </c>
      <c r="G832" s="2">
        <v>1071.96</v>
      </c>
      <c r="H832" t="str">
        <f>"CUST#0129150/PCT#3"</f>
        <v>CUST#0129150/PCT#3</v>
      </c>
    </row>
    <row r="833" spans="1:8" x14ac:dyDescent="0.25">
      <c r="A833" t="s">
        <v>245</v>
      </c>
      <c r="B833">
        <v>78012</v>
      </c>
      <c r="C833" s="3">
        <v>2731.64</v>
      </c>
      <c r="D833" s="1">
        <v>43325</v>
      </c>
      <c r="E833" t="str">
        <f>"201808072715"</f>
        <v>201808072715</v>
      </c>
      <c r="F833" t="str">
        <f>"Acct# 3780"</f>
        <v>Acct# 3780</v>
      </c>
      <c r="G833" s="2">
        <v>2731.64</v>
      </c>
      <c r="H833" t="str">
        <f>"Inv# 6015383"</f>
        <v>Inv# 6015383</v>
      </c>
    </row>
    <row r="834" spans="1:8" x14ac:dyDescent="0.25">
      <c r="E834" t="str">
        <f>""</f>
        <v/>
      </c>
      <c r="F834" t="str">
        <f>""</f>
        <v/>
      </c>
      <c r="H834" t="str">
        <f>"Inv# 5015442"</f>
        <v>Inv# 5015442</v>
      </c>
    </row>
    <row r="835" spans="1:8" x14ac:dyDescent="0.25">
      <c r="E835" t="str">
        <f>""</f>
        <v/>
      </c>
      <c r="F835" t="str">
        <f>""</f>
        <v/>
      </c>
      <c r="H835" t="str">
        <f>"Inv# 4201488"</f>
        <v>Inv# 4201488</v>
      </c>
    </row>
    <row r="836" spans="1:8" x14ac:dyDescent="0.25">
      <c r="E836" t="str">
        <f>""</f>
        <v/>
      </c>
      <c r="F836" t="str">
        <f>""</f>
        <v/>
      </c>
      <c r="H836" t="str">
        <f>"Inv# 970324"</f>
        <v>Inv# 970324</v>
      </c>
    </row>
    <row r="837" spans="1:8" x14ac:dyDescent="0.25">
      <c r="E837" t="str">
        <f>""</f>
        <v/>
      </c>
      <c r="F837" t="str">
        <f>""</f>
        <v/>
      </c>
      <c r="H837" t="str">
        <f>"Inv# 9161164"</f>
        <v>Inv# 9161164</v>
      </c>
    </row>
    <row r="838" spans="1:8" x14ac:dyDescent="0.25">
      <c r="E838" t="str">
        <f>""</f>
        <v/>
      </c>
      <c r="F838" t="str">
        <f>""</f>
        <v/>
      </c>
      <c r="H838" t="str">
        <f>"Inv# 9201561"</f>
        <v>Inv# 9201561</v>
      </c>
    </row>
    <row r="839" spans="1:8" x14ac:dyDescent="0.25">
      <c r="E839" t="str">
        <f>""</f>
        <v/>
      </c>
      <c r="F839" t="str">
        <f>""</f>
        <v/>
      </c>
      <c r="H839" t="str">
        <f>"Inv# 8970382"</f>
        <v>Inv# 8970382</v>
      </c>
    </row>
    <row r="840" spans="1:8" x14ac:dyDescent="0.25">
      <c r="E840" t="str">
        <f>""</f>
        <v/>
      </c>
      <c r="F840" t="str">
        <f>""</f>
        <v/>
      </c>
      <c r="H840" t="str">
        <f>"Inv# 515815"</f>
        <v>Inv# 515815</v>
      </c>
    </row>
    <row r="841" spans="1:8" x14ac:dyDescent="0.25">
      <c r="E841" t="str">
        <f>""</f>
        <v/>
      </c>
      <c r="F841" t="str">
        <f>""</f>
        <v/>
      </c>
      <c r="H841" t="str">
        <f>"Inv# 5013869"</f>
        <v>Inv# 5013869</v>
      </c>
    </row>
    <row r="842" spans="1:8" x14ac:dyDescent="0.25">
      <c r="E842" t="str">
        <f>""</f>
        <v/>
      </c>
      <c r="F842" t="str">
        <f>""</f>
        <v/>
      </c>
      <c r="H842" t="str">
        <f>"Inv# 4021662"</f>
        <v>Inv# 4021662</v>
      </c>
    </row>
    <row r="843" spans="1:8" x14ac:dyDescent="0.25">
      <c r="E843" t="str">
        <f>""</f>
        <v/>
      </c>
      <c r="F843" t="str">
        <f>""</f>
        <v/>
      </c>
      <c r="H843" t="str">
        <f>"Inv# 2229"</f>
        <v>Inv# 2229</v>
      </c>
    </row>
    <row r="844" spans="1:8" x14ac:dyDescent="0.25">
      <c r="E844" t="str">
        <f>""</f>
        <v/>
      </c>
      <c r="F844" t="str">
        <f>""</f>
        <v/>
      </c>
      <c r="H844" t="str">
        <f>"Inv# 9592543"</f>
        <v>Inv# 9592543</v>
      </c>
    </row>
    <row r="845" spans="1:8" x14ac:dyDescent="0.25">
      <c r="E845" t="str">
        <f>""</f>
        <v/>
      </c>
      <c r="F845" t="str">
        <f>""</f>
        <v/>
      </c>
      <c r="H845" t="str">
        <f>"Inv# 4022827"</f>
        <v>Inv# 4022827</v>
      </c>
    </row>
    <row r="846" spans="1:8" x14ac:dyDescent="0.25">
      <c r="E846" t="str">
        <f>""</f>
        <v/>
      </c>
      <c r="F846" t="str">
        <f>""</f>
        <v/>
      </c>
      <c r="H846" t="str">
        <f>"Inv# 5781368"</f>
        <v>Inv# 5781368</v>
      </c>
    </row>
    <row r="847" spans="1:8" x14ac:dyDescent="0.25">
      <c r="E847" t="str">
        <f>""</f>
        <v/>
      </c>
      <c r="F847" t="str">
        <f>""</f>
        <v/>
      </c>
      <c r="H847" t="str">
        <f>"Inv# 1100781"</f>
        <v>Inv# 1100781</v>
      </c>
    </row>
    <row r="848" spans="1:8" x14ac:dyDescent="0.25">
      <c r="E848" t="str">
        <f>""</f>
        <v/>
      </c>
      <c r="F848" t="str">
        <f>""</f>
        <v/>
      </c>
      <c r="H848" t="str">
        <f>"Inv# 6564558"</f>
        <v>Inv# 6564558</v>
      </c>
    </row>
    <row r="849" spans="1:8" x14ac:dyDescent="0.25">
      <c r="E849" t="str">
        <f>""</f>
        <v/>
      </c>
      <c r="F849" t="str">
        <f>""</f>
        <v/>
      </c>
      <c r="H849" t="str">
        <f>"Inv# 7022575"</f>
        <v>Inv# 7022575</v>
      </c>
    </row>
    <row r="850" spans="1:8" x14ac:dyDescent="0.25">
      <c r="E850" t="str">
        <f>""</f>
        <v/>
      </c>
      <c r="F850" t="str">
        <f>""</f>
        <v/>
      </c>
      <c r="H850" t="str">
        <f>"Inv# 2014225"</f>
        <v>Inv# 2014225</v>
      </c>
    </row>
    <row r="851" spans="1:8" x14ac:dyDescent="0.25">
      <c r="E851" t="str">
        <f>""</f>
        <v/>
      </c>
      <c r="F851" t="str">
        <f>""</f>
        <v/>
      </c>
      <c r="H851" t="str">
        <f>"Inv# 6014668"</f>
        <v>Inv# 6014668</v>
      </c>
    </row>
    <row r="852" spans="1:8" x14ac:dyDescent="0.25">
      <c r="E852" t="str">
        <f>""</f>
        <v/>
      </c>
      <c r="F852" t="str">
        <f>""</f>
        <v/>
      </c>
      <c r="H852" t="str">
        <f>"Inv# 8161202"</f>
        <v>Inv# 8161202</v>
      </c>
    </row>
    <row r="853" spans="1:8" x14ac:dyDescent="0.25">
      <c r="E853" t="str">
        <f>""</f>
        <v/>
      </c>
      <c r="F853" t="str">
        <f>""</f>
        <v/>
      </c>
      <c r="H853" t="str">
        <f>"Inv# 3560076"</f>
        <v>Inv# 3560076</v>
      </c>
    </row>
    <row r="854" spans="1:8" x14ac:dyDescent="0.25">
      <c r="E854" t="str">
        <f>""</f>
        <v/>
      </c>
      <c r="F854" t="str">
        <f>""</f>
        <v/>
      </c>
      <c r="H854" t="str">
        <f>"Inv# 5013919"</f>
        <v>Inv# 5013919</v>
      </c>
    </row>
    <row r="855" spans="1:8" x14ac:dyDescent="0.25">
      <c r="E855" t="str">
        <f>""</f>
        <v/>
      </c>
      <c r="F855" t="str">
        <f>""</f>
        <v/>
      </c>
      <c r="H855" t="str">
        <f>"Inv# 7021345"</f>
        <v>Inv# 7021345</v>
      </c>
    </row>
    <row r="856" spans="1:8" x14ac:dyDescent="0.25">
      <c r="E856" t="str">
        <f>""</f>
        <v/>
      </c>
      <c r="F856" t="str">
        <f>""</f>
        <v/>
      </c>
      <c r="H856" t="str">
        <f>"Inv# 5021553"</f>
        <v>Inv# 5021553</v>
      </c>
    </row>
    <row r="857" spans="1:8" x14ac:dyDescent="0.25">
      <c r="E857" t="str">
        <f>""</f>
        <v/>
      </c>
      <c r="F857" t="str">
        <f>""</f>
        <v/>
      </c>
      <c r="H857" t="str">
        <f>"Inv# 4564722"</f>
        <v>Inv# 4564722</v>
      </c>
    </row>
    <row r="858" spans="1:8" x14ac:dyDescent="0.25">
      <c r="E858" t="str">
        <f>""</f>
        <v/>
      </c>
      <c r="F858" t="str">
        <f>""</f>
        <v/>
      </c>
      <c r="H858" t="str">
        <f>"Inv# 4572027"</f>
        <v>Inv# 4572027</v>
      </c>
    </row>
    <row r="859" spans="1:8" x14ac:dyDescent="0.25">
      <c r="E859" t="str">
        <f>""</f>
        <v/>
      </c>
      <c r="F859" t="str">
        <f>""</f>
        <v/>
      </c>
      <c r="H859" t="str">
        <f>"Inv# 30471"</f>
        <v>Inv# 30471</v>
      </c>
    </row>
    <row r="860" spans="1:8" x14ac:dyDescent="0.25">
      <c r="E860" t="str">
        <f>""</f>
        <v/>
      </c>
      <c r="F860" t="str">
        <f>""</f>
        <v/>
      </c>
      <c r="H860" t="str">
        <f>"Inv# 3022971"</f>
        <v>Inv# 3022971</v>
      </c>
    </row>
    <row r="861" spans="1:8" x14ac:dyDescent="0.25">
      <c r="E861" t="str">
        <f>""</f>
        <v/>
      </c>
      <c r="F861" t="str">
        <f>""</f>
        <v/>
      </c>
      <c r="H861" t="str">
        <f>"Inv# 3023010"</f>
        <v>Inv# 3023010</v>
      </c>
    </row>
    <row r="862" spans="1:8" x14ac:dyDescent="0.25">
      <c r="E862" t="str">
        <f>""</f>
        <v/>
      </c>
      <c r="F862" t="str">
        <f>""</f>
        <v/>
      </c>
      <c r="H862" t="str">
        <f>"Inv# 2023097"</f>
        <v>Inv# 2023097</v>
      </c>
    </row>
    <row r="863" spans="1:8" x14ac:dyDescent="0.25">
      <c r="E863" t="str">
        <f>""</f>
        <v/>
      </c>
      <c r="F863" t="str">
        <f>""</f>
        <v/>
      </c>
      <c r="H863" t="str">
        <f>"Inv# 1585135"</f>
        <v>Inv# 1585135</v>
      </c>
    </row>
    <row r="864" spans="1:8" x14ac:dyDescent="0.25">
      <c r="A864" t="s">
        <v>246</v>
      </c>
      <c r="B864">
        <v>77897</v>
      </c>
      <c r="C864" s="3">
        <v>2271.35</v>
      </c>
      <c r="D864" s="1">
        <v>43321</v>
      </c>
      <c r="E864" t="str">
        <f>"S1808020001-00031"</f>
        <v>S1808020001-00031</v>
      </c>
      <c r="F864" t="str">
        <f>"ACCT#100402264 / 08/02/2018"</f>
        <v>ACCT#100402264 / 08/02/2018</v>
      </c>
      <c r="G864" s="2">
        <v>2271.35</v>
      </c>
      <c r="H864" t="str">
        <f>"ACCT#100402264 / 08/02/2018"</f>
        <v>ACCT#100402264 / 08/02/2018</v>
      </c>
    </row>
    <row r="865" spans="1:8" x14ac:dyDescent="0.25">
      <c r="E865" t="str">
        <f>""</f>
        <v/>
      </c>
      <c r="F865" t="str">
        <f>""</f>
        <v/>
      </c>
      <c r="H865" t="str">
        <f>"ACCT#100402264 / 08/02/2018"</f>
        <v>ACCT#100402264 / 08/02/2018</v>
      </c>
    </row>
    <row r="866" spans="1:8" x14ac:dyDescent="0.25">
      <c r="E866" t="str">
        <f>""</f>
        <v/>
      </c>
      <c r="F866" t="str">
        <f>""</f>
        <v/>
      </c>
      <c r="H866" t="str">
        <f>"ACCT#100402264 / 08/02/2018"</f>
        <v>ACCT#100402264 / 08/02/2018</v>
      </c>
    </row>
    <row r="867" spans="1:8" x14ac:dyDescent="0.25">
      <c r="A867" t="s">
        <v>247</v>
      </c>
      <c r="B867">
        <v>78013</v>
      </c>
      <c r="C867" s="3">
        <v>233.1</v>
      </c>
      <c r="D867" s="1">
        <v>43325</v>
      </c>
      <c r="E867" t="str">
        <f>"13457"</f>
        <v>13457</v>
      </c>
      <c r="F867" t="str">
        <f>"INV 13457"</f>
        <v>INV 13457</v>
      </c>
      <c r="G867" s="2">
        <v>233.1</v>
      </c>
      <c r="H867" t="str">
        <f>"INV 13457"</f>
        <v>INV 13457</v>
      </c>
    </row>
    <row r="868" spans="1:8" x14ac:dyDescent="0.25">
      <c r="A868" t="s">
        <v>248</v>
      </c>
      <c r="B868">
        <v>999999</v>
      </c>
      <c r="C868" s="3">
        <v>33.479999999999997</v>
      </c>
      <c r="D868" s="1">
        <v>43326</v>
      </c>
      <c r="E868" t="str">
        <f>"172514"</f>
        <v>172514</v>
      </c>
      <c r="F868" t="str">
        <f>"CAM LOCK SEAL/PCT#1"</f>
        <v>CAM LOCK SEAL/PCT#1</v>
      </c>
      <c r="G868" s="2">
        <v>33.479999999999997</v>
      </c>
      <c r="H868" t="str">
        <f>"CAM LOCK SEAL/PCT#1"</f>
        <v>CAM LOCK SEAL/PCT#1</v>
      </c>
    </row>
    <row r="869" spans="1:8" x14ac:dyDescent="0.25">
      <c r="A869" t="s">
        <v>249</v>
      </c>
      <c r="B869">
        <v>78308</v>
      </c>
      <c r="C869" s="3">
        <v>42.46</v>
      </c>
      <c r="D869" s="1">
        <v>43339</v>
      </c>
      <c r="E869" t="str">
        <f>"3034488077"</f>
        <v>3034488077</v>
      </c>
      <c r="F869" t="str">
        <f>"ACCT#187947/ANIMAL CONTROL"</f>
        <v>ACCT#187947/ANIMAL CONTROL</v>
      </c>
      <c r="G869" s="2">
        <v>42.46</v>
      </c>
      <c r="H869" t="str">
        <f>"ACCT#187947/ANIMAL CONTROL"</f>
        <v>ACCT#187947/ANIMAL CONTROL</v>
      </c>
    </row>
    <row r="870" spans="1:8" x14ac:dyDescent="0.25">
      <c r="A870" t="s">
        <v>250</v>
      </c>
      <c r="B870">
        <v>999999</v>
      </c>
      <c r="C870" s="3">
        <v>2430</v>
      </c>
      <c r="D870" s="1">
        <v>43326</v>
      </c>
      <c r="E870" t="str">
        <f>"66355"</f>
        <v>66355</v>
      </c>
      <c r="F870" t="str">
        <f>"PROF SVCS-SEPTEMBER 2018"</f>
        <v>PROF SVCS-SEPTEMBER 2018</v>
      </c>
      <c r="G870" s="2">
        <v>2430</v>
      </c>
      <c r="H870" t="str">
        <f>"PROF SVCS-SEPTEMBER 2018"</f>
        <v>PROF SVCS-SEPTEMBER 2018</v>
      </c>
    </row>
    <row r="871" spans="1:8" x14ac:dyDescent="0.25">
      <c r="E871" t="str">
        <f>""</f>
        <v/>
      </c>
      <c r="F871" t="str">
        <f>""</f>
        <v/>
      </c>
      <c r="H871" t="str">
        <f>"PROF SVCS-SEPTEMBER 2018"</f>
        <v>PROF SVCS-SEPTEMBER 2018</v>
      </c>
    </row>
    <row r="872" spans="1:8" x14ac:dyDescent="0.25">
      <c r="A872" t="s">
        <v>251</v>
      </c>
      <c r="B872">
        <v>78014</v>
      </c>
      <c r="C872" s="3">
        <v>275</v>
      </c>
      <c r="D872" s="1">
        <v>43325</v>
      </c>
      <c r="E872" t="str">
        <f>"2019RP-072018-0434"</f>
        <v>2019RP-072018-0434</v>
      </c>
      <c r="F872" t="str">
        <f>"CONF#PVNDKNM76FV-ADENA LEWIS"</f>
        <v>CONF#PVNDKNM76FV-ADENA LEWIS</v>
      </c>
      <c r="G872" s="2">
        <v>275</v>
      </c>
      <c r="H872" t="str">
        <f>"CONF#PVNDKNM76FV-ADENA LEWIS"</f>
        <v>CONF#PVNDKNM76FV-ADENA LEWIS</v>
      </c>
    </row>
    <row r="873" spans="1:8" x14ac:dyDescent="0.25">
      <c r="A873" t="s">
        <v>252</v>
      </c>
      <c r="B873">
        <v>78015</v>
      </c>
      <c r="C873" s="3">
        <v>5370.55</v>
      </c>
      <c r="D873" s="1">
        <v>43325</v>
      </c>
      <c r="E873" t="str">
        <f>"151405A"</f>
        <v>151405A</v>
      </c>
      <c r="F873" t="str">
        <f>"CUST#31226/TABLE TOP VOTING BO"</f>
        <v>CUST#31226/TABLE TOP VOTING BO</v>
      </c>
      <c r="G873" s="2">
        <v>5370.55</v>
      </c>
      <c r="H873" t="str">
        <f>"CUST#31226/TABLE TOP VOTING BO"</f>
        <v>CUST#31226/TABLE TOP VOTING BO</v>
      </c>
    </row>
    <row r="874" spans="1:8" x14ac:dyDescent="0.25">
      <c r="A874" t="s">
        <v>252</v>
      </c>
      <c r="B874">
        <v>78309</v>
      </c>
      <c r="C874" s="3">
        <v>1057.95</v>
      </c>
      <c r="D874" s="1">
        <v>43339</v>
      </c>
      <c r="E874" t="str">
        <f>"151838A"</f>
        <v>151838A</v>
      </c>
      <c r="F874" t="str">
        <f>"CUST#31226/FLEXI-POCKETS/ELECT"</f>
        <v>CUST#31226/FLEXI-POCKETS/ELECT</v>
      </c>
      <c r="G874" s="2">
        <v>1057.95</v>
      </c>
      <c r="H874" t="str">
        <f>"CUST#31226/FLEXI-POCKETS/ELECT"</f>
        <v>CUST#31226/FLEXI-POCKETS/ELECT</v>
      </c>
    </row>
    <row r="875" spans="1:8" x14ac:dyDescent="0.25">
      <c r="A875" t="s">
        <v>253</v>
      </c>
      <c r="B875">
        <v>78016</v>
      </c>
      <c r="C875" s="3">
        <v>66.12</v>
      </c>
      <c r="D875" s="1">
        <v>43325</v>
      </c>
      <c r="E875" t="str">
        <f>"ADPJ328"</f>
        <v>ADPJ328</v>
      </c>
      <c r="F875" t="str">
        <f>"CUST ID:AX773/BASTROP CNTY CLE"</f>
        <v>CUST ID:AX773/BASTROP CNTY CLE</v>
      </c>
      <c r="G875" s="2">
        <v>66.12</v>
      </c>
      <c r="H875" t="str">
        <f>"CUST ID:AX773/BASTROP CNTY CLE"</f>
        <v>CUST ID:AX773/BASTROP CNTY CLE</v>
      </c>
    </row>
    <row r="876" spans="1:8" x14ac:dyDescent="0.25">
      <c r="A876" t="s">
        <v>254</v>
      </c>
      <c r="B876">
        <v>999999</v>
      </c>
      <c r="C876" s="3">
        <v>203.62</v>
      </c>
      <c r="D876" s="1">
        <v>43326</v>
      </c>
      <c r="E876" t="str">
        <f>"201808082812"</f>
        <v>201808082812</v>
      </c>
      <c r="F876" t="str">
        <f>"MILEAGE/MEALS"</f>
        <v>MILEAGE/MEALS</v>
      </c>
      <c r="G876" s="2">
        <v>203.62</v>
      </c>
      <c r="H876" t="str">
        <f>"MILEAGE/MEALS"</f>
        <v>MILEAGE/MEALS</v>
      </c>
    </row>
    <row r="877" spans="1:8" x14ac:dyDescent="0.25">
      <c r="A877" t="s">
        <v>255</v>
      </c>
      <c r="B877">
        <v>78017</v>
      </c>
      <c r="C877" s="3">
        <v>70</v>
      </c>
      <c r="D877" s="1">
        <v>43325</v>
      </c>
      <c r="E877" t="str">
        <f>"201808082815"</f>
        <v>201808082815</v>
      </c>
      <c r="F877" t="str">
        <f>"PER DIEM"</f>
        <v>PER DIEM</v>
      </c>
      <c r="G877" s="2">
        <v>70</v>
      </c>
      <c r="H877" t="str">
        <f>"PER DIEM"</f>
        <v>PER DIEM</v>
      </c>
    </row>
    <row r="878" spans="1:8" x14ac:dyDescent="0.25">
      <c r="A878" t="s">
        <v>256</v>
      </c>
      <c r="B878">
        <v>78018</v>
      </c>
      <c r="C878" s="3">
        <v>750</v>
      </c>
      <c r="D878" s="1">
        <v>43325</v>
      </c>
      <c r="E878" t="str">
        <f>"201808082807"</f>
        <v>201808082807</v>
      </c>
      <c r="F878" t="str">
        <f>"56 141"</f>
        <v>56 141</v>
      </c>
      <c r="G878" s="2">
        <v>250</v>
      </c>
      <c r="H878" t="str">
        <f>"56 141"</f>
        <v>56 141</v>
      </c>
    </row>
    <row r="879" spans="1:8" x14ac:dyDescent="0.25">
      <c r="E879" t="str">
        <f>"201808082808"</f>
        <v>201808082808</v>
      </c>
      <c r="F879" t="str">
        <f>"56 222"</f>
        <v>56 222</v>
      </c>
      <c r="G879" s="2">
        <v>250</v>
      </c>
      <c r="H879" t="str">
        <f>"56 222"</f>
        <v>56 222</v>
      </c>
    </row>
    <row r="880" spans="1:8" x14ac:dyDescent="0.25">
      <c r="E880" t="str">
        <f>"201808082809"</f>
        <v>201808082809</v>
      </c>
      <c r="F880" t="str">
        <f>"55 850"</f>
        <v>55 850</v>
      </c>
      <c r="G880" s="2">
        <v>250</v>
      </c>
      <c r="H880" t="str">
        <f>"55 850"</f>
        <v>55 850</v>
      </c>
    </row>
    <row r="881" spans="1:9" x14ac:dyDescent="0.25">
      <c r="A881" t="s">
        <v>257</v>
      </c>
      <c r="B881">
        <v>78310</v>
      </c>
      <c r="C881" s="3">
        <v>300</v>
      </c>
      <c r="D881" s="1">
        <v>43339</v>
      </c>
      <c r="E881" t="str">
        <f>"201808243098"</f>
        <v>201808243098</v>
      </c>
      <c r="F881" t="str">
        <f>"REIMBURSE=OXYGEN CONCENTRATOR"</f>
        <v>REIMBURSE=OXYGEN CONCENTRATOR</v>
      </c>
      <c r="G881" s="2">
        <v>300</v>
      </c>
      <c r="H881" t="str">
        <f>"REIMBURSE=OXYGEN CONCENTRATOR"</f>
        <v>REIMBURSE=OXYGEN CONCENTRATOR</v>
      </c>
    </row>
    <row r="882" spans="1:9" x14ac:dyDescent="0.25">
      <c r="A882" t="s">
        <v>258</v>
      </c>
      <c r="B882">
        <v>78311</v>
      </c>
      <c r="C882" s="3">
        <v>500</v>
      </c>
      <c r="D882" s="1">
        <v>43339</v>
      </c>
      <c r="E882" t="str">
        <f>"509"</f>
        <v>509</v>
      </c>
      <c r="F882" t="str">
        <f>"INV 509"</f>
        <v>INV 509</v>
      </c>
      <c r="G882" s="2">
        <v>500</v>
      </c>
      <c r="H882" t="str">
        <f>"INV 509"</f>
        <v>INV 509</v>
      </c>
    </row>
    <row r="883" spans="1:9" x14ac:dyDescent="0.25">
      <c r="A883" t="s">
        <v>259</v>
      </c>
      <c r="B883">
        <v>78312</v>
      </c>
      <c r="C883" s="3">
        <v>7</v>
      </c>
      <c r="D883" s="1">
        <v>43339</v>
      </c>
      <c r="E883" t="str">
        <f>"58830"</f>
        <v>58830</v>
      </c>
      <c r="F883" t="str">
        <f>"2006 FORD INSPECTION/PCT#4"</f>
        <v>2006 FORD INSPECTION/PCT#4</v>
      </c>
      <c r="G883" s="2">
        <v>7</v>
      </c>
      <c r="H883" t="str">
        <f>"2006 FORD INSPECTION/PCT#4"</f>
        <v>2006 FORD INSPECTION/PCT#4</v>
      </c>
    </row>
    <row r="884" spans="1:9" x14ac:dyDescent="0.25">
      <c r="A884" t="s">
        <v>260</v>
      </c>
      <c r="B884">
        <v>999999</v>
      </c>
      <c r="C884" s="3">
        <v>3375</v>
      </c>
      <c r="D884" s="1">
        <v>43326</v>
      </c>
      <c r="E884" t="s">
        <v>87</v>
      </c>
      <c r="F884" t="s">
        <v>88</v>
      </c>
      <c r="G884" s="2" t="str">
        <f>"AD LITEM FEE  06/04/18"</f>
        <v>AD LITEM FEE  06/04/18</v>
      </c>
      <c r="H884" t="str">
        <f>"995-4110"</f>
        <v>995-4110</v>
      </c>
      <c r="I884" t="str">
        <f>""</f>
        <v/>
      </c>
    </row>
    <row r="885" spans="1:9" x14ac:dyDescent="0.25">
      <c r="E885" t="s">
        <v>80</v>
      </c>
      <c r="F885" t="s">
        <v>89</v>
      </c>
      <c r="G885" s="2" t="str">
        <f>"AD LITEM FEE"</f>
        <v>AD LITEM FEE</v>
      </c>
      <c r="H885" t="str">
        <f>"995-4110"</f>
        <v>995-4110</v>
      </c>
      <c r="I885" t="str">
        <f>""</f>
        <v/>
      </c>
    </row>
    <row r="886" spans="1:9" x14ac:dyDescent="0.25">
      <c r="E886" t="str">
        <f>"11864"</f>
        <v>11864</v>
      </c>
      <c r="F886" t="str">
        <f>"AD LITEM FEE  03/20/18"</f>
        <v>AD LITEM FEE  03/20/18</v>
      </c>
      <c r="G886" s="2">
        <v>150</v>
      </c>
      <c r="H886" t="str">
        <f>"AD LITEM FEE  03/20/18"</f>
        <v>AD LITEM FEE  03/20/18</v>
      </c>
    </row>
    <row r="887" spans="1:9" x14ac:dyDescent="0.25">
      <c r="E887" t="str">
        <f>"12294"</f>
        <v>12294</v>
      </c>
      <c r="F887" t="str">
        <f>"AD LITEM FEE  05/07/18"</f>
        <v>AD LITEM FEE  05/07/18</v>
      </c>
      <c r="G887" s="2">
        <v>150</v>
      </c>
      <c r="H887" t="str">
        <f>"AD LITEM FEE  05/07/18"</f>
        <v>AD LITEM FEE  05/07/18</v>
      </c>
    </row>
    <row r="888" spans="1:9" x14ac:dyDescent="0.25">
      <c r="E888" t="str">
        <f>"12402"</f>
        <v>12402</v>
      </c>
      <c r="F888" t="str">
        <f>"AD LITEM FEE  06/01/18"</f>
        <v>AD LITEM FEE  06/01/18</v>
      </c>
      <c r="G888" s="2">
        <v>150</v>
      </c>
      <c r="H888" t="str">
        <f>"AD LITEM FEE  06/01/18"</f>
        <v>AD LITEM FEE  06/01/18</v>
      </c>
    </row>
    <row r="889" spans="1:9" x14ac:dyDescent="0.25">
      <c r="E889" t="str">
        <f>"12436"</f>
        <v>12436</v>
      </c>
      <c r="F889" t="str">
        <f>"AD LITEM  05/29/18"</f>
        <v>AD LITEM  05/29/18</v>
      </c>
      <c r="G889" s="2">
        <v>150</v>
      </c>
      <c r="H889" t="str">
        <f>"AD LITEM  05/29/18"</f>
        <v>AD LITEM  05/29/18</v>
      </c>
    </row>
    <row r="890" spans="1:9" x14ac:dyDescent="0.25">
      <c r="E890" t="str">
        <f>"12798"</f>
        <v>12798</v>
      </c>
      <c r="F890" t="str">
        <f>"AD LITEM FEE  06/05/18"</f>
        <v>AD LITEM FEE  06/05/18</v>
      </c>
      <c r="G890" s="2">
        <v>150</v>
      </c>
      <c r="H890" t="str">
        <f>"AD LITEM FEE  06/05/18"</f>
        <v>AD LITEM FEE  06/05/18</v>
      </c>
    </row>
    <row r="891" spans="1:9" x14ac:dyDescent="0.25">
      <c r="E891" t="str">
        <f>"201808062685"</f>
        <v>201808062685</v>
      </c>
      <c r="F891" t="str">
        <f>"17-18579"</f>
        <v>17-18579</v>
      </c>
      <c r="G891" s="2">
        <v>100</v>
      </c>
      <c r="H891" t="str">
        <f>"17-18579"</f>
        <v>17-18579</v>
      </c>
    </row>
    <row r="892" spans="1:9" x14ac:dyDescent="0.25">
      <c r="E892" t="str">
        <f>"201808082784"</f>
        <v>201808082784</v>
      </c>
      <c r="F892" t="str">
        <f>"55 506"</f>
        <v>55 506</v>
      </c>
      <c r="G892" s="2">
        <v>250</v>
      </c>
      <c r="H892" t="str">
        <f>"55 506"</f>
        <v>55 506</v>
      </c>
    </row>
    <row r="893" spans="1:9" x14ac:dyDescent="0.25">
      <c r="E893" t="str">
        <f>"201808082785"</f>
        <v>201808082785</v>
      </c>
      <c r="F893" t="str">
        <f>"17-18664"</f>
        <v>17-18664</v>
      </c>
      <c r="G893" s="2">
        <v>100</v>
      </c>
      <c r="H893" t="str">
        <f>"17-18664"</f>
        <v>17-18664</v>
      </c>
    </row>
    <row r="894" spans="1:9" x14ac:dyDescent="0.25">
      <c r="E894" t="str">
        <f>"201808082846"</f>
        <v>201808082846</v>
      </c>
      <c r="F894" t="str">
        <f>"AD LITEM FEE (13 CASES)  06/27"</f>
        <v>AD LITEM FEE (13 CASES)  06/27</v>
      </c>
      <c r="G894" s="2">
        <v>1950</v>
      </c>
      <c r="H894" t="str">
        <f>"AD LITEM FEE (13 CASES)  06/27"</f>
        <v>AD LITEM FEE (13 CASES)  06/27</v>
      </c>
    </row>
    <row r="895" spans="1:9" x14ac:dyDescent="0.25">
      <c r="A895" t="s">
        <v>261</v>
      </c>
      <c r="B895">
        <v>78019</v>
      </c>
      <c r="C895" s="3">
        <v>6.38</v>
      </c>
      <c r="D895" s="1">
        <v>43325</v>
      </c>
      <c r="E895" t="s">
        <v>211</v>
      </c>
      <c r="F895" t="s">
        <v>262</v>
      </c>
      <c r="G895" s="2" t="str">
        <f>"OVERPAYMENT  06/12/18"</f>
        <v>OVERPAYMENT  06/12/18</v>
      </c>
      <c r="H895" t="str">
        <f>"210-0000"</f>
        <v>210-0000</v>
      </c>
      <c r="I895" t="str">
        <f>""</f>
        <v/>
      </c>
    </row>
    <row r="896" spans="1:9" x14ac:dyDescent="0.25">
      <c r="A896" t="s">
        <v>263</v>
      </c>
      <c r="B896">
        <v>78020</v>
      </c>
      <c r="C896" s="3">
        <v>50</v>
      </c>
      <c r="D896" s="1">
        <v>43325</v>
      </c>
      <c r="E896" t="s">
        <v>205</v>
      </c>
      <c r="F896" t="s">
        <v>264</v>
      </c>
      <c r="G896" s="2" t="str">
        <f>"RESTITUTION-M. ALMS"</f>
        <v>RESTITUTION-M. ALMS</v>
      </c>
      <c r="H896" t="str">
        <f>"210-0000"</f>
        <v>210-0000</v>
      </c>
      <c r="I896" t="str">
        <f>""</f>
        <v/>
      </c>
    </row>
    <row r="897" spans="1:9" x14ac:dyDescent="0.25">
      <c r="A897" t="s">
        <v>265</v>
      </c>
      <c r="B897">
        <v>78021</v>
      </c>
      <c r="C897" s="3">
        <v>1650</v>
      </c>
      <c r="D897" s="1">
        <v>43325</v>
      </c>
      <c r="E897" t="str">
        <f>"25570"</f>
        <v>25570</v>
      </c>
      <c r="F897" t="str">
        <f>"INV 25570"</f>
        <v>INV 25570</v>
      </c>
      <c r="G897" s="2">
        <v>1650</v>
      </c>
      <c r="H897" t="str">
        <f>"INV 25570"</f>
        <v>INV 25570</v>
      </c>
    </row>
    <row r="898" spans="1:9" x14ac:dyDescent="0.25">
      <c r="A898" t="s">
        <v>266</v>
      </c>
      <c r="B898">
        <v>78022</v>
      </c>
      <c r="C898" s="3">
        <v>50</v>
      </c>
      <c r="D898" s="1">
        <v>43325</v>
      </c>
      <c r="E898" t="str">
        <f>"201808082829"</f>
        <v>201808082829</v>
      </c>
      <c r="F898" t="str">
        <f>"REMIBURSEMENT"</f>
        <v>REMIBURSEMENT</v>
      </c>
      <c r="G898" s="2">
        <v>50</v>
      </c>
      <c r="H898" t="str">
        <f>"REMIBURSEMENT"</f>
        <v>REMIBURSEMENT</v>
      </c>
    </row>
    <row r="899" spans="1:9" x14ac:dyDescent="0.25">
      <c r="A899" t="s">
        <v>266</v>
      </c>
      <c r="B899">
        <v>78313</v>
      </c>
      <c r="C899" s="3">
        <v>120</v>
      </c>
      <c r="D899" s="1">
        <v>43339</v>
      </c>
      <c r="E899" t="str">
        <f>"201808223015"</f>
        <v>201808223015</v>
      </c>
      <c r="F899" t="str">
        <f>"PER DIEM"</f>
        <v>PER DIEM</v>
      </c>
      <c r="G899" s="2">
        <v>120</v>
      </c>
      <c r="H899" t="str">
        <f>"PER DIEM"</f>
        <v>PER DIEM</v>
      </c>
    </row>
    <row r="900" spans="1:9" x14ac:dyDescent="0.25">
      <c r="A900" t="s">
        <v>267</v>
      </c>
      <c r="B900">
        <v>78023</v>
      </c>
      <c r="C900" s="3">
        <v>3400</v>
      </c>
      <c r="D900" s="1">
        <v>43325</v>
      </c>
      <c r="E900" t="str">
        <f>"05647792"</f>
        <v>05647792</v>
      </c>
      <c r="F900" t="str">
        <f>"DEERE CREDIT SERVICES INC"</f>
        <v>DEERE CREDIT SERVICES INC</v>
      </c>
      <c r="G900" s="2">
        <v>3400</v>
      </c>
      <c r="H900" t="str">
        <f>"PAINT SPRAYER"</f>
        <v>PAINT SPRAYER</v>
      </c>
    </row>
    <row r="901" spans="1:9" x14ac:dyDescent="0.25">
      <c r="A901" t="s">
        <v>268</v>
      </c>
      <c r="B901">
        <v>78024</v>
      </c>
      <c r="C901" s="3">
        <v>543.02</v>
      </c>
      <c r="D901" s="1">
        <v>43325</v>
      </c>
      <c r="E901" t="str">
        <f>"P68462"</f>
        <v>P68462</v>
      </c>
      <c r="F901" t="str">
        <f>"ACCT#8850283308/PCT#2"</f>
        <v>ACCT#8850283308/PCT#2</v>
      </c>
      <c r="G901" s="2">
        <v>380.32</v>
      </c>
      <c r="H901" t="str">
        <f>"ACCT#8850283308/PCT#2"</f>
        <v>ACCT#8850283308/PCT#2</v>
      </c>
    </row>
    <row r="902" spans="1:9" x14ac:dyDescent="0.25">
      <c r="E902" t="str">
        <f>"P68594/68715/68770"</f>
        <v>P68594/68715/68770</v>
      </c>
      <c r="F902" t="str">
        <f>"ACCT#8850283308/PCT#4"</f>
        <v>ACCT#8850283308/PCT#4</v>
      </c>
      <c r="G902" s="2">
        <v>162.69999999999999</v>
      </c>
      <c r="H902" t="str">
        <f>"ACCT#8850283308/PCT#4"</f>
        <v>ACCT#8850283308/PCT#4</v>
      </c>
    </row>
    <row r="903" spans="1:9" x14ac:dyDescent="0.25">
      <c r="A903" t="s">
        <v>269</v>
      </c>
      <c r="B903">
        <v>78025</v>
      </c>
      <c r="C903" s="3">
        <v>100</v>
      </c>
      <c r="D903" s="1">
        <v>43325</v>
      </c>
      <c r="E903" t="s">
        <v>211</v>
      </c>
      <c r="F903" t="s">
        <v>270</v>
      </c>
      <c r="G903" s="2" t="str">
        <f>"RESTITUTION-P. MILLER"</f>
        <v>RESTITUTION-P. MILLER</v>
      </c>
      <c r="H903" t="str">
        <f>"210-0000"</f>
        <v>210-0000</v>
      </c>
      <c r="I903" t="str">
        <f>""</f>
        <v/>
      </c>
    </row>
    <row r="904" spans="1:9" x14ac:dyDescent="0.25">
      <c r="A904" t="s">
        <v>271</v>
      </c>
      <c r="B904">
        <v>999999</v>
      </c>
      <c r="C904" s="3">
        <v>1850</v>
      </c>
      <c r="D904" s="1">
        <v>43326</v>
      </c>
      <c r="E904" t="str">
        <f>"201807242383"</f>
        <v>201807242383</v>
      </c>
      <c r="F904" t="str">
        <f>"16411 COUNT 1/16411 COUNT 2"</f>
        <v>16411 COUNT 1/16411 COUNT 2</v>
      </c>
      <c r="G904" s="2">
        <v>1200</v>
      </c>
      <c r="H904" t="str">
        <f>"16411 COUNT 1/16411 COUNT 2"</f>
        <v>16411 COUNT 1/16411 COUNT 2</v>
      </c>
    </row>
    <row r="905" spans="1:9" x14ac:dyDescent="0.25">
      <c r="E905" t="str">
        <f>"201807242384"</f>
        <v>201807242384</v>
      </c>
      <c r="F905" t="str">
        <f>"16534"</f>
        <v>16534</v>
      </c>
      <c r="G905" s="2">
        <v>400</v>
      </c>
      <c r="H905" t="str">
        <f>"16534"</f>
        <v>16534</v>
      </c>
    </row>
    <row r="906" spans="1:9" x14ac:dyDescent="0.25">
      <c r="E906" t="str">
        <f>"201808082750"</f>
        <v>201808082750</v>
      </c>
      <c r="F906" t="str">
        <f>"C18-0025"</f>
        <v>C18-0025</v>
      </c>
      <c r="G906" s="2">
        <v>250</v>
      </c>
      <c r="H906" t="str">
        <f>"C18-0025"</f>
        <v>C18-0025</v>
      </c>
    </row>
    <row r="907" spans="1:9" x14ac:dyDescent="0.25">
      <c r="A907" t="s">
        <v>271</v>
      </c>
      <c r="B907">
        <v>999999</v>
      </c>
      <c r="C907" s="3">
        <v>1400</v>
      </c>
      <c r="D907" s="1">
        <v>43340</v>
      </c>
      <c r="E907" t="str">
        <f>"201808152897"</f>
        <v>201808152897</v>
      </c>
      <c r="F907" t="str">
        <f>"16471"</f>
        <v>16471</v>
      </c>
      <c r="G907" s="2">
        <v>400</v>
      </c>
      <c r="H907" t="str">
        <f>"16471"</f>
        <v>16471</v>
      </c>
    </row>
    <row r="908" spans="1:9" x14ac:dyDescent="0.25">
      <c r="E908" t="str">
        <f>"201808212986"</f>
        <v>201808212986</v>
      </c>
      <c r="F908" t="str">
        <f>"AC-2017-0327A"</f>
        <v>AC-2017-0327A</v>
      </c>
      <c r="G908" s="2">
        <v>250</v>
      </c>
      <c r="H908" t="str">
        <f>"AC-2017-0327A"</f>
        <v>AC-2017-0327A</v>
      </c>
    </row>
    <row r="909" spans="1:9" x14ac:dyDescent="0.25">
      <c r="E909" t="str">
        <f>"201808212987"</f>
        <v>201808212987</v>
      </c>
      <c r="F909" t="str">
        <f>"1JP32318M"</f>
        <v>1JP32318M</v>
      </c>
      <c r="G909" s="2">
        <v>250</v>
      </c>
      <c r="H909" t="str">
        <f>"1JP32318M"</f>
        <v>1JP32318M</v>
      </c>
    </row>
    <row r="910" spans="1:9" x14ac:dyDescent="0.25">
      <c r="E910" t="str">
        <f>"201808212990"</f>
        <v>201808212990</v>
      </c>
      <c r="F910" t="str">
        <f>"1JP518188"</f>
        <v>1JP518188</v>
      </c>
      <c r="G910" s="2">
        <v>250</v>
      </c>
      <c r="H910" t="str">
        <f>"1JP518188"</f>
        <v>1JP518188</v>
      </c>
    </row>
    <row r="911" spans="1:9" x14ac:dyDescent="0.25">
      <c r="E911" t="str">
        <f>"201808212998"</f>
        <v>201808212998</v>
      </c>
      <c r="F911" t="str">
        <f>"55871"</f>
        <v>55871</v>
      </c>
      <c r="G911" s="2">
        <v>250</v>
      </c>
      <c r="H911" t="str">
        <f>"55871"</f>
        <v>55871</v>
      </c>
    </row>
    <row r="912" spans="1:9" x14ac:dyDescent="0.25">
      <c r="A912" t="s">
        <v>272</v>
      </c>
      <c r="B912">
        <v>78314</v>
      </c>
      <c r="C912" s="3">
        <v>34.270000000000003</v>
      </c>
      <c r="D912" s="1">
        <v>43339</v>
      </c>
      <c r="E912" t="str">
        <f>"201808162947"</f>
        <v>201808162947</v>
      </c>
      <c r="F912" t="str">
        <f>"REIMBURSE-CERT GUIDE:PROJECT+"</f>
        <v>REIMBURSE-CERT GUIDE:PROJECT+</v>
      </c>
      <c r="G912" s="2">
        <v>34.270000000000003</v>
      </c>
      <c r="H912" t="str">
        <f>"REIMBURSE-CERT GUIDE:PROJECT+"</f>
        <v>REIMBURSE-CERT GUIDE:PROJECT+</v>
      </c>
    </row>
    <row r="913" spans="1:8" x14ac:dyDescent="0.25">
      <c r="A913" t="s">
        <v>273</v>
      </c>
      <c r="B913">
        <v>78026</v>
      </c>
      <c r="C913" s="3">
        <v>155</v>
      </c>
      <c r="D913" s="1">
        <v>43325</v>
      </c>
      <c r="E913" t="str">
        <f>"228860"</f>
        <v>228860</v>
      </c>
      <c r="F913" t="str">
        <f>"TRASH REMOVAL/PCT#1"</f>
        <v>TRASH REMOVAL/PCT#1</v>
      </c>
      <c r="G913" s="2">
        <v>155</v>
      </c>
      <c r="H913" t="str">
        <f>"TRASH REMOVAL/PCT#1"</f>
        <v>TRASH REMOVAL/PCT#1</v>
      </c>
    </row>
    <row r="914" spans="1:8" x14ac:dyDescent="0.25">
      <c r="A914" t="s">
        <v>274</v>
      </c>
      <c r="B914">
        <v>78027</v>
      </c>
      <c r="C914" s="3">
        <v>50</v>
      </c>
      <c r="D914" s="1">
        <v>43325</v>
      </c>
      <c r="E914" t="s">
        <v>93</v>
      </c>
      <c r="F914" t="s">
        <v>275</v>
      </c>
      <c r="G914" s="2" t="str">
        <f>"RESTITUTION-C. FERRIS 06/20/17"</f>
        <v>RESTITUTION-C. FERRIS 06/20/17</v>
      </c>
    </row>
    <row r="915" spans="1:8" x14ac:dyDescent="0.25">
      <c r="A915" t="s">
        <v>276</v>
      </c>
      <c r="B915">
        <v>999999</v>
      </c>
      <c r="C915" s="3">
        <v>2617</v>
      </c>
      <c r="D915" s="1">
        <v>43326</v>
      </c>
      <c r="E915" t="str">
        <f>"93  07/27/18"</f>
        <v>93  07/27/18</v>
      </c>
      <c r="F915" t="str">
        <f>"TOWER RENT"</f>
        <v>TOWER RENT</v>
      </c>
      <c r="G915" s="2">
        <v>2617</v>
      </c>
      <c r="H915" t="str">
        <f>"TOWER RENT"</f>
        <v>TOWER RENT</v>
      </c>
    </row>
    <row r="916" spans="1:8" x14ac:dyDescent="0.25">
      <c r="A916" t="s">
        <v>277</v>
      </c>
      <c r="B916">
        <v>78028</v>
      </c>
      <c r="C916" s="3">
        <v>308</v>
      </c>
      <c r="D916" s="1">
        <v>43325</v>
      </c>
      <c r="E916" t="str">
        <f>"251190"</f>
        <v>251190</v>
      </c>
      <c r="F916" t="str">
        <f>"ACCT#BASCO3/PCT#3"</f>
        <v>ACCT#BASCO3/PCT#3</v>
      </c>
      <c r="G916" s="2">
        <v>308</v>
      </c>
      <c r="H916" t="str">
        <f>"ACCT#BASCO3/PCT#3"</f>
        <v>ACCT#BASCO3/PCT#3</v>
      </c>
    </row>
    <row r="917" spans="1:8" x14ac:dyDescent="0.25">
      <c r="A917" t="s">
        <v>278</v>
      </c>
      <c r="B917">
        <v>78029</v>
      </c>
      <c r="C917" s="3">
        <v>240</v>
      </c>
      <c r="D917" s="1">
        <v>43325</v>
      </c>
      <c r="E917" t="str">
        <f>"201808062634"</f>
        <v>201808062634</v>
      </c>
      <c r="F917" t="str">
        <f>"REIMBURSE STATE BAR DUES"</f>
        <v>REIMBURSE STATE BAR DUES</v>
      </c>
      <c r="G917" s="2">
        <v>240</v>
      </c>
      <c r="H917" t="str">
        <f>"REIMBURSE STATE BAR DUES"</f>
        <v>REIMBURSE STATE BAR DUES</v>
      </c>
    </row>
    <row r="918" spans="1:8" x14ac:dyDescent="0.25">
      <c r="A918" t="s">
        <v>279</v>
      </c>
      <c r="B918">
        <v>78030</v>
      </c>
      <c r="C918" s="3">
        <v>19.77</v>
      </c>
      <c r="D918" s="1">
        <v>43325</v>
      </c>
      <c r="E918" t="str">
        <f>"X301019180:01"</f>
        <v>X301019180:01</v>
      </c>
      <c r="F918" t="str">
        <f>"MIRROR/FLANGE MOUNT/PCT#3"</f>
        <v>MIRROR/FLANGE MOUNT/PCT#3</v>
      </c>
      <c r="G918" s="2">
        <v>19.77</v>
      </c>
      <c r="H918" t="str">
        <f>"MIRROR/FLANGE MOUNT/PCT#3"</f>
        <v>MIRROR/FLANGE MOUNT/PCT#3</v>
      </c>
    </row>
    <row r="919" spans="1:8" x14ac:dyDescent="0.25">
      <c r="A919" t="s">
        <v>279</v>
      </c>
      <c r="B919">
        <v>78315</v>
      </c>
      <c r="C919" s="3">
        <v>1339.01</v>
      </c>
      <c r="D919" s="1">
        <v>43339</v>
      </c>
      <c r="E919" t="str">
        <f>"R301003356"</f>
        <v>R301003356</v>
      </c>
      <c r="F919" t="str">
        <f>"JOB#3 20-A1/PCT#1"</f>
        <v>JOB#3 20-A1/PCT#1</v>
      </c>
      <c r="G919" s="2">
        <v>1207.1500000000001</v>
      </c>
      <c r="H919" t="str">
        <f>"JOB#3 20-A1/PCT#1"</f>
        <v>JOB#3 20-A1/PCT#1</v>
      </c>
    </row>
    <row r="920" spans="1:8" x14ac:dyDescent="0.25">
      <c r="E920" t="str">
        <f>"X301019983:01"</f>
        <v>X301019983:01</v>
      </c>
      <c r="F920" t="str">
        <f>"ACCT#104992/FILTER/PCT#1"</f>
        <v>ACCT#104992/FILTER/PCT#1</v>
      </c>
      <c r="G920" s="2">
        <v>131.86000000000001</v>
      </c>
      <c r="H920" t="str">
        <f>"ACCT#104992/FILTER/PCT#1"</f>
        <v>ACCT#104992/FILTER/PCT#1</v>
      </c>
    </row>
    <row r="921" spans="1:8" x14ac:dyDescent="0.25">
      <c r="A921" t="s">
        <v>280</v>
      </c>
      <c r="B921">
        <v>78031</v>
      </c>
      <c r="C921" s="3">
        <v>1153.2</v>
      </c>
      <c r="D921" s="1">
        <v>43325</v>
      </c>
      <c r="E921" t="str">
        <f>"012810"</f>
        <v>012810</v>
      </c>
      <c r="F921" t="str">
        <f>"ACCT#1162/2003 FORD"</f>
        <v>ACCT#1162/2003 FORD</v>
      </c>
      <c r="G921" s="2">
        <v>13.99</v>
      </c>
      <c r="H921" t="str">
        <f>"ACCT#1162/2003 FORD"</f>
        <v>ACCT#1162/2003 FORD</v>
      </c>
    </row>
    <row r="922" spans="1:8" x14ac:dyDescent="0.25">
      <c r="E922" t="str">
        <f>"013622"</f>
        <v>013622</v>
      </c>
      <c r="F922" t="str">
        <f>"ACCT#1590/ANIMAL CONTROL"</f>
        <v>ACCT#1590/ANIMAL CONTROL</v>
      </c>
      <c r="G922" s="2">
        <v>4.96</v>
      </c>
      <c r="H922" t="str">
        <f>"ACCT#1590/ANIMAL CONTROL"</f>
        <v>ACCT#1590/ANIMAL CONTROL</v>
      </c>
    </row>
    <row r="923" spans="1:8" x14ac:dyDescent="0.25">
      <c r="E923" t="str">
        <f>"11863"</f>
        <v>11863</v>
      </c>
      <c r="F923" t="str">
        <f>"CUST#1650/PARTS"</f>
        <v>CUST#1650/PARTS</v>
      </c>
      <c r="G923" s="2">
        <v>13.16</v>
      </c>
      <c r="H923" t="str">
        <f>"CUST#1650/PARTS"</f>
        <v>CUST#1650/PARTS</v>
      </c>
    </row>
    <row r="924" spans="1:8" x14ac:dyDescent="0.25">
      <c r="E924" t="str">
        <f>"201808072700"</f>
        <v>201808072700</v>
      </c>
      <c r="F924" t="str">
        <f>"ACCT#1750/PCT#3"</f>
        <v>ACCT#1750/PCT#3</v>
      </c>
      <c r="G924" s="2">
        <v>665.29</v>
      </c>
      <c r="H924" t="str">
        <f>"ACCT#1750/PCT#3"</f>
        <v>ACCT#1750/PCT#3</v>
      </c>
    </row>
    <row r="925" spans="1:8" x14ac:dyDescent="0.25">
      <c r="E925" t="str">
        <f>"201808072708"</f>
        <v>201808072708</v>
      </c>
      <c r="F925" t="str">
        <f>"CUST#1650/PCT#1"</f>
        <v>CUST#1650/PCT#1</v>
      </c>
      <c r="G925" s="2">
        <v>378.92</v>
      </c>
      <c r="H925" t="str">
        <f>"CUST#1650/PCT#1"</f>
        <v>CUST#1650/PCT#1</v>
      </c>
    </row>
    <row r="926" spans="1:8" x14ac:dyDescent="0.25">
      <c r="E926" t="str">
        <f>"379-14011"</f>
        <v>379-14011</v>
      </c>
      <c r="F926" t="str">
        <f>"ACCT#1800/PCT#4"</f>
        <v>ACCT#1800/PCT#4</v>
      </c>
      <c r="G926" s="2">
        <v>76.88</v>
      </c>
      <c r="H926" t="str">
        <f>"ACCT#1800/PCT#4"</f>
        <v>ACCT#1800/PCT#4</v>
      </c>
    </row>
    <row r="927" spans="1:8" x14ac:dyDescent="0.25">
      <c r="A927" t="s">
        <v>281</v>
      </c>
      <c r="B927">
        <v>78032</v>
      </c>
      <c r="C927" s="3">
        <v>3771.68</v>
      </c>
      <c r="D927" s="1">
        <v>43325</v>
      </c>
      <c r="E927" t="str">
        <f>"07181672 07251289+"</f>
        <v>07181672 07251289+</v>
      </c>
      <c r="F927" t="str">
        <f>"INV 07181672/07251289/080"</f>
        <v>INV 07181672/07251289/080</v>
      </c>
      <c r="G927" s="2">
        <v>3771.68</v>
      </c>
      <c r="H927" t="str">
        <f>"INV 07181672"</f>
        <v>INV 07181672</v>
      </c>
    </row>
    <row r="928" spans="1:8" x14ac:dyDescent="0.25">
      <c r="E928" t="str">
        <f>""</f>
        <v/>
      </c>
      <c r="F928" t="str">
        <f>""</f>
        <v/>
      </c>
      <c r="H928" t="str">
        <f>"INV 07251289"</f>
        <v>INV 07251289</v>
      </c>
    </row>
    <row r="929" spans="1:8" x14ac:dyDescent="0.25">
      <c r="E929" t="str">
        <f>""</f>
        <v/>
      </c>
      <c r="F929" t="str">
        <f>""</f>
        <v/>
      </c>
      <c r="H929" t="str">
        <f>"INV 08012139"</f>
        <v>INV 08012139</v>
      </c>
    </row>
    <row r="930" spans="1:8" x14ac:dyDescent="0.25">
      <c r="A930" t="s">
        <v>281</v>
      </c>
      <c r="B930">
        <v>78316</v>
      </c>
      <c r="C930" s="3">
        <v>1109.92</v>
      </c>
      <c r="D930" s="1">
        <v>43339</v>
      </c>
      <c r="E930" t="str">
        <f>"08096024"</f>
        <v>08096024</v>
      </c>
      <c r="F930" t="str">
        <f>"INV 08096024"</f>
        <v>INV 08096024</v>
      </c>
      <c r="G930" s="2">
        <v>1109.92</v>
      </c>
      <c r="H930" t="str">
        <f>"INV 08096024"</f>
        <v>INV 08096024</v>
      </c>
    </row>
    <row r="931" spans="1:8" x14ac:dyDescent="0.25">
      <c r="A931" t="s">
        <v>282</v>
      </c>
      <c r="B931">
        <v>78033</v>
      </c>
      <c r="C931" s="3">
        <v>125</v>
      </c>
      <c r="D931" s="1">
        <v>43325</v>
      </c>
      <c r="E931" t="str">
        <f>"201808062656"</f>
        <v>201808062656</v>
      </c>
      <c r="F931" t="str">
        <f>"REGISTRATION-ADENA LEWIS"</f>
        <v>REGISTRATION-ADENA LEWIS</v>
      </c>
      <c r="G931" s="2">
        <v>125</v>
      </c>
      <c r="H931" t="str">
        <f>"REGISTRATION-ADENA LEWIS"</f>
        <v>REGISTRATION-ADENA LEWIS</v>
      </c>
    </row>
    <row r="932" spans="1:8" x14ac:dyDescent="0.25">
      <c r="A932" t="s">
        <v>283</v>
      </c>
      <c r="B932">
        <v>78034</v>
      </c>
      <c r="C932" s="3">
        <v>1104</v>
      </c>
      <c r="D932" s="1">
        <v>43325</v>
      </c>
      <c r="E932" t="str">
        <f>"299206-000"</f>
        <v>299206-000</v>
      </c>
      <c r="F932" t="str">
        <f>"INV 299206-000"</f>
        <v>INV 299206-000</v>
      </c>
      <c r="G932" s="2">
        <v>1104</v>
      </c>
      <c r="H932" t="str">
        <f>"INV 299206-000"</f>
        <v>INV 299206-000</v>
      </c>
    </row>
    <row r="933" spans="1:8" x14ac:dyDescent="0.25">
      <c r="A933" t="s">
        <v>284</v>
      </c>
      <c r="B933">
        <v>78035</v>
      </c>
      <c r="C933" s="3">
        <v>99</v>
      </c>
      <c r="D933" s="1">
        <v>43325</v>
      </c>
      <c r="E933" t="str">
        <f>"ALC17198"</f>
        <v>ALC17198</v>
      </c>
      <c r="F933" t="str">
        <f>"INV ALC17198"</f>
        <v>INV ALC17198</v>
      </c>
      <c r="G933" s="2">
        <v>99</v>
      </c>
      <c r="H933" t="str">
        <f>"INV ALC17198"</f>
        <v>INV ALC17198</v>
      </c>
    </row>
    <row r="934" spans="1:8" x14ac:dyDescent="0.25">
      <c r="A934" t="s">
        <v>285</v>
      </c>
      <c r="B934">
        <v>78036</v>
      </c>
      <c r="C934" s="3">
        <v>41</v>
      </c>
      <c r="D934" s="1">
        <v>43325</v>
      </c>
      <c r="E934" t="str">
        <f>"44449  44814"</f>
        <v>44449  44814</v>
      </c>
      <c r="F934" t="str">
        <f>"TIRE SVCS/PCT#4"</f>
        <v>TIRE SVCS/PCT#4</v>
      </c>
      <c r="G934" s="2">
        <v>41</v>
      </c>
      <c r="H934" t="str">
        <f>"TIRE SVCS/PCT#4"</f>
        <v>TIRE SVCS/PCT#4</v>
      </c>
    </row>
    <row r="935" spans="1:8" x14ac:dyDescent="0.25">
      <c r="A935" t="s">
        <v>286</v>
      </c>
      <c r="B935">
        <v>77898</v>
      </c>
      <c r="C935" s="3">
        <v>60.54</v>
      </c>
      <c r="D935" s="1">
        <v>43321</v>
      </c>
      <c r="E935" t="str">
        <f>"201808082844"</f>
        <v>201808082844</v>
      </c>
      <c r="F935" t="str">
        <f>"ACCT#1-09-00072-02 1/07262018"</f>
        <v>ACCT#1-09-00072-02 1/07262018</v>
      </c>
      <c r="G935" s="2">
        <v>60.54</v>
      </c>
      <c r="H935" t="str">
        <f>"ACCT#1-09-00072-02 1/07262018"</f>
        <v>ACCT#1-09-00072-02 1/07262018</v>
      </c>
    </row>
    <row r="936" spans="1:8" x14ac:dyDescent="0.25">
      <c r="A936" t="s">
        <v>287</v>
      </c>
      <c r="B936">
        <v>78317</v>
      </c>
      <c r="C936" s="3">
        <v>225</v>
      </c>
      <c r="D936" s="1">
        <v>43339</v>
      </c>
      <c r="E936" t="str">
        <f>"18603"</f>
        <v>18603</v>
      </c>
      <c r="F936" t="str">
        <f>"TRANSLATION 17-18738"</f>
        <v>TRANSLATION 17-18738</v>
      </c>
      <c r="G936" s="2">
        <v>225</v>
      </c>
      <c r="H936" t="str">
        <f>"TRANSLATION 17-18738"</f>
        <v>TRANSLATION 17-18738</v>
      </c>
    </row>
    <row r="937" spans="1:8" x14ac:dyDescent="0.25">
      <c r="A937" t="s">
        <v>288</v>
      </c>
      <c r="B937">
        <v>78037</v>
      </c>
      <c r="C937" s="3">
        <v>889.85</v>
      </c>
      <c r="D937" s="1">
        <v>43325</v>
      </c>
      <c r="E937" t="str">
        <f>"1211621-20180731"</f>
        <v>1211621-20180731</v>
      </c>
      <c r="F937" t="str">
        <f>"BILLING ID:1211621/HEALTH SVCS"</f>
        <v>BILLING ID:1211621/HEALTH SVCS</v>
      </c>
      <c r="G937" s="2">
        <v>424.2</v>
      </c>
      <c r="H937" t="str">
        <f>"BILLING ID:1211621/HEALTH SVCS"</f>
        <v>BILLING ID:1211621/HEALTH SVCS</v>
      </c>
    </row>
    <row r="938" spans="1:8" x14ac:dyDescent="0.25">
      <c r="E938" t="str">
        <f>"1361725-20180731"</f>
        <v>1361725-20180731</v>
      </c>
      <c r="F938" t="str">
        <f>"BILLING#:1361725/INDIGENT HLTH"</f>
        <v>BILLING#:1361725/INDIGENT HLTH</v>
      </c>
      <c r="G938" s="2">
        <v>63.85</v>
      </c>
      <c r="H938" t="str">
        <f>"BILLING#:1361725/INDIGENT HLTH"</f>
        <v>BILLING#:1361725/INDIGENT HLTH</v>
      </c>
    </row>
    <row r="939" spans="1:8" x14ac:dyDescent="0.25">
      <c r="E939" t="str">
        <f>"1394645-20180731"</f>
        <v>1394645-20180731</v>
      </c>
      <c r="F939" t="str">
        <f>"BILLING ID:1394645/COUNTY CLER"</f>
        <v>BILLING ID:1394645/COUNTY CLER</v>
      </c>
      <c r="G939" s="2">
        <v>50</v>
      </c>
      <c r="H939" t="str">
        <f>"BILLING ID:1394645/COUNTY CLER"</f>
        <v>BILLING ID:1394645/COUNTY CLER</v>
      </c>
    </row>
    <row r="940" spans="1:8" x14ac:dyDescent="0.25">
      <c r="E940" t="str">
        <f>"1420944-20180731"</f>
        <v>1420944-20180731</v>
      </c>
      <c r="F940" t="str">
        <f>"BILLING ID:1420944/SHERIFF"</f>
        <v>BILLING ID:1420944/SHERIFF</v>
      </c>
      <c r="G940" s="2">
        <v>301.8</v>
      </c>
      <c r="H940" t="str">
        <f>"BILLING ID:1420944/SHERIFF"</f>
        <v>BILLING ID:1420944/SHERIFF</v>
      </c>
    </row>
    <row r="941" spans="1:8" x14ac:dyDescent="0.25">
      <c r="E941" t="str">
        <f>"1489870-20180731"</f>
        <v>1489870-20180731</v>
      </c>
      <c r="F941" t="str">
        <f>"BILLING ID:1489870/DIST CLERK"</f>
        <v>BILLING ID:1489870/DIST CLERK</v>
      </c>
      <c r="G941" s="2">
        <v>50</v>
      </c>
      <c r="H941" t="str">
        <f>"BILLING ID:1489870/DIST CLERK"</f>
        <v>BILLING ID:1489870/DIST CLERK</v>
      </c>
    </row>
    <row r="942" spans="1:8" x14ac:dyDescent="0.25">
      <c r="A942" t="s">
        <v>289</v>
      </c>
      <c r="B942">
        <v>78038</v>
      </c>
      <c r="C942" s="3">
        <v>968.46</v>
      </c>
      <c r="D942" s="1">
        <v>43325</v>
      </c>
      <c r="E942" t="str">
        <f>"1412318"</f>
        <v>1412318</v>
      </c>
      <c r="F942" t="str">
        <f>"ACCT#15717/TIRE SVCS"</f>
        <v>ACCT#15717/TIRE SVCS</v>
      </c>
      <c r="G942" s="2">
        <v>968.46</v>
      </c>
      <c r="H942" t="str">
        <f>"ACCT#15717/TIRE SVCS"</f>
        <v>ACCT#15717/TIRE SVCS</v>
      </c>
    </row>
    <row r="943" spans="1:8" x14ac:dyDescent="0.25">
      <c r="A943" t="s">
        <v>289</v>
      </c>
      <c r="B943">
        <v>78318</v>
      </c>
      <c r="C943" s="3">
        <v>296.62</v>
      </c>
      <c r="D943" s="1">
        <v>43339</v>
      </c>
      <c r="E943" t="str">
        <f>"1417359"</f>
        <v>1417359</v>
      </c>
      <c r="F943" t="str">
        <f>"ACCT#15717/TIRE SVCS"</f>
        <v>ACCT#15717/TIRE SVCS</v>
      </c>
      <c r="G943" s="2">
        <v>296.62</v>
      </c>
      <c r="H943" t="str">
        <f>"ACCT#15717/TIRE SVCS"</f>
        <v>ACCT#15717/TIRE SVCS</v>
      </c>
    </row>
    <row r="944" spans="1:8" x14ac:dyDescent="0.25">
      <c r="A944" t="s">
        <v>290</v>
      </c>
      <c r="B944">
        <v>999999</v>
      </c>
      <c r="C944" s="3">
        <v>262.55</v>
      </c>
      <c r="D944" s="1">
        <v>43326</v>
      </c>
      <c r="E944" t="str">
        <f>"201807242395"</f>
        <v>201807242395</v>
      </c>
      <c r="F944" t="str">
        <f>"FNB CHARGE FOR CHECKS"</f>
        <v>FNB CHARGE FOR CHECKS</v>
      </c>
      <c r="G944" s="2">
        <v>210.05</v>
      </c>
      <c r="H944" t="str">
        <f>"FNB CHARGE FOR CHECKS"</f>
        <v>FNB CHARGE FOR CHECKS</v>
      </c>
    </row>
    <row r="945" spans="1:8" x14ac:dyDescent="0.25">
      <c r="E945" t="str">
        <f>"201807272404"</f>
        <v>201807272404</v>
      </c>
      <c r="F945" t="str">
        <f>"REG-2004 CPS/2007 FRH/2011 FRH"</f>
        <v>REG-2004 CPS/2007 FRH/2011 FRH</v>
      </c>
      <c r="G945" s="2">
        <v>22.5</v>
      </c>
      <c r="H945" t="str">
        <f>"REGISTRATION-2004 CPS/2007 FRH"</f>
        <v>REGISTRATION-2004 CPS/2007 FRH</v>
      </c>
    </row>
    <row r="946" spans="1:8" x14ac:dyDescent="0.25">
      <c r="E946" t="str">
        <f>"201808072692"</f>
        <v>201808072692</v>
      </c>
      <c r="F946" t="str">
        <f>"2014 FORD VEHICLE REG/GEN SVCS"</f>
        <v>2014 FORD VEHICLE REG/GEN SVCS</v>
      </c>
      <c r="G946" s="2">
        <v>7.5</v>
      </c>
      <c r="H946" t="str">
        <f>"2014 FORD VEHICLE REG/GEN SVCS"</f>
        <v>2014 FORD VEHICLE REG/GEN SVCS</v>
      </c>
    </row>
    <row r="947" spans="1:8" x14ac:dyDescent="0.25">
      <c r="E947" t="str">
        <f>"201808072719"</f>
        <v>201808072719</v>
      </c>
      <c r="F947" t="str">
        <f>"VEHICLE REGISTRATIONS-SHERIFF"</f>
        <v>VEHICLE REGISTRATIONS-SHERIFF</v>
      </c>
      <c r="G947" s="2">
        <v>22.5</v>
      </c>
      <c r="H947" t="str">
        <f>"VEHICLE REGISTRATIONS-SHERIFF"</f>
        <v>VEHICLE REGISTRATIONS-SHERIFF</v>
      </c>
    </row>
    <row r="948" spans="1:8" x14ac:dyDescent="0.25">
      <c r="A948" t="s">
        <v>290</v>
      </c>
      <c r="B948">
        <v>999999</v>
      </c>
      <c r="C948" s="3">
        <v>82.5</v>
      </c>
      <c r="D948" s="1">
        <v>43340</v>
      </c>
      <c r="E948" t="str">
        <f>"12470"</f>
        <v>12470</v>
      </c>
      <c r="F948" t="str">
        <f>"REFUND  (TAX SALE) 06/27/18"</f>
        <v>REFUND  (TAX SALE) 06/27/18</v>
      </c>
      <c r="G948" s="2">
        <v>75</v>
      </c>
      <c r="H948" t="str">
        <f>"REFUND  (TAX SALE) 06/27/18"</f>
        <v>REFUND  (TAX SALE) 06/27/18</v>
      </c>
    </row>
    <row r="949" spans="1:8" x14ac:dyDescent="0.25">
      <c r="E949" t="str">
        <f>"201808162945"</f>
        <v>201808162945</v>
      </c>
      <c r="F949" t="str">
        <f>"2006 FORD PK/PCT#4"</f>
        <v>2006 FORD PK/PCT#4</v>
      </c>
      <c r="G949" s="2">
        <v>7.5</v>
      </c>
      <c r="H949" t="str">
        <f>"2006 FORD PK/PCT#4"</f>
        <v>2006 FORD PK/PCT#4</v>
      </c>
    </row>
    <row r="950" spans="1:8" x14ac:dyDescent="0.25">
      <c r="A950" t="s">
        <v>291</v>
      </c>
      <c r="B950">
        <v>78039</v>
      </c>
      <c r="C950" s="3">
        <v>240</v>
      </c>
      <c r="D950" s="1">
        <v>43325</v>
      </c>
      <c r="E950" t="str">
        <f>"201807242396"</f>
        <v>201807242396</v>
      </c>
      <c r="F950" t="str">
        <f>"REIMBURSE STATE BAR DUES"</f>
        <v>REIMBURSE STATE BAR DUES</v>
      </c>
      <c r="G950" s="2">
        <v>240</v>
      </c>
      <c r="H950" t="str">
        <f>"REIMBURSE STATE BAR DUES"</f>
        <v>REIMBURSE STATE BAR DUES</v>
      </c>
    </row>
    <row r="951" spans="1:8" x14ac:dyDescent="0.25">
      <c r="A951" t="s">
        <v>292</v>
      </c>
      <c r="B951">
        <v>78040</v>
      </c>
      <c r="C951" s="3">
        <v>1125</v>
      </c>
      <c r="D951" s="1">
        <v>43325</v>
      </c>
      <c r="E951" t="str">
        <f>"201808082741"</f>
        <v>201808082741</v>
      </c>
      <c r="F951" t="str">
        <f>"55 818"</f>
        <v>55 818</v>
      </c>
      <c r="G951" s="2">
        <v>250</v>
      </c>
      <c r="H951" t="str">
        <f>"55 818"</f>
        <v>55 818</v>
      </c>
    </row>
    <row r="952" spans="1:8" x14ac:dyDescent="0.25">
      <c r="E952" t="str">
        <f>"201808082742"</f>
        <v>201808082742</v>
      </c>
      <c r="F952" t="str">
        <f>"55 403"</f>
        <v>55 403</v>
      </c>
      <c r="G952" s="2">
        <v>250</v>
      </c>
      <c r="H952" t="str">
        <f>"55 403"</f>
        <v>55 403</v>
      </c>
    </row>
    <row r="953" spans="1:8" x14ac:dyDescent="0.25">
      <c r="E953" t="str">
        <f>"201808082743"</f>
        <v>201808082743</v>
      </c>
      <c r="F953" t="str">
        <f>"55 263"</f>
        <v>55 263</v>
      </c>
      <c r="G953" s="2">
        <v>250</v>
      </c>
      <c r="H953" t="str">
        <f>"55 263"</f>
        <v>55 263</v>
      </c>
    </row>
    <row r="954" spans="1:8" x14ac:dyDescent="0.25">
      <c r="E954" t="str">
        <f>"201808082744"</f>
        <v>201808082744</v>
      </c>
      <c r="F954" t="str">
        <f>"55 985  55 986"</f>
        <v>55 985  55 986</v>
      </c>
      <c r="G954" s="2">
        <v>375</v>
      </c>
      <c r="H954" t="str">
        <f>"55 985  55 986"</f>
        <v>55 985  55 986</v>
      </c>
    </row>
    <row r="955" spans="1:8" x14ac:dyDescent="0.25">
      <c r="A955" t="s">
        <v>293</v>
      </c>
      <c r="B955">
        <v>999999</v>
      </c>
      <c r="C955" s="3">
        <v>1117</v>
      </c>
      <c r="D955" s="1">
        <v>43326</v>
      </c>
      <c r="E955" t="str">
        <f>"97493319"</f>
        <v>97493319</v>
      </c>
      <c r="F955" t="str">
        <f>"CLIENT#3619/PROF SVCS 6/30/18"</f>
        <v>CLIENT#3619/PROF SVCS 6/30/18</v>
      </c>
      <c r="G955" s="2">
        <v>579.5</v>
      </c>
      <c r="H955" t="str">
        <f>"CLIENT#3619/PROF SVCS 6/30/18"</f>
        <v>CLIENT#3619/PROF SVCS 6/30/18</v>
      </c>
    </row>
    <row r="956" spans="1:8" x14ac:dyDescent="0.25">
      <c r="E956" t="str">
        <f>"97493320"</f>
        <v>97493320</v>
      </c>
      <c r="F956" t="str">
        <f>"CLIENT #3619/PROF SVCS 6/30/18"</f>
        <v>CLIENT #3619/PROF SVCS 6/30/18</v>
      </c>
      <c r="G956" s="2">
        <v>537.5</v>
      </c>
      <c r="H956" t="str">
        <f>"CLIENT #3619/PROF SVCS 6/30/18"</f>
        <v>CLIENT #3619/PROF SVCS 6/30/18</v>
      </c>
    </row>
    <row r="957" spans="1:8" x14ac:dyDescent="0.25">
      <c r="A957" t="s">
        <v>293</v>
      </c>
      <c r="B957">
        <v>999999</v>
      </c>
      <c r="C957" s="3">
        <v>1659</v>
      </c>
      <c r="D957" s="1">
        <v>43340</v>
      </c>
      <c r="E957" t="str">
        <f>"97494086"</f>
        <v>97494086</v>
      </c>
      <c r="F957" t="str">
        <f>"PROFESSIONAL SVCS THRU 7/31"</f>
        <v>PROFESSIONAL SVCS THRU 7/31</v>
      </c>
      <c r="G957" s="2">
        <v>1659</v>
      </c>
      <c r="H957" t="str">
        <f>"PROFESSIONAL SVCS THRU 7/31"</f>
        <v>PROFESSIONAL SVCS THRU 7/31</v>
      </c>
    </row>
    <row r="958" spans="1:8" x14ac:dyDescent="0.25">
      <c r="A958" t="s">
        <v>294</v>
      </c>
      <c r="B958">
        <v>999999</v>
      </c>
      <c r="C958" s="3">
        <v>468.08</v>
      </c>
      <c r="D958" s="1">
        <v>43326</v>
      </c>
      <c r="E958" t="str">
        <f>"201808082867"</f>
        <v>201808082867</v>
      </c>
      <c r="F958" t="str">
        <f>"INDIGENT HEALTH"</f>
        <v>INDIGENT HEALTH</v>
      </c>
      <c r="G958" s="2">
        <v>468.08</v>
      </c>
      <c r="H958" t="str">
        <f>"INDIGENT HEALTH"</f>
        <v>INDIGENT HEALTH</v>
      </c>
    </row>
    <row r="959" spans="1:8" x14ac:dyDescent="0.25">
      <c r="E959" t="str">
        <f>""</f>
        <v/>
      </c>
      <c r="F959" t="str">
        <f>""</f>
        <v/>
      </c>
      <c r="H959" t="str">
        <f>"INDIGENT HEALTH"</f>
        <v>INDIGENT HEALTH</v>
      </c>
    </row>
    <row r="960" spans="1:8" x14ac:dyDescent="0.25">
      <c r="A960" t="s">
        <v>295</v>
      </c>
      <c r="B960">
        <v>999999</v>
      </c>
      <c r="C960" s="3">
        <v>1190.5999999999999</v>
      </c>
      <c r="D960" s="1">
        <v>43326</v>
      </c>
      <c r="E960" t="str">
        <f>"LS-16F150-BCSO"</f>
        <v>LS-16F150-BCSO</v>
      </c>
      <c r="F960" t="str">
        <f>"INV LS-16F150-BCSO"</f>
        <v>INV LS-16F150-BCSO</v>
      </c>
      <c r="G960" s="2">
        <v>1190.5999999999999</v>
      </c>
      <c r="H960" t="str">
        <f>"INV LS-16F150-BCSO"</f>
        <v>INV LS-16F150-BCSO</v>
      </c>
    </row>
    <row r="961" spans="1:8" x14ac:dyDescent="0.25">
      <c r="A961" t="s">
        <v>296</v>
      </c>
      <c r="B961">
        <v>78041</v>
      </c>
      <c r="C961" s="3">
        <v>228.75</v>
      </c>
      <c r="D961" s="1">
        <v>43325</v>
      </c>
      <c r="E961" t="str">
        <f>"SS220062060"</f>
        <v>SS220062060</v>
      </c>
      <c r="F961" t="str">
        <f>"Inv# SS220062060"</f>
        <v>Inv# SS220062060</v>
      </c>
      <c r="G961" s="2">
        <v>228.75</v>
      </c>
      <c r="H961" t="str">
        <f>"Inv# SS220062060"</f>
        <v>Inv# SS220062060</v>
      </c>
    </row>
    <row r="962" spans="1:8" x14ac:dyDescent="0.25">
      <c r="A962" t="s">
        <v>296</v>
      </c>
      <c r="B962">
        <v>78319</v>
      </c>
      <c r="C962" s="3">
        <v>3830.12</v>
      </c>
      <c r="D962" s="1">
        <v>43339</v>
      </c>
      <c r="E962" t="str">
        <f>"SS220062577:01"</f>
        <v>SS220062577:01</v>
      </c>
      <c r="F962" t="str">
        <f>"SERVICE / P4"</f>
        <v>SERVICE / P4</v>
      </c>
      <c r="G962" s="2">
        <v>3830.12</v>
      </c>
      <c r="H962" t="str">
        <f>"SERVICE / P4"</f>
        <v>SERVICE / P4</v>
      </c>
    </row>
    <row r="963" spans="1:8" x14ac:dyDescent="0.25">
      <c r="A963" t="s">
        <v>297</v>
      </c>
      <c r="B963">
        <v>78042</v>
      </c>
      <c r="C963" s="3">
        <v>613.57000000000005</v>
      </c>
      <c r="D963" s="1">
        <v>43325</v>
      </c>
      <c r="E963" t="str">
        <f>"201808082868"</f>
        <v>201808082868</v>
      </c>
      <c r="F963" t="str">
        <f>"INDIGENT HEALTH"</f>
        <v>INDIGENT HEALTH</v>
      </c>
      <c r="G963" s="2">
        <v>613.57000000000005</v>
      </c>
      <c r="H963" t="str">
        <f>"INDIGENT HEALTH"</f>
        <v>INDIGENT HEALTH</v>
      </c>
    </row>
    <row r="964" spans="1:8" x14ac:dyDescent="0.25">
      <c r="E964" t="str">
        <f>""</f>
        <v/>
      </c>
      <c r="F964" t="str">
        <f>""</f>
        <v/>
      </c>
      <c r="H964" t="str">
        <f>"INDIGENT HEALTH"</f>
        <v>INDIGENT HEALTH</v>
      </c>
    </row>
    <row r="965" spans="1:8" x14ac:dyDescent="0.25">
      <c r="A965" t="s">
        <v>298</v>
      </c>
      <c r="B965">
        <v>999999</v>
      </c>
      <c r="C965" s="3">
        <v>767</v>
      </c>
      <c r="D965" s="1">
        <v>43326</v>
      </c>
      <c r="E965" t="str">
        <f>"201808072701"</f>
        <v>201808072701</v>
      </c>
      <c r="F965" t="str">
        <f>"TRASH REMOVAL 07/23-07/31"</f>
        <v>TRASH REMOVAL 07/23-07/31</v>
      </c>
      <c r="G965" s="2">
        <v>481</v>
      </c>
      <c r="H965" t="str">
        <f>"TRASH REMOVAL 07/23-07/31"</f>
        <v>TRASH REMOVAL 07/23-07/31</v>
      </c>
    </row>
    <row r="966" spans="1:8" x14ac:dyDescent="0.25">
      <c r="E966" t="str">
        <f>"201808072702"</f>
        <v>201808072702</v>
      </c>
      <c r="F966" t="str">
        <f>"TRASH REMOVAL 08/02-08/09/P4"</f>
        <v>TRASH REMOVAL 08/02-08/09/P4</v>
      </c>
      <c r="G966" s="2">
        <v>286</v>
      </c>
      <c r="H966" t="str">
        <f>"TRASH REMOVAL 08/02-08/09/P4"</f>
        <v>TRASH REMOVAL 08/02-08/09/P4</v>
      </c>
    </row>
    <row r="967" spans="1:8" x14ac:dyDescent="0.25">
      <c r="A967" t="s">
        <v>298</v>
      </c>
      <c r="B967">
        <v>999999</v>
      </c>
      <c r="C967" s="3">
        <v>442</v>
      </c>
      <c r="D967" s="1">
        <v>43340</v>
      </c>
      <c r="E967" t="str">
        <f>"201808212959"</f>
        <v>201808212959</v>
      </c>
      <c r="F967" t="str">
        <f>"TRASH REMOVAL 8/13-8/24/PCT#4"</f>
        <v>TRASH REMOVAL 8/13-8/24/PCT#4</v>
      </c>
      <c r="G967" s="2">
        <v>442</v>
      </c>
      <c r="H967" t="str">
        <f>"TRASH REMOVAL 8/13-8/24/PCT#4"</f>
        <v>TRASH REMOVAL 8/13-8/24/PCT#4</v>
      </c>
    </row>
    <row r="968" spans="1:8" x14ac:dyDescent="0.25">
      <c r="A968" t="s">
        <v>299</v>
      </c>
      <c r="B968">
        <v>999999</v>
      </c>
      <c r="C968" s="3">
        <v>398</v>
      </c>
      <c r="D968" s="1">
        <v>43326</v>
      </c>
      <c r="E968" t="str">
        <f>"10-000190"</f>
        <v>10-000190</v>
      </c>
      <c r="F968" t="str">
        <f>"INV 10-000190"</f>
        <v>INV 10-000190</v>
      </c>
      <c r="G968" s="2">
        <v>398</v>
      </c>
      <c r="H968" t="str">
        <f>"INV 10-000190"</f>
        <v>INV 10-000190</v>
      </c>
    </row>
    <row r="969" spans="1:8" x14ac:dyDescent="0.25">
      <c r="A969" t="s">
        <v>300</v>
      </c>
      <c r="B969">
        <v>78043</v>
      </c>
      <c r="C969" s="3">
        <v>2662.53</v>
      </c>
      <c r="D969" s="1">
        <v>43325</v>
      </c>
      <c r="E969" t="str">
        <f>"BC - M48657-3"</f>
        <v>BC - M48657-3</v>
      </c>
      <c r="F969" t="str">
        <f>"2003 FRHT/PCT#3"</f>
        <v>2003 FRHT/PCT#3</v>
      </c>
      <c r="G969" s="2">
        <v>2662.53</v>
      </c>
      <c r="H969" t="str">
        <f>"2003 FRHT/PCT#3"</f>
        <v>2003 FRHT/PCT#3</v>
      </c>
    </row>
    <row r="970" spans="1:8" x14ac:dyDescent="0.25">
      <c r="A970" t="s">
        <v>301</v>
      </c>
      <c r="B970">
        <v>78320</v>
      </c>
      <c r="C970" s="3">
        <v>2142.12</v>
      </c>
      <c r="D970" s="1">
        <v>43339</v>
      </c>
      <c r="E970" t="str">
        <f>"201808212976"</f>
        <v>201808212976</v>
      </c>
      <c r="F970" t="str">
        <f>"Acct# 99006938692"</f>
        <v>Acct# 99006938692</v>
      </c>
      <c r="G970" s="2">
        <v>2142.12</v>
      </c>
      <c r="H970" t="str">
        <f>"Inv# 991560"</f>
        <v>Inv# 991560</v>
      </c>
    </row>
    <row r="971" spans="1:8" x14ac:dyDescent="0.25">
      <c r="E971" t="str">
        <f>""</f>
        <v/>
      </c>
      <c r="F971" t="str">
        <f>""</f>
        <v/>
      </c>
      <c r="H971" t="str">
        <f>"Inv# 914535"</f>
        <v>Inv# 914535</v>
      </c>
    </row>
    <row r="972" spans="1:8" x14ac:dyDescent="0.25">
      <c r="E972" t="str">
        <f>""</f>
        <v/>
      </c>
      <c r="F972" t="str">
        <f>""</f>
        <v/>
      </c>
      <c r="H972" t="str">
        <f>"Inv# 914581"</f>
        <v>Inv# 914581</v>
      </c>
    </row>
    <row r="973" spans="1:8" x14ac:dyDescent="0.25">
      <c r="E973" t="str">
        <f>""</f>
        <v/>
      </c>
      <c r="F973" t="str">
        <f>""</f>
        <v/>
      </c>
      <c r="H973" t="str">
        <f>"Inv# 914451"</f>
        <v>Inv# 914451</v>
      </c>
    </row>
    <row r="974" spans="1:8" x14ac:dyDescent="0.25">
      <c r="E974" t="str">
        <f>""</f>
        <v/>
      </c>
      <c r="F974" t="str">
        <f>""</f>
        <v/>
      </c>
      <c r="H974" t="str">
        <f>"Inv# 915162"</f>
        <v>Inv# 915162</v>
      </c>
    </row>
    <row r="975" spans="1:8" x14ac:dyDescent="0.25">
      <c r="E975" t="str">
        <f>""</f>
        <v/>
      </c>
      <c r="F975" t="str">
        <f>""</f>
        <v/>
      </c>
      <c r="H975" t="str">
        <f>"Inv# 914434"</f>
        <v>Inv# 914434</v>
      </c>
    </row>
    <row r="976" spans="1:8" x14ac:dyDescent="0.25">
      <c r="E976" t="str">
        <f>""</f>
        <v/>
      </c>
      <c r="F976" t="str">
        <f>""</f>
        <v/>
      </c>
      <c r="H976" t="str">
        <f>"Inv# 918872"</f>
        <v>Inv# 918872</v>
      </c>
    </row>
    <row r="977" spans="1:8" x14ac:dyDescent="0.25">
      <c r="E977" t="str">
        <f>""</f>
        <v/>
      </c>
      <c r="F977" t="str">
        <f>""</f>
        <v/>
      </c>
      <c r="H977" t="str">
        <f>"Inv# 913105"</f>
        <v>Inv# 913105</v>
      </c>
    </row>
    <row r="978" spans="1:8" x14ac:dyDescent="0.25">
      <c r="E978" t="str">
        <f>""</f>
        <v/>
      </c>
      <c r="F978" t="str">
        <f>""</f>
        <v/>
      </c>
      <c r="H978" t="str">
        <f>"Inv# 914231"</f>
        <v>Inv# 914231</v>
      </c>
    </row>
    <row r="979" spans="1:8" x14ac:dyDescent="0.25">
      <c r="E979" t="str">
        <f>""</f>
        <v/>
      </c>
      <c r="F979" t="str">
        <f>""</f>
        <v/>
      </c>
      <c r="H979" t="str">
        <f>"Inv# 914053"</f>
        <v>Inv# 914053</v>
      </c>
    </row>
    <row r="980" spans="1:8" x14ac:dyDescent="0.25">
      <c r="E980" t="str">
        <f>""</f>
        <v/>
      </c>
      <c r="F980" t="str">
        <f>""</f>
        <v/>
      </c>
      <c r="H980" t="str">
        <f>"Inv# 901104"</f>
        <v>Inv# 901104</v>
      </c>
    </row>
    <row r="981" spans="1:8" x14ac:dyDescent="0.25">
      <c r="E981" t="str">
        <f>""</f>
        <v/>
      </c>
      <c r="F981" t="str">
        <f>""</f>
        <v/>
      </c>
      <c r="H981" t="str">
        <f>"Inv# 914292"</f>
        <v>Inv# 914292</v>
      </c>
    </row>
    <row r="982" spans="1:8" x14ac:dyDescent="0.25">
      <c r="E982" t="str">
        <f>""</f>
        <v/>
      </c>
      <c r="F982" t="str">
        <f>""</f>
        <v/>
      </c>
      <c r="H982" t="str">
        <f>"Inv# 901268"</f>
        <v>Inv# 901268</v>
      </c>
    </row>
    <row r="983" spans="1:8" x14ac:dyDescent="0.25">
      <c r="E983" t="str">
        <f>""</f>
        <v/>
      </c>
      <c r="F983" t="str">
        <f>""</f>
        <v/>
      </c>
      <c r="H983" t="str">
        <f>"Inv# 902878"</f>
        <v>Inv# 902878</v>
      </c>
    </row>
    <row r="984" spans="1:8" x14ac:dyDescent="0.25">
      <c r="E984" t="str">
        <f>""</f>
        <v/>
      </c>
      <c r="F984" t="str">
        <f>""</f>
        <v/>
      </c>
      <c r="H984" t="str">
        <f>"Inv# 901169"</f>
        <v>Inv# 901169</v>
      </c>
    </row>
    <row r="985" spans="1:8" x14ac:dyDescent="0.25">
      <c r="E985" t="str">
        <f>""</f>
        <v/>
      </c>
      <c r="F985" t="str">
        <f>""</f>
        <v/>
      </c>
      <c r="H985" t="str">
        <f>"Inv# 901172"</f>
        <v>Inv# 901172</v>
      </c>
    </row>
    <row r="986" spans="1:8" x14ac:dyDescent="0.25">
      <c r="E986" t="str">
        <f>""</f>
        <v/>
      </c>
      <c r="F986" t="str">
        <f>""</f>
        <v/>
      </c>
      <c r="H986" t="str">
        <f>"Inv# 913556"</f>
        <v>Inv# 913556</v>
      </c>
    </row>
    <row r="987" spans="1:8" x14ac:dyDescent="0.25">
      <c r="E987" t="str">
        <f>""</f>
        <v/>
      </c>
      <c r="F987" t="str">
        <f>""</f>
        <v/>
      </c>
      <c r="H987" t="str">
        <f>"Inv# 919027"</f>
        <v>Inv# 919027</v>
      </c>
    </row>
    <row r="988" spans="1:8" x14ac:dyDescent="0.25">
      <c r="E988" t="str">
        <f>""</f>
        <v/>
      </c>
      <c r="F988" t="str">
        <f>""</f>
        <v/>
      </c>
      <c r="H988" t="str">
        <f>"Inv# 912090"</f>
        <v>Inv# 912090</v>
      </c>
    </row>
    <row r="989" spans="1:8" x14ac:dyDescent="0.25">
      <c r="E989" t="str">
        <f>""</f>
        <v/>
      </c>
      <c r="F989" t="str">
        <f>""</f>
        <v/>
      </c>
      <c r="H989" t="str">
        <f>"Inv# 920658"</f>
        <v>Inv# 920658</v>
      </c>
    </row>
    <row r="990" spans="1:8" x14ac:dyDescent="0.25">
      <c r="E990" t="str">
        <f>""</f>
        <v/>
      </c>
      <c r="F990" t="str">
        <f>""</f>
        <v/>
      </c>
      <c r="H990" t="str">
        <f>"Inv# 914185"</f>
        <v>Inv# 914185</v>
      </c>
    </row>
    <row r="991" spans="1:8" x14ac:dyDescent="0.25">
      <c r="A991" t="s">
        <v>302</v>
      </c>
      <c r="B991">
        <v>78044</v>
      </c>
      <c r="C991" s="3">
        <v>215</v>
      </c>
      <c r="D991" s="1">
        <v>43325</v>
      </c>
      <c r="E991" t="str">
        <f>"11719"</f>
        <v>11719</v>
      </c>
      <c r="F991" t="str">
        <f>"ER WATER INSP/LBJ BLDG"</f>
        <v>ER WATER INSP/LBJ BLDG</v>
      </c>
      <c r="G991" s="2">
        <v>215</v>
      </c>
      <c r="H991" t="str">
        <f>"ER WATER INSP/LBJ BLDG"</f>
        <v>ER WATER INSP/LBJ BLDG</v>
      </c>
    </row>
    <row r="992" spans="1:8" x14ac:dyDescent="0.25">
      <c r="A992" t="s">
        <v>303</v>
      </c>
      <c r="B992">
        <v>78321</v>
      </c>
      <c r="C992" s="3">
        <v>49.74</v>
      </c>
      <c r="D992" s="1">
        <v>43339</v>
      </c>
      <c r="E992" t="str">
        <f>"35021"</f>
        <v>35021</v>
      </c>
      <c r="F992" t="str">
        <f>"INV 35021"</f>
        <v>INV 35021</v>
      </c>
      <c r="G992" s="2">
        <v>49.74</v>
      </c>
      <c r="H992" t="str">
        <f>"INV 35021"</f>
        <v>INV 35021</v>
      </c>
    </row>
    <row r="993" spans="1:8" x14ac:dyDescent="0.25">
      <c r="A993" t="s">
        <v>304</v>
      </c>
      <c r="B993">
        <v>78322</v>
      </c>
      <c r="C993" s="3">
        <v>100</v>
      </c>
      <c r="D993" s="1">
        <v>43339</v>
      </c>
      <c r="E993" t="str">
        <f>"18-0418-12937"</f>
        <v>18-0418-12937</v>
      </c>
      <c r="F993" t="str">
        <f>"TANSCRIPT-CAUSE#12 937-12 939"</f>
        <v>TANSCRIPT-CAUSE#12 937-12 939</v>
      </c>
      <c r="G993" s="2">
        <v>100</v>
      </c>
      <c r="H993" t="str">
        <f>"TANSCRIPT-CAUSE#12 937-12 939"</f>
        <v>TANSCRIPT-CAUSE#12 937-12 939</v>
      </c>
    </row>
    <row r="994" spans="1:8" x14ac:dyDescent="0.25">
      <c r="A994" t="s">
        <v>305</v>
      </c>
      <c r="B994">
        <v>78323</v>
      </c>
      <c r="C994" s="3">
        <v>239.69</v>
      </c>
      <c r="D994" s="1">
        <v>43339</v>
      </c>
      <c r="E994" t="str">
        <f>"201808152910"</f>
        <v>201808152910</v>
      </c>
      <c r="F994" t="str">
        <f>"CRIMINAL COURT 8132018"</f>
        <v>CRIMINAL COURT 8132018</v>
      </c>
      <c r="G994" s="2">
        <v>239.69</v>
      </c>
      <c r="H994" t="str">
        <f>"CRIMINAL COURT 8132018"</f>
        <v>CRIMINAL COURT 8132018</v>
      </c>
    </row>
    <row r="995" spans="1:8" x14ac:dyDescent="0.25">
      <c r="A995" t="s">
        <v>306</v>
      </c>
      <c r="B995">
        <v>78045</v>
      </c>
      <c r="C995" s="3">
        <v>232.69</v>
      </c>
      <c r="D995" s="1">
        <v>43325</v>
      </c>
      <c r="E995" t="str">
        <f>"116"</f>
        <v>116</v>
      </c>
      <c r="F995" t="str">
        <f>"INTERPRETING/MILEAGE"</f>
        <v>INTERPRETING/MILEAGE</v>
      </c>
      <c r="G995" s="2">
        <v>232.69</v>
      </c>
      <c r="H995" t="str">
        <f>"INTERPRETING/MILEAGE"</f>
        <v>INTERPRETING/MILEAGE</v>
      </c>
    </row>
    <row r="996" spans="1:8" x14ac:dyDescent="0.25">
      <c r="A996" t="s">
        <v>307</v>
      </c>
      <c r="B996">
        <v>78046</v>
      </c>
      <c r="C996" s="3">
        <v>3150</v>
      </c>
      <c r="D996" s="1">
        <v>43325</v>
      </c>
      <c r="E996" t="str">
        <f>"201808072710"</f>
        <v>201808072710</v>
      </c>
      <c r="F996" t="str">
        <f>"VETERINARY SERVICES-JULY 2018"</f>
        <v>VETERINARY SERVICES-JULY 2018</v>
      </c>
      <c r="G996" s="2">
        <v>3150</v>
      </c>
      <c r="H996" t="str">
        <f>"VETERINARY SERVICES-JULY 2018"</f>
        <v>VETERINARY SERVICES-JULY 2018</v>
      </c>
    </row>
    <row r="997" spans="1:8" x14ac:dyDescent="0.25">
      <c r="A997" t="s">
        <v>308</v>
      </c>
      <c r="B997">
        <v>999999</v>
      </c>
      <c r="C997" s="3">
        <v>396</v>
      </c>
      <c r="D997" s="1">
        <v>43326</v>
      </c>
      <c r="E997" t="str">
        <f>"10510"</f>
        <v>10510</v>
      </c>
      <c r="F997" t="str">
        <f>"PHONE CALL"</f>
        <v>PHONE CALL</v>
      </c>
      <c r="G997" s="2">
        <v>396</v>
      </c>
      <c r="H997" t="str">
        <f>"PHONE CALL"</f>
        <v>PHONE CALL</v>
      </c>
    </row>
    <row r="998" spans="1:8" x14ac:dyDescent="0.25">
      <c r="A998" t="s">
        <v>309</v>
      </c>
      <c r="B998">
        <v>999999</v>
      </c>
      <c r="C998" s="3">
        <v>363.9</v>
      </c>
      <c r="D998" s="1">
        <v>43340</v>
      </c>
      <c r="E998" t="str">
        <f>"201808162943"</f>
        <v>201808162943</v>
      </c>
      <c r="F998" t="str">
        <f>"FOOD FOR PAVING CREW/PCT#3"</f>
        <v>FOOD FOR PAVING CREW/PCT#3</v>
      </c>
      <c r="G998" s="2">
        <v>363.9</v>
      </c>
      <c r="H998" t="str">
        <f>"FOOD FOR PAVING CREW/PCT#3"</f>
        <v>FOOD FOR PAVING CREW/PCT#3</v>
      </c>
    </row>
    <row r="999" spans="1:8" x14ac:dyDescent="0.25">
      <c r="A999" t="s">
        <v>310</v>
      </c>
      <c r="B999">
        <v>78047</v>
      </c>
      <c r="C999" s="3">
        <v>560.59</v>
      </c>
      <c r="D999" s="1">
        <v>43325</v>
      </c>
      <c r="E999" t="str">
        <f>"201808082869"</f>
        <v>201808082869</v>
      </c>
      <c r="F999" t="str">
        <f>"INDIGENT HEALTH"</f>
        <v>INDIGENT HEALTH</v>
      </c>
      <c r="G999" s="2">
        <v>560.59</v>
      </c>
      <c r="H999" t="str">
        <f>"INDIGENT HEALTH"</f>
        <v>INDIGENT HEALTH</v>
      </c>
    </row>
    <row r="1000" spans="1:8" x14ac:dyDescent="0.25">
      <c r="E1000" t="str">
        <f>""</f>
        <v/>
      </c>
      <c r="F1000" t="str">
        <f>""</f>
        <v/>
      </c>
      <c r="H1000" t="str">
        <f>"INDIGENT HEALTH"</f>
        <v>INDIGENT HEALTH</v>
      </c>
    </row>
    <row r="1001" spans="1:8" x14ac:dyDescent="0.25">
      <c r="A1001" t="s">
        <v>311</v>
      </c>
      <c r="B1001">
        <v>78048</v>
      </c>
      <c r="C1001" s="3">
        <v>801.78</v>
      </c>
      <c r="D1001" s="1">
        <v>43325</v>
      </c>
      <c r="E1001" t="str">
        <f>"001723759"</f>
        <v>001723759</v>
      </c>
      <c r="F1001" t="str">
        <f>"INV 001723759"</f>
        <v>INV 001723759</v>
      </c>
      <c r="G1001" s="2">
        <v>801.78</v>
      </c>
      <c r="H1001" t="str">
        <f>"INV 001723759"</f>
        <v>INV 001723759</v>
      </c>
    </row>
    <row r="1002" spans="1:8" x14ac:dyDescent="0.25">
      <c r="A1002" t="s">
        <v>312</v>
      </c>
      <c r="B1002">
        <v>999999</v>
      </c>
      <c r="C1002" s="3">
        <v>1150</v>
      </c>
      <c r="D1002" s="1">
        <v>43326</v>
      </c>
      <c r="E1002" t="str">
        <f>"201808062670"</f>
        <v>201808062670</v>
      </c>
      <c r="F1002" t="str">
        <f>"18-18877"</f>
        <v>18-18877</v>
      </c>
      <c r="G1002" s="2">
        <v>100</v>
      </c>
      <c r="H1002" t="str">
        <f>"18-18877"</f>
        <v>18-18877</v>
      </c>
    </row>
    <row r="1003" spans="1:8" x14ac:dyDescent="0.25">
      <c r="E1003" t="str">
        <f>"201808062671"</f>
        <v>201808062671</v>
      </c>
      <c r="F1003" t="str">
        <f>"18-19156"</f>
        <v>18-19156</v>
      </c>
      <c r="G1003" s="2">
        <v>100</v>
      </c>
      <c r="H1003" t="str">
        <f>"18-19156"</f>
        <v>18-19156</v>
      </c>
    </row>
    <row r="1004" spans="1:8" x14ac:dyDescent="0.25">
      <c r="E1004" t="str">
        <f>"201808082789"</f>
        <v>201808082789</v>
      </c>
      <c r="F1004" t="str">
        <f>"18-19023"</f>
        <v>18-19023</v>
      </c>
      <c r="G1004" s="2">
        <v>100</v>
      </c>
      <c r="H1004" t="str">
        <f>"18-19023"</f>
        <v>18-19023</v>
      </c>
    </row>
    <row r="1005" spans="1:8" x14ac:dyDescent="0.25">
      <c r="E1005" t="str">
        <f>"201808082790"</f>
        <v>201808082790</v>
      </c>
      <c r="F1005" t="str">
        <f>"15-17223"</f>
        <v>15-17223</v>
      </c>
      <c r="G1005" s="2">
        <v>100</v>
      </c>
      <c r="H1005" t="str">
        <f>"15-17223"</f>
        <v>15-17223</v>
      </c>
    </row>
    <row r="1006" spans="1:8" x14ac:dyDescent="0.25">
      <c r="E1006" t="str">
        <f>"201808082791"</f>
        <v>201808082791</v>
      </c>
      <c r="F1006" t="str">
        <f>"53 865"</f>
        <v>53 865</v>
      </c>
      <c r="G1006" s="2">
        <v>250</v>
      </c>
      <c r="H1006" t="str">
        <f>"53 865"</f>
        <v>53 865</v>
      </c>
    </row>
    <row r="1007" spans="1:8" x14ac:dyDescent="0.25">
      <c r="E1007" t="str">
        <f>"201808082792"</f>
        <v>201808082792</v>
      </c>
      <c r="F1007" t="str">
        <f>"DETENTION HEARING"</f>
        <v>DETENTION HEARING</v>
      </c>
      <c r="G1007" s="2">
        <v>100</v>
      </c>
      <c r="H1007" t="str">
        <f>"DETENTION HEARING"</f>
        <v>DETENTION HEARING</v>
      </c>
    </row>
    <row r="1008" spans="1:8" x14ac:dyDescent="0.25">
      <c r="E1008" t="str">
        <f>"201808082793"</f>
        <v>201808082793</v>
      </c>
      <c r="F1008" t="str">
        <f>"18-18997"</f>
        <v>18-18997</v>
      </c>
      <c r="G1008" s="2">
        <v>100</v>
      </c>
      <c r="H1008" t="str">
        <f>"18-18997"</f>
        <v>18-18997</v>
      </c>
    </row>
    <row r="1009" spans="1:9" x14ac:dyDescent="0.25">
      <c r="E1009" t="str">
        <f>"201808082794"</f>
        <v>201808082794</v>
      </c>
      <c r="F1009" t="str">
        <f>"18-18864"</f>
        <v>18-18864</v>
      </c>
      <c r="G1009" s="2">
        <v>100</v>
      </c>
      <c r="H1009" t="str">
        <f>"18-18864"</f>
        <v>18-18864</v>
      </c>
    </row>
    <row r="1010" spans="1:9" x14ac:dyDescent="0.25">
      <c r="E1010" t="str">
        <f>"201808082795"</f>
        <v>201808082795</v>
      </c>
      <c r="F1010" t="str">
        <f>"1818885"</f>
        <v>1818885</v>
      </c>
      <c r="G1010" s="2">
        <v>100</v>
      </c>
      <c r="H1010" t="str">
        <f>"1818885"</f>
        <v>1818885</v>
      </c>
    </row>
    <row r="1011" spans="1:9" x14ac:dyDescent="0.25">
      <c r="E1011" t="str">
        <f>"201808082796"</f>
        <v>201808082796</v>
      </c>
      <c r="F1011" t="str">
        <f>"17-18525"</f>
        <v>17-18525</v>
      </c>
      <c r="G1011" s="2">
        <v>100</v>
      </c>
      <c r="H1011" t="str">
        <f>"17-18525"</f>
        <v>17-18525</v>
      </c>
    </row>
    <row r="1012" spans="1:9" x14ac:dyDescent="0.25">
      <c r="A1012" t="s">
        <v>313</v>
      </c>
      <c r="B1012">
        <v>78049</v>
      </c>
      <c r="C1012" s="3">
        <v>269.82</v>
      </c>
      <c r="D1012" s="1">
        <v>43325</v>
      </c>
      <c r="E1012" t="str">
        <f>"17857450 18028642"</f>
        <v>17857450 18028642</v>
      </c>
      <c r="F1012" t="str">
        <f>"INV 17857450/18028642"</f>
        <v>INV 17857450/18028642</v>
      </c>
      <c r="G1012" s="2">
        <v>102.86</v>
      </c>
      <c r="H1012" t="str">
        <f>"INV 17857450"</f>
        <v>INV 17857450</v>
      </c>
    </row>
    <row r="1013" spans="1:9" x14ac:dyDescent="0.25">
      <c r="E1013" t="str">
        <f>""</f>
        <v/>
      </c>
      <c r="F1013" t="str">
        <f>""</f>
        <v/>
      </c>
      <c r="H1013" t="str">
        <f>"INV 18028642"</f>
        <v>INV 18028642</v>
      </c>
    </row>
    <row r="1014" spans="1:9" x14ac:dyDescent="0.25">
      <c r="E1014" t="str">
        <f>"18028478"</f>
        <v>18028478</v>
      </c>
      <c r="F1014" t="str">
        <f>"CUST#41472/PCT#1"</f>
        <v>CUST#41472/PCT#1</v>
      </c>
      <c r="G1014" s="2">
        <v>22.23</v>
      </c>
      <c r="H1014" t="str">
        <f>"CUST#41472/PCT#1"</f>
        <v>CUST#41472/PCT#1</v>
      </c>
    </row>
    <row r="1015" spans="1:9" x14ac:dyDescent="0.25">
      <c r="E1015" t="str">
        <f>"18028578"</f>
        <v>18028578</v>
      </c>
      <c r="F1015" t="str">
        <f>"CUST#45057/PCT#4"</f>
        <v>CUST#45057/PCT#4</v>
      </c>
      <c r="G1015" s="2">
        <v>39.729999999999997</v>
      </c>
      <c r="H1015" t="str">
        <f>"CUST#45057/PCT#4"</f>
        <v>CUST#45057/PCT#4</v>
      </c>
    </row>
    <row r="1016" spans="1:9" x14ac:dyDescent="0.25">
      <c r="E1016" t="str">
        <f>"18036824"</f>
        <v>18036824</v>
      </c>
      <c r="F1016" t="str">
        <f>"CUST#S9547/PCT#1"</f>
        <v>CUST#S9547/PCT#1</v>
      </c>
      <c r="G1016" s="2">
        <v>105</v>
      </c>
      <c r="H1016" t="str">
        <f>"CUST#S9547/PCT#1"</f>
        <v>CUST#S9547/PCT#1</v>
      </c>
    </row>
    <row r="1017" spans="1:9" x14ac:dyDescent="0.25">
      <c r="A1017" t="s">
        <v>314</v>
      </c>
      <c r="B1017">
        <v>999999</v>
      </c>
      <c r="C1017" s="3">
        <v>12.37</v>
      </c>
      <c r="D1017" s="1">
        <v>43326</v>
      </c>
      <c r="E1017" t="str">
        <f>"659455"</f>
        <v>659455</v>
      </c>
      <c r="F1017" t="str">
        <f>"ACCT#025247/ELBOW/SEALANT/P3"</f>
        <v>ACCT#025247/ELBOW/SEALANT/P3</v>
      </c>
      <c r="G1017" s="2">
        <v>12.37</v>
      </c>
      <c r="H1017" t="str">
        <f>"ACCT#025247/ELBOW/SEALANT/P3"</f>
        <v>ACCT#025247/ELBOW/SEALANT/P3</v>
      </c>
    </row>
    <row r="1018" spans="1:9" x14ac:dyDescent="0.25">
      <c r="A1018" t="s">
        <v>314</v>
      </c>
      <c r="B1018">
        <v>999999</v>
      </c>
      <c r="C1018" s="3">
        <v>222.78</v>
      </c>
      <c r="D1018" s="1">
        <v>43340</v>
      </c>
      <c r="E1018" t="str">
        <f>"659448"</f>
        <v>659448</v>
      </c>
      <c r="F1018" t="str">
        <f>"ACCT#0900-98011130-001/SIGN SH"</f>
        <v>ACCT#0900-98011130-001/SIGN SH</v>
      </c>
      <c r="G1018" s="2">
        <v>27.28</v>
      </c>
      <c r="H1018" t="str">
        <f>"ACCT#0900-98011130-001/SIGN SH"</f>
        <v>ACCT#0900-98011130-001/SIGN SH</v>
      </c>
    </row>
    <row r="1019" spans="1:9" x14ac:dyDescent="0.25">
      <c r="E1019" t="str">
        <f>"659697"</f>
        <v>659697</v>
      </c>
      <c r="F1019" t="str">
        <f>"ACCT#900-98011130-001/PCT#3"</f>
        <v>ACCT#900-98011130-001/PCT#3</v>
      </c>
      <c r="G1019" s="2">
        <v>149.12</v>
      </c>
      <c r="H1019" t="str">
        <f>"ACCT#900-98011130-001/PCT#3"</f>
        <v>ACCT#900-98011130-001/PCT#3</v>
      </c>
    </row>
    <row r="1020" spans="1:9" x14ac:dyDescent="0.25">
      <c r="E1020" t="str">
        <f>"659933"</f>
        <v>659933</v>
      </c>
      <c r="F1020" t="str">
        <f>"ACCT#900-98011130-001/GEN SVCS"</f>
        <v>ACCT#900-98011130-001/GEN SVCS</v>
      </c>
      <c r="G1020" s="2">
        <v>9.58</v>
      </c>
      <c r="H1020" t="str">
        <f>"ACCT#900-98011130-001/GEN SVCS"</f>
        <v>ACCT#900-98011130-001/GEN SVCS</v>
      </c>
    </row>
    <row r="1021" spans="1:9" x14ac:dyDescent="0.25">
      <c r="E1021" t="str">
        <f>"8473280"</f>
        <v>8473280</v>
      </c>
      <c r="F1021" t="str">
        <f>"ACCT#900-98011130-001/PCT#3"</f>
        <v>ACCT#900-98011130-001/PCT#3</v>
      </c>
      <c r="G1021" s="2">
        <v>36.799999999999997</v>
      </c>
      <c r="H1021" t="str">
        <f>"ACCT#900-98011130-001/PCT#3"</f>
        <v>ACCT#900-98011130-001/PCT#3</v>
      </c>
    </row>
    <row r="1022" spans="1:9" x14ac:dyDescent="0.25">
      <c r="A1022" t="s">
        <v>315</v>
      </c>
      <c r="B1022">
        <v>78050</v>
      </c>
      <c r="C1022" s="3">
        <v>7799.8</v>
      </c>
      <c r="D1022" s="1">
        <v>43325</v>
      </c>
      <c r="E1022" t="s">
        <v>87</v>
      </c>
      <c r="F1022" t="s">
        <v>88</v>
      </c>
      <c r="G1022" s="2" t="str">
        <f>"ABST FEE $175 &amp; SERVICE $440"</f>
        <v>ABST FEE $175 &amp; SERVICE $440</v>
      </c>
      <c r="H1022" t="str">
        <f>"995-4110"</f>
        <v>995-4110</v>
      </c>
      <c r="I1022" t="str">
        <f>""</f>
        <v/>
      </c>
    </row>
    <row r="1023" spans="1:9" x14ac:dyDescent="0.25">
      <c r="E1023" t="str">
        <f>"10306"</f>
        <v>10306</v>
      </c>
      <c r="F1023" t="str">
        <f>"PRINTER FEE"</f>
        <v>PRINTER FEE</v>
      </c>
      <c r="G1023" s="2">
        <v>200</v>
      </c>
      <c r="H1023" t="str">
        <f>"PRINTER FEE"</f>
        <v>PRINTER FEE</v>
      </c>
    </row>
    <row r="1024" spans="1:9" x14ac:dyDescent="0.25">
      <c r="E1024" t="s">
        <v>80</v>
      </c>
      <c r="F1024" t="s">
        <v>89</v>
      </c>
      <c r="G1024" s="2" t="str">
        <f>"ABST FEE $175 + SERVICE $65"</f>
        <v>ABST FEE $175 + SERVICE $65</v>
      </c>
      <c r="H1024" t="str">
        <f>"995-4110"</f>
        <v>995-4110</v>
      </c>
      <c r="I1024" t="str">
        <f>""</f>
        <v/>
      </c>
    </row>
    <row r="1025" spans="5:9" x14ac:dyDescent="0.25">
      <c r="E1025" t="str">
        <f>"11633"</f>
        <v>11633</v>
      </c>
      <c r="F1025" t="str">
        <f>"SERVICE  06/29/18"</f>
        <v>SERVICE  06/29/18</v>
      </c>
      <c r="G1025" s="2">
        <v>195</v>
      </c>
      <c r="H1025" t="str">
        <f>"SERVICE  06/29/18"</f>
        <v>SERVICE  06/29/18</v>
      </c>
    </row>
    <row r="1026" spans="5:9" x14ac:dyDescent="0.25">
      <c r="E1026" t="str">
        <f>"11864"</f>
        <v>11864</v>
      </c>
      <c r="F1026" t="str">
        <f>"ABST FEE  03/20/18"</f>
        <v>ABST FEE  03/20/18</v>
      </c>
      <c r="G1026" s="2">
        <v>175</v>
      </c>
      <c r="H1026" t="str">
        <f>"ABST FEE  03/20/18"</f>
        <v>ABST FEE  03/20/18</v>
      </c>
    </row>
    <row r="1027" spans="5:9" x14ac:dyDescent="0.25">
      <c r="E1027" t="s">
        <v>152</v>
      </c>
      <c r="F1027" t="s">
        <v>316</v>
      </c>
      <c r="G1027" s="2" t="str">
        <f>"PRINTER FEE  06/01/18"</f>
        <v>PRINTER FEE  06/01/18</v>
      </c>
      <c r="H1027" t="str">
        <f>"995-4110"</f>
        <v>995-4110</v>
      </c>
      <c r="I1027" t="str">
        <f>""</f>
        <v/>
      </c>
    </row>
    <row r="1028" spans="5:9" x14ac:dyDescent="0.25">
      <c r="E1028" t="str">
        <f>"12069"</f>
        <v>12069</v>
      </c>
      <c r="F1028" t="str">
        <f>"ABST FEE  06/15/18"</f>
        <v>ABST FEE  06/15/18</v>
      </c>
      <c r="G1028" s="2">
        <v>175</v>
      </c>
      <c r="H1028" t="str">
        <f>"ABST FEE  06/15/18"</f>
        <v>ABST FEE  06/15/18</v>
      </c>
    </row>
    <row r="1029" spans="5:9" x14ac:dyDescent="0.25">
      <c r="E1029" t="str">
        <f>"12100"</f>
        <v>12100</v>
      </c>
      <c r="F1029" t="str">
        <f>"ABST FEE  05/16/18"</f>
        <v>ABST FEE  05/16/18</v>
      </c>
      <c r="G1029" s="2">
        <v>175</v>
      </c>
      <c r="H1029" t="str">
        <f>"ABST FEE  05/16/18"</f>
        <v>ABST FEE  05/16/18</v>
      </c>
    </row>
    <row r="1030" spans="5:9" x14ac:dyDescent="0.25">
      <c r="E1030" t="str">
        <f>"12176"</f>
        <v>12176</v>
      </c>
      <c r="F1030" t="str">
        <f>"ABST FEE  06/29/18"</f>
        <v>ABST FEE  06/29/18</v>
      </c>
      <c r="G1030" s="2">
        <v>175</v>
      </c>
      <c r="H1030" t="str">
        <f>"ABST FEE  06/29/18"</f>
        <v>ABST FEE  06/29/18</v>
      </c>
    </row>
    <row r="1031" spans="5:9" x14ac:dyDescent="0.25">
      <c r="E1031" t="str">
        <f>"12222"</f>
        <v>12222</v>
      </c>
      <c r="F1031" t="str">
        <f>"ABST FEE  06/18/18"</f>
        <v>ABST FEE  06/18/18</v>
      </c>
      <c r="G1031" s="2">
        <v>175</v>
      </c>
      <c r="H1031" t="str">
        <f>"ABST FEE  06/18/18"</f>
        <v>ABST FEE  06/18/18</v>
      </c>
    </row>
    <row r="1032" spans="5:9" x14ac:dyDescent="0.25">
      <c r="E1032" t="str">
        <f>"12271"</f>
        <v>12271</v>
      </c>
      <c r="F1032" t="str">
        <f>"ABST FEE  06/04/18"</f>
        <v>ABST FEE  06/04/18</v>
      </c>
      <c r="G1032" s="2">
        <v>175</v>
      </c>
      <c r="H1032" t="str">
        <f>"ABST FEE  06/04/18"</f>
        <v>ABST FEE  06/04/18</v>
      </c>
    </row>
    <row r="1033" spans="5:9" x14ac:dyDescent="0.25">
      <c r="E1033" t="str">
        <f>"12277"</f>
        <v>12277</v>
      </c>
      <c r="F1033" t="str">
        <f>"ABST FEE  05/07/18"</f>
        <v>ABST FEE  05/07/18</v>
      </c>
      <c r="G1033" s="2">
        <v>175</v>
      </c>
      <c r="H1033" t="str">
        <f>"ABST FEE  05/07/18"</f>
        <v>ABST FEE  05/07/18</v>
      </c>
    </row>
    <row r="1034" spans="5:9" x14ac:dyDescent="0.25">
      <c r="E1034" t="str">
        <f>"12294"</f>
        <v>12294</v>
      </c>
      <c r="F1034" t="str">
        <f>"ABST FEE  05/07/18"</f>
        <v>ABST FEE  05/07/18</v>
      </c>
      <c r="G1034" s="2">
        <v>175</v>
      </c>
      <c r="H1034" t="str">
        <f>"ABST FEE  05/07/18"</f>
        <v>ABST FEE  05/07/18</v>
      </c>
    </row>
    <row r="1035" spans="5:9" x14ac:dyDescent="0.25">
      <c r="E1035" t="str">
        <f>"12311"</f>
        <v>12311</v>
      </c>
      <c r="F1035" t="str">
        <f>"ABST FEE  06/11/18"</f>
        <v>ABST FEE  06/11/18</v>
      </c>
      <c r="G1035" s="2">
        <v>24</v>
      </c>
      <c r="H1035" t="str">
        <f>"ABST FEE  06/11/18"</f>
        <v>ABST FEE  06/11/18</v>
      </c>
    </row>
    <row r="1036" spans="5:9" x14ac:dyDescent="0.25">
      <c r="E1036" t="str">
        <f>"12402"</f>
        <v>12402</v>
      </c>
      <c r="F1036" t="str">
        <f>"ABST FEE  06/01/18"</f>
        <v>ABST FEE  06/01/18</v>
      </c>
      <c r="G1036" s="2">
        <v>175</v>
      </c>
      <c r="H1036" t="str">
        <f>"ABST FEE  06/01/18"</f>
        <v>ABST FEE  06/01/18</v>
      </c>
    </row>
    <row r="1037" spans="5:9" x14ac:dyDescent="0.25">
      <c r="E1037" t="str">
        <f>"12436"</f>
        <v>12436</v>
      </c>
      <c r="F1037" t="str">
        <f>"ABST FEE  05/29/18"</f>
        <v>ABST FEE  05/29/18</v>
      </c>
      <c r="G1037" s="2">
        <v>175</v>
      </c>
      <c r="H1037" t="str">
        <f>"ABST FEE  05/29/18"</f>
        <v>ABST FEE  05/29/18</v>
      </c>
    </row>
    <row r="1038" spans="5:9" x14ac:dyDescent="0.25">
      <c r="E1038" t="str">
        <f>"12535"</f>
        <v>12535</v>
      </c>
      <c r="F1038" t="str">
        <f>"ABST FEE  05/22/18"</f>
        <v>ABST FEE  05/22/18</v>
      </c>
      <c r="G1038" s="2">
        <v>175</v>
      </c>
      <c r="H1038" t="str">
        <f>"ABST FEE  05/22/18"</f>
        <v>ABST FEE  05/22/18</v>
      </c>
    </row>
    <row r="1039" spans="5:9" x14ac:dyDescent="0.25">
      <c r="E1039" t="str">
        <f>"12576"</f>
        <v>12576</v>
      </c>
      <c r="F1039" t="str">
        <f>"ABST FEE  05/16/18"</f>
        <v>ABST FEE  05/16/18</v>
      </c>
      <c r="G1039" s="2">
        <v>175</v>
      </c>
      <c r="H1039" t="str">
        <f>"ABST FEE  05/16/18"</f>
        <v>ABST FEE  05/16/18</v>
      </c>
    </row>
    <row r="1040" spans="5:9" x14ac:dyDescent="0.25">
      <c r="E1040" t="str">
        <f>"12760  07/02/18"</f>
        <v>12760  07/02/18</v>
      </c>
      <c r="F1040" t="str">
        <f>"ABST FEE  07/02/18"</f>
        <v>ABST FEE  07/02/18</v>
      </c>
      <c r="G1040" s="2">
        <v>83</v>
      </c>
      <c r="H1040" t="str">
        <f>"ABST FEE  07/02/18"</f>
        <v>ABST FEE  07/02/18</v>
      </c>
    </row>
    <row r="1041" spans="5:8" x14ac:dyDescent="0.25">
      <c r="E1041" t="str">
        <f>"12785"</f>
        <v>12785</v>
      </c>
      <c r="F1041" t="str">
        <f>"ABST FEE  06/20/18"</f>
        <v>ABST FEE  06/20/18</v>
      </c>
      <c r="G1041" s="2">
        <v>225</v>
      </c>
      <c r="H1041" t="str">
        <f>"ABST FEE  06/20/18"</f>
        <v>ABST FEE  06/20/18</v>
      </c>
    </row>
    <row r="1042" spans="5:8" x14ac:dyDescent="0.25">
      <c r="E1042" t="str">
        <f>"12793"</f>
        <v>12793</v>
      </c>
      <c r="F1042" t="str">
        <f>"ABST FEE  03/20/18"</f>
        <v>ABST FEE  03/20/18</v>
      </c>
      <c r="G1042" s="2">
        <v>225</v>
      </c>
      <c r="H1042" t="str">
        <f>"ABST FEE  03/20/18"</f>
        <v>ABST FEE  03/20/18</v>
      </c>
    </row>
    <row r="1043" spans="5:8" x14ac:dyDescent="0.25">
      <c r="E1043" t="str">
        <f>"12797"</f>
        <v>12797</v>
      </c>
      <c r="F1043" t="str">
        <f>"ABST FEE  06/04/18"</f>
        <v>ABST FEE  06/04/18</v>
      </c>
      <c r="G1043" s="2">
        <v>225</v>
      </c>
      <c r="H1043" t="str">
        <f>"ABST FEE  06/04/18"</f>
        <v>ABST FEE  06/04/18</v>
      </c>
    </row>
    <row r="1044" spans="5:8" x14ac:dyDescent="0.25">
      <c r="E1044" t="str">
        <f>"12798"</f>
        <v>12798</v>
      </c>
      <c r="F1044" t="str">
        <f>"ABST FEE  06/05/18"</f>
        <v>ABST FEE  06/05/18</v>
      </c>
      <c r="G1044" s="2">
        <v>225</v>
      </c>
      <c r="H1044" t="str">
        <f>"ABST FEE  06/05/18"</f>
        <v>ABST FEE  06/05/18</v>
      </c>
    </row>
    <row r="1045" spans="5:8" x14ac:dyDescent="0.25">
      <c r="E1045" t="str">
        <f>"12838"</f>
        <v>12838</v>
      </c>
      <c r="F1045" t="str">
        <f>"ABST FEE  06/28/18"</f>
        <v>ABST FEE  06/28/18</v>
      </c>
      <c r="G1045" s="2">
        <v>225</v>
      </c>
      <c r="H1045" t="str">
        <f>"ABST FEE  06/28/18"</f>
        <v>ABST FEE  06/28/18</v>
      </c>
    </row>
    <row r="1046" spans="5:8" x14ac:dyDescent="0.25">
      <c r="E1046" t="str">
        <f>"12840"</f>
        <v>12840</v>
      </c>
      <c r="F1046" t="str">
        <f>"ABST FEE  05/11/18"</f>
        <v>ABST FEE  05/11/18</v>
      </c>
      <c r="G1046" s="2">
        <v>225</v>
      </c>
      <c r="H1046" t="str">
        <f>"ABST FEE  05/11/18"</f>
        <v>ABST FEE  05/11/18</v>
      </c>
    </row>
    <row r="1047" spans="5:8" x14ac:dyDescent="0.25">
      <c r="E1047" t="str">
        <f>"12868"</f>
        <v>12868</v>
      </c>
      <c r="F1047" t="str">
        <f>"ABST FEE  05/07/18"</f>
        <v>ABST FEE  05/07/18</v>
      </c>
      <c r="G1047" s="2">
        <v>225</v>
      </c>
      <c r="H1047" t="str">
        <f>"ABST FEE  05/07/18"</f>
        <v>ABST FEE  05/07/18</v>
      </c>
    </row>
    <row r="1048" spans="5:8" x14ac:dyDescent="0.25">
      <c r="E1048" t="str">
        <f>"12886"</f>
        <v>12886</v>
      </c>
      <c r="F1048" t="str">
        <f>"ABST FEE  05/31/18"</f>
        <v>ABST FEE  05/31/18</v>
      </c>
      <c r="G1048" s="2">
        <v>225</v>
      </c>
      <c r="H1048" t="str">
        <f>"ABST FEE  05/31/18"</f>
        <v>ABST FEE  05/31/18</v>
      </c>
    </row>
    <row r="1049" spans="5:8" x14ac:dyDescent="0.25">
      <c r="E1049" t="str">
        <f>"12908"</f>
        <v>12908</v>
      </c>
      <c r="F1049" t="str">
        <f>"ABST FEE  07/12/18"</f>
        <v>ABST FEE  07/12/18</v>
      </c>
      <c r="G1049" s="2">
        <v>225</v>
      </c>
      <c r="H1049" t="str">
        <f>"ABST FEE  07/12/1"</f>
        <v>ABST FEE  07/12/1</v>
      </c>
    </row>
    <row r="1050" spans="5:8" x14ac:dyDescent="0.25">
      <c r="E1050" t="str">
        <f>"12916"</f>
        <v>12916</v>
      </c>
      <c r="F1050" t="str">
        <f>"ABST FEE  06/18/18"</f>
        <v>ABST FEE  06/18/18</v>
      </c>
      <c r="G1050" s="2">
        <v>225</v>
      </c>
      <c r="H1050" t="str">
        <f>"ABST FEE  06/18/18"</f>
        <v>ABST FEE  06/18/18</v>
      </c>
    </row>
    <row r="1051" spans="5:8" x14ac:dyDescent="0.25">
      <c r="E1051" t="str">
        <f>"12919"</f>
        <v>12919</v>
      </c>
      <c r="F1051" t="str">
        <f>"ABST FEE 07/09/18"</f>
        <v>ABST FEE 07/09/18</v>
      </c>
      <c r="G1051" s="2">
        <v>225</v>
      </c>
      <c r="H1051" t="str">
        <f>"ABST FEE 07/09/18"</f>
        <v>ABST FEE 07/09/18</v>
      </c>
    </row>
    <row r="1052" spans="5:8" x14ac:dyDescent="0.25">
      <c r="E1052" t="str">
        <f>"12931"</f>
        <v>12931</v>
      </c>
      <c r="F1052" t="str">
        <f>"SERVICE"</f>
        <v>SERVICE</v>
      </c>
      <c r="G1052" s="2">
        <v>225</v>
      </c>
      <c r="H1052" t="str">
        <f>"SERVICE  07/25/18"</f>
        <v>SERVICE  07/25/18</v>
      </c>
    </row>
    <row r="1053" spans="5:8" x14ac:dyDescent="0.25">
      <c r="E1053" t="str">
        <f>"12949"</f>
        <v>12949</v>
      </c>
      <c r="F1053" t="str">
        <f>"ABST FEE  06/22/18"</f>
        <v>ABST FEE  06/22/18</v>
      </c>
      <c r="G1053" s="2">
        <v>225</v>
      </c>
      <c r="H1053" t="str">
        <f>"ABST FEE  06/22/18"</f>
        <v>ABST FEE  06/22/18</v>
      </c>
    </row>
    <row r="1054" spans="5:8" x14ac:dyDescent="0.25">
      <c r="E1054" t="str">
        <f>"12952"</f>
        <v>12952</v>
      </c>
      <c r="F1054" t="str">
        <f>"SERVICE"</f>
        <v>SERVICE</v>
      </c>
      <c r="G1054" s="2">
        <v>225</v>
      </c>
      <c r="H1054" t="str">
        <f>"SERVICE"</f>
        <v>SERVICE</v>
      </c>
    </row>
    <row r="1055" spans="5:8" x14ac:dyDescent="0.25">
      <c r="E1055" t="str">
        <f>"12953"</f>
        <v>12953</v>
      </c>
      <c r="F1055" t="str">
        <f>"ABST FEE  05/30/18"</f>
        <v>ABST FEE  05/30/18</v>
      </c>
      <c r="G1055" s="2">
        <v>225</v>
      </c>
      <c r="H1055" t="str">
        <f>"ABST FEE  05/30/18"</f>
        <v>ABST FEE  05/30/18</v>
      </c>
    </row>
    <row r="1056" spans="5:8" x14ac:dyDescent="0.25">
      <c r="E1056" t="str">
        <f>"12954"</f>
        <v>12954</v>
      </c>
      <c r="F1056" t="str">
        <f>"ABST FEE  05/18/18"</f>
        <v>ABST FEE  05/18/18</v>
      </c>
      <c r="G1056" s="2">
        <v>225</v>
      </c>
      <c r="H1056" t="str">
        <f>"ABST FEE  05/18/18"</f>
        <v>ABST FEE  05/18/18</v>
      </c>
    </row>
    <row r="1057" spans="1:8" x14ac:dyDescent="0.25">
      <c r="E1057" t="str">
        <f>"12976"</f>
        <v>12976</v>
      </c>
      <c r="F1057" t="str">
        <f>"ABST FEE  06/13/18"</f>
        <v>ABST FEE  06/13/18</v>
      </c>
      <c r="G1057" s="2">
        <v>225</v>
      </c>
      <c r="H1057" t="str">
        <f>"ABST FEE  06/13/18"</f>
        <v>ABST FEE  06/13/18</v>
      </c>
    </row>
    <row r="1058" spans="1:8" x14ac:dyDescent="0.25">
      <c r="E1058" t="str">
        <f>"12987"</f>
        <v>12987</v>
      </c>
      <c r="F1058" t="str">
        <f>"ABST FEE  06/13/18"</f>
        <v>ABST FEE  06/13/18</v>
      </c>
      <c r="G1058" s="2">
        <v>225</v>
      </c>
      <c r="H1058" t="str">
        <f>"ABST FEE  06/13/18"</f>
        <v>ABST FEE  06/13/18</v>
      </c>
    </row>
    <row r="1059" spans="1:8" x14ac:dyDescent="0.25">
      <c r="E1059" t="str">
        <f>"12999"</f>
        <v>12999</v>
      </c>
      <c r="F1059" t="str">
        <f>"ABST FEE"</f>
        <v>ABST FEE</v>
      </c>
      <c r="G1059" s="2">
        <v>225</v>
      </c>
      <c r="H1059" t="str">
        <f>"ABST FEE"</f>
        <v>ABST FEE</v>
      </c>
    </row>
    <row r="1060" spans="1:8" x14ac:dyDescent="0.25">
      <c r="A1060" t="s">
        <v>315</v>
      </c>
      <c r="B1060">
        <v>78324</v>
      </c>
      <c r="C1060" s="3">
        <v>19770.91</v>
      </c>
      <c r="D1060" s="1">
        <v>43339</v>
      </c>
      <c r="E1060" t="str">
        <f>"11039"</f>
        <v>11039</v>
      </c>
      <c r="F1060" t="str">
        <f>"ABST FEE  06/27/18"</f>
        <v>ABST FEE  06/27/18</v>
      </c>
      <c r="G1060" s="2">
        <v>175</v>
      </c>
      <c r="H1060" t="str">
        <f>"ABST FEE  06/27/18"</f>
        <v>ABST FEE  06/27/18</v>
      </c>
    </row>
    <row r="1061" spans="1:8" x14ac:dyDescent="0.25">
      <c r="E1061" t="str">
        <f>"12090"</f>
        <v>12090</v>
      </c>
      <c r="F1061" t="str">
        <f>"ABST FEE  06/27/18"</f>
        <v>ABST FEE  06/27/18</v>
      </c>
      <c r="G1061" s="2">
        <v>83.07</v>
      </c>
      <c r="H1061" t="str">
        <f>"ABST FEE  06/27/18"</f>
        <v>ABST FEE  06/27/18</v>
      </c>
    </row>
    <row r="1062" spans="1:8" x14ac:dyDescent="0.25">
      <c r="E1062" t="str">
        <f>"12166"</f>
        <v>12166</v>
      </c>
      <c r="F1062" t="str">
        <f>"ABST FEE  06/27/18"</f>
        <v>ABST FEE  06/27/18</v>
      </c>
      <c r="G1062" s="2">
        <v>175</v>
      </c>
      <c r="H1062" t="str">
        <f>"ABST FEE  06/27/18"</f>
        <v>ABST FEE  06/27/18</v>
      </c>
    </row>
    <row r="1063" spans="1:8" x14ac:dyDescent="0.25">
      <c r="E1063" t="str">
        <f>"12175"</f>
        <v>12175</v>
      </c>
      <c r="F1063" t="str">
        <f>"ABST FEE $175 + SERVICE $55"</f>
        <v>ABST FEE $175 + SERVICE $55</v>
      </c>
      <c r="G1063" s="2">
        <v>230</v>
      </c>
      <c r="H1063" t="str">
        <f>"ABST FEE $175 + SERVICE $55"</f>
        <v>ABST FEE $175 + SERVICE $55</v>
      </c>
    </row>
    <row r="1064" spans="1:8" x14ac:dyDescent="0.25">
      <c r="E1064" t="str">
        <f>"12177"</f>
        <v>12177</v>
      </c>
      <c r="F1064" t="str">
        <f>"ABST FEE  06/27/18"</f>
        <v>ABST FEE  06/27/18</v>
      </c>
      <c r="G1064" s="2">
        <v>140.66</v>
      </c>
      <c r="H1064" t="str">
        <f>"ABST FEE  06/27/18"</f>
        <v>ABST FEE  06/27/18</v>
      </c>
    </row>
    <row r="1065" spans="1:8" x14ac:dyDescent="0.25">
      <c r="E1065" t="str">
        <f>"12206"</f>
        <v>12206</v>
      </c>
      <c r="F1065" t="str">
        <f>"ABST FEE $175 + SERVICE $55"</f>
        <v>ABST FEE $175 + SERVICE $55</v>
      </c>
      <c r="G1065" s="2">
        <v>230</v>
      </c>
      <c r="H1065" t="str">
        <f>"ABST FEE $175 + SERVICE $55"</f>
        <v>ABST FEE $175 + SERVICE $55</v>
      </c>
    </row>
    <row r="1066" spans="1:8" x14ac:dyDescent="0.25">
      <c r="E1066" t="str">
        <f>"12210"</f>
        <v>12210</v>
      </c>
      <c r="F1066" t="str">
        <f>"ABST FEE  06/27/18"</f>
        <v>ABST FEE  06/27/18</v>
      </c>
      <c r="G1066" s="2">
        <v>175</v>
      </c>
      <c r="H1066" t="str">
        <f>"ABST FEE  06/27/18"</f>
        <v>ABST FEE  06/27/18</v>
      </c>
    </row>
    <row r="1067" spans="1:8" x14ac:dyDescent="0.25">
      <c r="E1067" t="str">
        <f>"12406"</f>
        <v>12406</v>
      </c>
      <c r="F1067" t="str">
        <f>"ABST FEE  06/27/18"</f>
        <v>ABST FEE  06/27/18</v>
      </c>
      <c r="G1067" s="2">
        <v>175</v>
      </c>
      <c r="H1067" t="str">
        <f>"ABST FEE  06/27/18"</f>
        <v>ABST FEE  06/27/18</v>
      </c>
    </row>
    <row r="1068" spans="1:8" x14ac:dyDescent="0.25">
      <c r="E1068" t="str">
        <f>"12453"</f>
        <v>12453</v>
      </c>
      <c r="F1068" t="str">
        <f>"ABST FEE  06/27/18"</f>
        <v>ABST FEE  06/27/18</v>
      </c>
      <c r="G1068" s="2">
        <v>175</v>
      </c>
      <c r="H1068" t="str">
        <f>"ABST FEE  06/27/18"</f>
        <v>ABST FEE  06/27/18</v>
      </c>
    </row>
    <row r="1069" spans="1:8" x14ac:dyDescent="0.25">
      <c r="E1069" t="str">
        <f>"12470"</f>
        <v>12470</v>
      </c>
      <c r="F1069" t="str">
        <f>"ABST FEE  06/27/18"</f>
        <v>ABST FEE  06/27/18</v>
      </c>
      <c r="G1069" s="2">
        <v>175</v>
      </c>
      <c r="H1069" t="str">
        <f>"ABST FEE  06/27/18"</f>
        <v>ABST FEE  06/27/18</v>
      </c>
    </row>
    <row r="1070" spans="1:8" x14ac:dyDescent="0.25">
      <c r="E1070" t="str">
        <f>"12484"</f>
        <v>12484</v>
      </c>
      <c r="F1070" t="str">
        <f>"ABST FEE  06/27/18"</f>
        <v>ABST FEE  06/27/18</v>
      </c>
      <c r="G1070" s="2">
        <v>175</v>
      </c>
      <c r="H1070" t="str">
        <f>"ABST FEE  06/27/18"</f>
        <v>ABST FEE  06/27/18</v>
      </c>
    </row>
    <row r="1071" spans="1:8" x14ac:dyDescent="0.25">
      <c r="E1071" t="str">
        <f>"12499"</f>
        <v>12499</v>
      </c>
      <c r="F1071" t="str">
        <f>"ABST FEE $175 + SERVICE $55"</f>
        <v>ABST FEE $175 + SERVICE $55</v>
      </c>
      <c r="G1071" s="2">
        <v>230</v>
      </c>
      <c r="H1071" t="str">
        <f>"ABST FEE $175 + SERVICE $55"</f>
        <v>ABST FEE $175 + SERVICE $55</v>
      </c>
    </row>
    <row r="1072" spans="1:8" x14ac:dyDescent="0.25">
      <c r="E1072" t="str">
        <f>"12746"</f>
        <v>12746</v>
      </c>
      <c r="F1072" t="str">
        <f>"ABST FEE  06/27/18"</f>
        <v>ABST FEE  06/27/18</v>
      </c>
      <c r="G1072" s="2">
        <v>225</v>
      </c>
      <c r="H1072" t="str">
        <f>"ABST FEE  06/27/18"</f>
        <v>ABST FEE  06/27/18</v>
      </c>
    </row>
    <row r="1073" spans="1:8" x14ac:dyDescent="0.25">
      <c r="E1073" t="str">
        <f>"12769"</f>
        <v>12769</v>
      </c>
      <c r="F1073" t="str">
        <f>"ABST FEE  06/27/18"</f>
        <v>ABST FEE  06/27/18</v>
      </c>
      <c r="G1073" s="2">
        <v>225</v>
      </c>
      <c r="H1073" t="str">
        <f>"ABST FEE  06/27/18"</f>
        <v>ABST FEE  06/27/18</v>
      </c>
    </row>
    <row r="1074" spans="1:8" x14ac:dyDescent="0.25">
      <c r="E1074" t="str">
        <f>"12781"</f>
        <v>12781</v>
      </c>
      <c r="F1074" t="str">
        <f>"ABST FEE  06/27/18"</f>
        <v>ABST FEE  06/27/18</v>
      </c>
      <c r="G1074" s="2">
        <v>225</v>
      </c>
      <c r="H1074" t="str">
        <f>"ABST FEE  06/27/18"</f>
        <v>ABST FEE  06/27/18</v>
      </c>
    </row>
    <row r="1075" spans="1:8" x14ac:dyDescent="0.25">
      <c r="E1075" t="str">
        <f>"201808162926"</f>
        <v>201808162926</v>
      </c>
      <c r="F1075" t="str">
        <f>"DELIQUENT TAXES-JULY 2018"</f>
        <v>DELIQUENT TAXES-JULY 2018</v>
      </c>
      <c r="G1075" s="2">
        <v>16957.18</v>
      </c>
      <c r="H1075" t="str">
        <f>"DELIQUENT TAXES-JULY 2018"</f>
        <v>DELIQUENT TAXES-JULY 2018</v>
      </c>
    </row>
    <row r="1076" spans="1:8" x14ac:dyDescent="0.25">
      <c r="A1076" t="s">
        <v>317</v>
      </c>
      <c r="B1076">
        <v>999999</v>
      </c>
      <c r="C1076" s="3">
        <v>991</v>
      </c>
      <c r="D1076" s="1">
        <v>43326</v>
      </c>
      <c r="E1076" t="str">
        <f>"3264749-IN"</f>
        <v>3264749-IN</v>
      </c>
      <c r="F1076" t="str">
        <f>"Inv# 3264749-IN"</f>
        <v>Inv# 3264749-IN</v>
      </c>
      <c r="G1076" s="2">
        <v>991</v>
      </c>
      <c r="H1076" t="str">
        <f>"PRGR-530FF2424T"</f>
        <v>PRGR-530FF2424T</v>
      </c>
    </row>
    <row r="1077" spans="1:8" x14ac:dyDescent="0.25">
      <c r="E1077" t="str">
        <f>""</f>
        <v/>
      </c>
      <c r="F1077" t="str">
        <f>""</f>
        <v/>
      </c>
      <c r="H1077" t="str">
        <f>"DAAD-SRA222208"</f>
        <v>DAAD-SRA222208</v>
      </c>
    </row>
    <row r="1078" spans="1:8" x14ac:dyDescent="0.25">
      <c r="E1078" t="str">
        <f>""</f>
        <v/>
      </c>
      <c r="F1078" t="str">
        <f>""</f>
        <v/>
      </c>
      <c r="H1078" t="str">
        <f>"ATFL-3608"</f>
        <v>ATFL-3608</v>
      </c>
    </row>
    <row r="1079" spans="1:8" x14ac:dyDescent="0.25">
      <c r="E1079" t="str">
        <f>""</f>
        <v/>
      </c>
      <c r="F1079" t="str">
        <f>""</f>
        <v/>
      </c>
      <c r="H1079" t="str">
        <f>"DIDU-SP08"</f>
        <v>DIDU-SP08</v>
      </c>
    </row>
    <row r="1080" spans="1:8" x14ac:dyDescent="0.25">
      <c r="E1080" t="str">
        <f>""</f>
        <v/>
      </c>
      <c r="F1080" t="str">
        <f>""</f>
        <v/>
      </c>
      <c r="H1080" t="str">
        <f>"DIST-ST2T0808"</f>
        <v>DIST-ST2T0808</v>
      </c>
    </row>
    <row r="1081" spans="1:8" x14ac:dyDescent="0.25">
      <c r="E1081" t="str">
        <f>""</f>
        <v/>
      </c>
      <c r="F1081" t="str">
        <f>""</f>
        <v/>
      </c>
      <c r="H1081" t="str">
        <f>"ATFL-3608"</f>
        <v>ATFL-3608</v>
      </c>
    </row>
    <row r="1082" spans="1:8" x14ac:dyDescent="0.25">
      <c r="A1082" t="s">
        <v>318</v>
      </c>
      <c r="B1082">
        <v>78051</v>
      </c>
      <c r="C1082" s="3">
        <v>915.84</v>
      </c>
      <c r="D1082" s="1">
        <v>43325</v>
      </c>
      <c r="E1082" t="str">
        <f>"201808082870"</f>
        <v>201808082870</v>
      </c>
      <c r="F1082" t="str">
        <f>"INDIGENT HEALTH"</f>
        <v>INDIGENT HEALTH</v>
      </c>
      <c r="G1082" s="2">
        <v>915.84</v>
      </c>
      <c r="H1082" t="str">
        <f>"INDIGENT HEALTH"</f>
        <v>INDIGENT HEALTH</v>
      </c>
    </row>
    <row r="1083" spans="1:8" x14ac:dyDescent="0.25">
      <c r="A1083" t="s">
        <v>319</v>
      </c>
      <c r="B1083">
        <v>78052</v>
      </c>
      <c r="C1083" s="3">
        <v>500</v>
      </c>
      <c r="D1083" s="1">
        <v>43325</v>
      </c>
      <c r="E1083" t="str">
        <f>"201808072711"</f>
        <v>201808072711</v>
      </c>
      <c r="F1083" t="str">
        <f>"VETERINARY SVCS-JULY 19  2018"</f>
        <v>VETERINARY SVCS-JULY 19  2018</v>
      </c>
      <c r="G1083" s="2">
        <v>500</v>
      </c>
      <c r="H1083" t="str">
        <f>"VETERINARY SVCS-JULY 19  2018"</f>
        <v>VETERINARY SVCS-JULY 19  2018</v>
      </c>
    </row>
    <row r="1084" spans="1:8" x14ac:dyDescent="0.25">
      <c r="A1084" t="s">
        <v>320</v>
      </c>
      <c r="B1084">
        <v>78325</v>
      </c>
      <c r="C1084" s="3">
        <v>35</v>
      </c>
      <c r="D1084" s="1">
        <v>43339</v>
      </c>
      <c r="E1084" t="str">
        <f>"201808223011"</f>
        <v>201808223011</v>
      </c>
      <c r="F1084" t="str">
        <f>"PER DIEM"</f>
        <v>PER DIEM</v>
      </c>
      <c r="G1084" s="2">
        <v>35</v>
      </c>
      <c r="H1084" t="str">
        <f>"PER DIEM"</f>
        <v>PER DIEM</v>
      </c>
    </row>
    <row r="1085" spans="1:8" x14ac:dyDescent="0.25">
      <c r="A1085" t="s">
        <v>321</v>
      </c>
      <c r="B1085">
        <v>999999</v>
      </c>
      <c r="C1085" s="3">
        <v>200</v>
      </c>
      <c r="D1085" s="1">
        <v>43326</v>
      </c>
      <c r="E1085" t="str">
        <f>"18-037"</f>
        <v>18-037</v>
      </c>
      <c r="F1085" t="str">
        <f>"423-1871/CT REPORTING SVCS"</f>
        <v>423-1871/CT REPORTING SVCS</v>
      </c>
      <c r="G1085" s="2">
        <v>100</v>
      </c>
      <c r="H1085" t="str">
        <f>"423-1871/CT REPORTING SVCS"</f>
        <v>423-1871/CT REPORTING SVCS</v>
      </c>
    </row>
    <row r="1086" spans="1:8" x14ac:dyDescent="0.25">
      <c r="E1086" t="str">
        <f>"18-038"</f>
        <v>18-038</v>
      </c>
      <c r="F1086" t="str">
        <f>"423-5574/CT REPORTING SVCS"</f>
        <v>423-5574/CT REPORTING SVCS</v>
      </c>
      <c r="G1086" s="2">
        <v>100</v>
      </c>
      <c r="H1086" t="str">
        <f>"423-5574/CT REPORTING"</f>
        <v>423-5574/CT REPORTING</v>
      </c>
    </row>
    <row r="1087" spans="1:8" x14ac:dyDescent="0.25">
      <c r="A1087" t="s">
        <v>322</v>
      </c>
      <c r="B1087">
        <v>999999</v>
      </c>
      <c r="C1087" s="3">
        <v>3222.6</v>
      </c>
      <c r="D1087" s="1">
        <v>43326</v>
      </c>
      <c r="E1087" t="str">
        <f>"17572"</f>
        <v>17572</v>
      </c>
      <c r="F1087" t="str">
        <f>"FREIGHT SALES/PCT#2"</f>
        <v>FREIGHT SALES/PCT#2</v>
      </c>
      <c r="G1087" s="2">
        <v>959.75</v>
      </c>
      <c r="H1087" t="str">
        <f>"FREIGHT SALES/PCT#2"</f>
        <v>FREIGHT SALES/PCT#2</v>
      </c>
    </row>
    <row r="1088" spans="1:8" x14ac:dyDescent="0.25">
      <c r="E1088" t="str">
        <f>"17586"</f>
        <v>17586</v>
      </c>
      <c r="F1088" t="str">
        <f>"FREIGHT SALES/PCT#2"</f>
        <v>FREIGHT SALES/PCT#2</v>
      </c>
      <c r="G1088" s="2">
        <v>938.85</v>
      </c>
      <c r="H1088" t="str">
        <f>"FREIGHT SALES/PCT#2"</f>
        <v>FREIGHT SALES/PCT#2</v>
      </c>
    </row>
    <row r="1089" spans="1:8" x14ac:dyDescent="0.25">
      <c r="E1089" t="str">
        <f>"17629"</f>
        <v>17629</v>
      </c>
      <c r="F1089" t="str">
        <f>"FREIGHT SALES/PCT#2"</f>
        <v>FREIGHT SALES/PCT#2</v>
      </c>
      <c r="G1089" s="2">
        <v>1324</v>
      </c>
      <c r="H1089" t="str">
        <f>"FREIGHT SALES/PCT#2"</f>
        <v>FREIGHT SALES/PCT#2</v>
      </c>
    </row>
    <row r="1090" spans="1:8" x14ac:dyDescent="0.25">
      <c r="A1090" t="s">
        <v>323</v>
      </c>
      <c r="B1090">
        <v>999999</v>
      </c>
      <c r="C1090" s="3">
        <v>690.5</v>
      </c>
      <c r="D1090" s="1">
        <v>43326</v>
      </c>
      <c r="E1090" t="str">
        <f>"115279 115281 +"</f>
        <v>115279 115281 +</v>
      </c>
      <c r="F1090" t="str">
        <f>"INV 115279/115281/116546"</f>
        <v>INV 115279/115281/116546</v>
      </c>
      <c r="G1090" s="2">
        <v>289.5</v>
      </c>
      <c r="H1090" t="str">
        <f>"INV 115279"</f>
        <v>INV 115279</v>
      </c>
    </row>
    <row r="1091" spans="1:8" x14ac:dyDescent="0.25">
      <c r="E1091" t="str">
        <f>""</f>
        <v/>
      </c>
      <c r="F1091" t="str">
        <f>""</f>
        <v/>
      </c>
      <c r="H1091" t="str">
        <f>"INV 115281"</f>
        <v>INV 115281</v>
      </c>
    </row>
    <row r="1092" spans="1:8" x14ac:dyDescent="0.25">
      <c r="E1092" t="str">
        <f>""</f>
        <v/>
      </c>
      <c r="F1092" t="str">
        <f>""</f>
        <v/>
      </c>
      <c r="H1092" t="str">
        <f>"INV 116546"</f>
        <v>INV 116546</v>
      </c>
    </row>
    <row r="1093" spans="1:8" x14ac:dyDescent="0.25">
      <c r="E1093" t="str">
        <f>"115633"</f>
        <v>115633</v>
      </c>
      <c r="F1093" t="str">
        <f>"INV 115633"</f>
        <v>INV 115633</v>
      </c>
      <c r="G1093" s="2">
        <v>82</v>
      </c>
      <c r="H1093" t="str">
        <f>"INV 115633"</f>
        <v>INV 115633</v>
      </c>
    </row>
    <row r="1094" spans="1:8" x14ac:dyDescent="0.25">
      <c r="E1094" t="str">
        <f>"116540"</f>
        <v>116540</v>
      </c>
      <c r="F1094" t="str">
        <f>"INV 116540"</f>
        <v>INV 116540</v>
      </c>
      <c r="G1094" s="2">
        <v>307</v>
      </c>
      <c r="H1094" t="str">
        <f>"INV 116540"</f>
        <v>INV 116540</v>
      </c>
    </row>
    <row r="1095" spans="1:8" x14ac:dyDescent="0.25">
      <c r="E1095" t="str">
        <f>"116541"</f>
        <v>116541</v>
      </c>
      <c r="F1095" t="str">
        <f>"INV 116541"</f>
        <v>INV 116541</v>
      </c>
      <c r="G1095" s="2">
        <v>12</v>
      </c>
      <c r="H1095" t="str">
        <f>"INV 116541"</f>
        <v>INV 116541</v>
      </c>
    </row>
    <row r="1096" spans="1:8" x14ac:dyDescent="0.25">
      <c r="A1096" t="s">
        <v>324</v>
      </c>
      <c r="B1096">
        <v>78177</v>
      </c>
      <c r="C1096" s="3">
        <v>48</v>
      </c>
      <c r="D1096" s="1">
        <v>43335</v>
      </c>
      <c r="E1096" t="str">
        <f>"201808233031"</f>
        <v>201808233031</v>
      </c>
      <c r="F1096" t="str">
        <f>"Miscell"</f>
        <v>Miscell</v>
      </c>
      <c r="G1096" s="2">
        <v>48</v>
      </c>
      <c r="H1096" t="str">
        <f>"Family Crisis Center"</f>
        <v>Family Crisis Center</v>
      </c>
    </row>
    <row r="1097" spans="1:8" x14ac:dyDescent="0.25">
      <c r="A1097" t="s">
        <v>325</v>
      </c>
      <c r="B1097">
        <v>78178</v>
      </c>
      <c r="C1097" s="3">
        <v>42</v>
      </c>
      <c r="D1097" s="1">
        <v>43335</v>
      </c>
      <c r="E1097" t="str">
        <f>"201808233032"</f>
        <v>201808233032</v>
      </c>
      <c r="F1097" t="str">
        <f>"M"</f>
        <v>M</v>
      </c>
      <c r="G1097" s="2">
        <v>42</v>
      </c>
      <c r="H1097" t="str">
        <f>"Children's Advocacy Center"</f>
        <v>Children's Advocacy Center</v>
      </c>
    </row>
    <row r="1098" spans="1:8" x14ac:dyDescent="0.25">
      <c r="A1098" t="s">
        <v>326</v>
      </c>
      <c r="B1098">
        <v>78179</v>
      </c>
      <c r="C1098" s="3">
        <v>60</v>
      </c>
      <c r="D1098" s="1">
        <v>43335</v>
      </c>
      <c r="E1098" t="str">
        <f>"201808233033"</f>
        <v>201808233033</v>
      </c>
      <c r="F1098" t="str">
        <f>"Mi"</f>
        <v>Mi</v>
      </c>
      <c r="G1098" s="2">
        <v>60</v>
      </c>
      <c r="H1098" t="str">
        <f>"Child Protective Services"</f>
        <v>Child Protective Services</v>
      </c>
    </row>
    <row r="1099" spans="1:8" x14ac:dyDescent="0.25">
      <c r="A1099" t="s">
        <v>327</v>
      </c>
      <c r="B1099">
        <v>78180</v>
      </c>
      <c r="C1099" s="3">
        <v>72</v>
      </c>
      <c r="D1099" s="1">
        <v>43335</v>
      </c>
      <c r="E1099" t="str">
        <f>"201808233034"</f>
        <v>201808233034</v>
      </c>
      <c r="F1099" t="str">
        <f>""</f>
        <v/>
      </c>
      <c r="G1099" s="2">
        <v>72</v>
      </c>
      <c r="H1099" t="str">
        <f>"COURT APPOINTED SPECIAL ADVOCA"</f>
        <v>COURT APPOINTED SPECIAL ADVOCA</v>
      </c>
    </row>
    <row r="1100" spans="1:8" x14ac:dyDescent="0.25">
      <c r="A1100" t="s">
        <v>328</v>
      </c>
      <c r="B1100">
        <v>78181</v>
      </c>
      <c r="C1100" s="3">
        <v>6</v>
      </c>
      <c r="D1100" s="1">
        <v>43335</v>
      </c>
      <c r="E1100" t="str">
        <f>"201808233035"</f>
        <v>201808233035</v>
      </c>
      <c r="F1100" t="str">
        <f>"Miscel"</f>
        <v>Miscel</v>
      </c>
      <c r="G1100" s="2">
        <v>6</v>
      </c>
      <c r="H1100" t="str">
        <f>"JUDITH KATHERINE GWIN"</f>
        <v>JUDITH KATHERINE GWIN</v>
      </c>
    </row>
    <row r="1101" spans="1:8" x14ac:dyDescent="0.25">
      <c r="A1101" t="s">
        <v>329</v>
      </c>
      <c r="B1101">
        <v>78182</v>
      </c>
      <c r="C1101" s="3">
        <v>6</v>
      </c>
      <c r="D1101" s="1">
        <v>43335</v>
      </c>
      <c r="E1101" t="str">
        <f>"201808233036"</f>
        <v>201808233036</v>
      </c>
      <c r="F1101" t="str">
        <f>"Miscellan"</f>
        <v>Miscellan</v>
      </c>
      <c r="G1101" s="2">
        <v>6</v>
      </c>
      <c r="H1101" t="str">
        <f>"PADEN GLENN WALKER"</f>
        <v>PADEN GLENN WALKER</v>
      </c>
    </row>
    <row r="1102" spans="1:8" x14ac:dyDescent="0.25">
      <c r="A1102" t="s">
        <v>330</v>
      </c>
      <c r="B1102">
        <v>78183</v>
      </c>
      <c r="C1102" s="3">
        <v>6</v>
      </c>
      <c r="D1102" s="1">
        <v>43335</v>
      </c>
      <c r="E1102" t="str">
        <f>"201808233037"</f>
        <v>201808233037</v>
      </c>
      <c r="F1102" t="str">
        <f>"Misc"</f>
        <v>Misc</v>
      </c>
      <c r="G1102" s="2">
        <v>6</v>
      </c>
      <c r="H1102" t="str">
        <f>"SAMANTHA NICOLE WHEELER"</f>
        <v>SAMANTHA NICOLE WHEELER</v>
      </c>
    </row>
    <row r="1103" spans="1:8" x14ac:dyDescent="0.25">
      <c r="A1103" t="s">
        <v>331</v>
      </c>
      <c r="B1103">
        <v>78184</v>
      </c>
      <c r="C1103" s="3">
        <v>6</v>
      </c>
      <c r="D1103" s="1">
        <v>43335</v>
      </c>
      <c r="E1103" t="str">
        <f>"201808233038"</f>
        <v>201808233038</v>
      </c>
      <c r="F1103" t="str">
        <f>"Misc"</f>
        <v>Misc</v>
      </c>
      <c r="G1103" s="2">
        <v>6</v>
      </c>
      <c r="H1103" t="str">
        <f>"MARY CATHERINE WAGGONER"</f>
        <v>MARY CATHERINE WAGGONER</v>
      </c>
    </row>
    <row r="1104" spans="1:8" x14ac:dyDescent="0.25">
      <c r="A1104" t="s">
        <v>332</v>
      </c>
      <c r="B1104">
        <v>78185</v>
      </c>
      <c r="C1104" s="3">
        <v>6</v>
      </c>
      <c r="D1104" s="1">
        <v>43335</v>
      </c>
      <c r="E1104" t="str">
        <f>"201808233039"</f>
        <v>201808233039</v>
      </c>
      <c r="F1104" t="str">
        <f>"Miscellan"</f>
        <v>Miscellan</v>
      </c>
      <c r="G1104" s="2">
        <v>6</v>
      </c>
      <c r="H1104" t="str">
        <f>"RENEE FARLEY MOORE"</f>
        <v>RENEE FARLEY MOORE</v>
      </c>
    </row>
    <row r="1105" spans="1:8" x14ac:dyDescent="0.25">
      <c r="A1105" t="s">
        <v>333</v>
      </c>
      <c r="B1105">
        <v>78186</v>
      </c>
      <c r="C1105" s="3">
        <v>6</v>
      </c>
      <c r="D1105" s="1">
        <v>43335</v>
      </c>
      <c r="E1105" t="str">
        <f>"201808233040"</f>
        <v>201808233040</v>
      </c>
      <c r="F1105" t="str">
        <f>"Miscellaneous"</f>
        <v>Miscellaneous</v>
      </c>
      <c r="G1105" s="2">
        <v>6</v>
      </c>
      <c r="H1105" t="str">
        <f>"IMELDO SOLACHE"</f>
        <v>IMELDO SOLACHE</v>
      </c>
    </row>
    <row r="1106" spans="1:8" x14ac:dyDescent="0.25">
      <c r="A1106" t="s">
        <v>334</v>
      </c>
      <c r="B1106">
        <v>78187</v>
      </c>
      <c r="C1106" s="3">
        <v>6</v>
      </c>
      <c r="D1106" s="1">
        <v>43335</v>
      </c>
      <c r="E1106" t="str">
        <f>"201808233041"</f>
        <v>201808233041</v>
      </c>
      <c r="F1106" t="str">
        <f>"Miscel"</f>
        <v>Miscel</v>
      </c>
      <c r="G1106" s="2">
        <v>6</v>
      </c>
      <c r="H1106" t="str">
        <f>"BRADLEY WAYLAND SCOTT"</f>
        <v>BRADLEY WAYLAND SCOTT</v>
      </c>
    </row>
    <row r="1107" spans="1:8" x14ac:dyDescent="0.25">
      <c r="A1107" t="s">
        <v>335</v>
      </c>
      <c r="B1107">
        <v>78188</v>
      </c>
      <c r="C1107" s="3">
        <v>6</v>
      </c>
      <c r="D1107" s="1">
        <v>43335</v>
      </c>
      <c r="E1107" t="str">
        <f>"201808233042"</f>
        <v>201808233042</v>
      </c>
      <c r="F1107" t="str">
        <f>"Miscell"</f>
        <v>Miscell</v>
      </c>
      <c r="G1107" s="2">
        <v>6</v>
      </c>
      <c r="H1107" t="str">
        <f>"JOSE ALONSO GONZALES"</f>
        <v>JOSE ALONSO GONZALES</v>
      </c>
    </row>
    <row r="1108" spans="1:8" x14ac:dyDescent="0.25">
      <c r="A1108" t="s">
        <v>336</v>
      </c>
      <c r="B1108">
        <v>78189</v>
      </c>
      <c r="C1108" s="3">
        <v>6</v>
      </c>
      <c r="D1108" s="1">
        <v>43335</v>
      </c>
      <c r="E1108" t="str">
        <f>"201808233043"</f>
        <v>201808233043</v>
      </c>
      <c r="F1108" t="str">
        <f>"Miscellan"</f>
        <v>Miscellan</v>
      </c>
      <c r="G1108" s="2">
        <v>6</v>
      </c>
      <c r="H1108" t="str">
        <f>"WILLIAM ADAM LAIRD"</f>
        <v>WILLIAM ADAM LAIRD</v>
      </c>
    </row>
    <row r="1109" spans="1:8" x14ac:dyDescent="0.25">
      <c r="A1109" t="s">
        <v>337</v>
      </c>
      <c r="B1109">
        <v>78190</v>
      </c>
      <c r="C1109" s="3">
        <v>6</v>
      </c>
      <c r="D1109" s="1">
        <v>43335</v>
      </c>
      <c r="E1109" t="str">
        <f>"201808233044"</f>
        <v>201808233044</v>
      </c>
      <c r="F1109" t="str">
        <f>"Miscellan"</f>
        <v>Miscellan</v>
      </c>
      <c r="G1109" s="2">
        <v>6</v>
      </c>
      <c r="H1109" t="str">
        <f>"ELSIE SUPAK HERRIN"</f>
        <v>ELSIE SUPAK HERRIN</v>
      </c>
    </row>
    <row r="1110" spans="1:8" x14ac:dyDescent="0.25">
      <c r="A1110" t="s">
        <v>338</v>
      </c>
      <c r="B1110">
        <v>78191</v>
      </c>
      <c r="C1110" s="3">
        <v>6</v>
      </c>
      <c r="D1110" s="1">
        <v>43335</v>
      </c>
      <c r="E1110" t="str">
        <f>"201808233045"</f>
        <v>201808233045</v>
      </c>
      <c r="F1110" t="str">
        <f>"Miscell"</f>
        <v>Miscell</v>
      </c>
      <c r="G1110" s="2">
        <v>6</v>
      </c>
      <c r="H1110" t="str">
        <f>"ERIN KATHLEEN WEHRLY"</f>
        <v>ERIN KATHLEEN WEHRLY</v>
      </c>
    </row>
    <row r="1111" spans="1:8" x14ac:dyDescent="0.25">
      <c r="A1111" t="s">
        <v>339</v>
      </c>
      <c r="B1111">
        <v>78192</v>
      </c>
      <c r="C1111" s="3">
        <v>6</v>
      </c>
      <c r="D1111" s="1">
        <v>43335</v>
      </c>
      <c r="E1111" t="str">
        <f>"201808233046"</f>
        <v>201808233046</v>
      </c>
      <c r="F1111" t="str">
        <f>"Misc"</f>
        <v>Misc</v>
      </c>
      <c r="G1111" s="2">
        <v>6</v>
      </c>
      <c r="H1111" t="str">
        <f>"BRIDGET BROOKE AHLGRIMM"</f>
        <v>BRIDGET BROOKE AHLGRIMM</v>
      </c>
    </row>
    <row r="1112" spans="1:8" x14ac:dyDescent="0.25">
      <c r="A1112" t="s">
        <v>340</v>
      </c>
      <c r="B1112">
        <v>78193</v>
      </c>
      <c r="C1112" s="3">
        <v>6</v>
      </c>
      <c r="D1112" s="1">
        <v>43335</v>
      </c>
      <c r="E1112" t="str">
        <f>"201808233047"</f>
        <v>201808233047</v>
      </c>
      <c r="F1112" t="str">
        <f>"Miscel"</f>
        <v>Miscel</v>
      </c>
      <c r="G1112" s="2">
        <v>6</v>
      </c>
      <c r="H1112" t="str">
        <f>"RODNEY LABAR MILLIGAN"</f>
        <v>RODNEY LABAR MILLIGAN</v>
      </c>
    </row>
    <row r="1113" spans="1:8" x14ac:dyDescent="0.25">
      <c r="A1113" t="s">
        <v>341</v>
      </c>
      <c r="B1113">
        <v>78194</v>
      </c>
      <c r="C1113" s="3">
        <v>6</v>
      </c>
      <c r="D1113" s="1">
        <v>43335</v>
      </c>
      <c r="E1113" t="str">
        <f>"201808233048"</f>
        <v>201808233048</v>
      </c>
      <c r="F1113" t="str">
        <f>"Miscel"</f>
        <v>Miscel</v>
      </c>
      <c r="G1113" s="2">
        <v>6</v>
      </c>
      <c r="H1113" t="str">
        <f>"TABITHA LYNN HATHAWAY"</f>
        <v>TABITHA LYNN HATHAWAY</v>
      </c>
    </row>
    <row r="1114" spans="1:8" x14ac:dyDescent="0.25">
      <c r="A1114" t="s">
        <v>342</v>
      </c>
      <c r="B1114">
        <v>78195</v>
      </c>
      <c r="C1114" s="3">
        <v>6</v>
      </c>
      <c r="D1114" s="1">
        <v>43335</v>
      </c>
      <c r="E1114" t="str">
        <f>"201808233049"</f>
        <v>201808233049</v>
      </c>
      <c r="F1114" t="str">
        <f>"Miscella"</f>
        <v>Miscella</v>
      </c>
      <c r="G1114" s="2">
        <v>6</v>
      </c>
      <c r="H1114" t="str">
        <f>"ROBERT CHAVARRIA JR"</f>
        <v>ROBERT CHAVARRIA JR</v>
      </c>
    </row>
    <row r="1115" spans="1:8" x14ac:dyDescent="0.25">
      <c r="A1115" t="s">
        <v>343</v>
      </c>
      <c r="B1115">
        <v>78196</v>
      </c>
      <c r="C1115" s="3">
        <v>6</v>
      </c>
      <c r="D1115" s="1">
        <v>43335</v>
      </c>
      <c r="E1115" t="str">
        <f>"201808233050"</f>
        <v>201808233050</v>
      </c>
      <c r="F1115" t="str">
        <f>"Miscel"</f>
        <v>Miscel</v>
      </c>
      <c r="G1115" s="2">
        <v>6</v>
      </c>
      <c r="H1115" t="str">
        <f>"KIRSTEN TAYLOR CANNON"</f>
        <v>KIRSTEN TAYLOR CANNON</v>
      </c>
    </row>
    <row r="1116" spans="1:8" x14ac:dyDescent="0.25">
      <c r="A1116" t="s">
        <v>344</v>
      </c>
      <c r="B1116">
        <v>78197</v>
      </c>
      <c r="C1116" s="3">
        <v>6</v>
      </c>
      <c r="D1116" s="1">
        <v>43335</v>
      </c>
      <c r="E1116" t="str">
        <f>"201808233051"</f>
        <v>201808233051</v>
      </c>
      <c r="F1116" t="str">
        <f>"Miscellane"</f>
        <v>Miscellane</v>
      </c>
      <c r="G1116" s="2">
        <v>6</v>
      </c>
      <c r="H1116" t="str">
        <f>"RANDAL PRICE VEST"</f>
        <v>RANDAL PRICE VEST</v>
      </c>
    </row>
    <row r="1117" spans="1:8" x14ac:dyDescent="0.25">
      <c r="A1117" t="s">
        <v>345</v>
      </c>
      <c r="B1117">
        <v>78198</v>
      </c>
      <c r="C1117" s="3">
        <v>6</v>
      </c>
      <c r="D1117" s="1">
        <v>43335</v>
      </c>
      <c r="E1117" t="str">
        <f>"201808233052"</f>
        <v>201808233052</v>
      </c>
      <c r="F1117" t="str">
        <f>"Miscella"</f>
        <v>Miscella</v>
      </c>
      <c r="G1117" s="2">
        <v>6</v>
      </c>
      <c r="H1117" t="str">
        <f>"CLARISSA ANNE WELLS"</f>
        <v>CLARISSA ANNE WELLS</v>
      </c>
    </row>
    <row r="1118" spans="1:8" x14ac:dyDescent="0.25">
      <c r="A1118" t="s">
        <v>346</v>
      </c>
      <c r="B1118">
        <v>78199</v>
      </c>
      <c r="C1118" s="3">
        <v>6</v>
      </c>
      <c r="D1118" s="1">
        <v>43335</v>
      </c>
      <c r="E1118" t="str">
        <f>"201808233053"</f>
        <v>201808233053</v>
      </c>
      <c r="F1118" t="str">
        <f>"Misc"</f>
        <v>Misc</v>
      </c>
      <c r="G1118" s="2">
        <v>6</v>
      </c>
      <c r="H1118" t="str">
        <f>"STEVEN MICHAEL WILLIAMS"</f>
        <v>STEVEN MICHAEL WILLIAMS</v>
      </c>
    </row>
    <row r="1119" spans="1:8" x14ac:dyDescent="0.25">
      <c r="A1119" t="s">
        <v>347</v>
      </c>
      <c r="B1119">
        <v>78200</v>
      </c>
      <c r="C1119" s="3">
        <v>6</v>
      </c>
      <c r="D1119" s="1">
        <v>43335</v>
      </c>
      <c r="E1119" t="str">
        <f>"201808233054"</f>
        <v>201808233054</v>
      </c>
      <c r="F1119" t="str">
        <f>"Miscella"</f>
        <v>Miscella</v>
      </c>
      <c r="G1119" s="2">
        <v>6</v>
      </c>
      <c r="H1119" t="str">
        <f>"NORMA RIVAS JIMENEZ"</f>
        <v>NORMA RIVAS JIMENEZ</v>
      </c>
    </row>
    <row r="1120" spans="1:8" x14ac:dyDescent="0.25">
      <c r="A1120" t="s">
        <v>348</v>
      </c>
      <c r="B1120">
        <v>78201</v>
      </c>
      <c r="C1120" s="3">
        <v>6</v>
      </c>
      <c r="D1120" s="1">
        <v>43335</v>
      </c>
      <c r="E1120" t="str">
        <f>"201808233055"</f>
        <v>201808233055</v>
      </c>
      <c r="F1120" t="str">
        <f>"Misc"</f>
        <v>Misc</v>
      </c>
      <c r="G1120" s="2">
        <v>6</v>
      </c>
      <c r="H1120" t="str">
        <f>"KEITH LANE ZIMMERHANZEL"</f>
        <v>KEITH LANE ZIMMERHANZEL</v>
      </c>
    </row>
    <row r="1121" spans="1:8" x14ac:dyDescent="0.25">
      <c r="A1121" t="s">
        <v>349</v>
      </c>
      <c r="B1121">
        <v>78202</v>
      </c>
      <c r="C1121" s="3">
        <v>6</v>
      </c>
      <c r="D1121" s="1">
        <v>43335</v>
      </c>
      <c r="E1121" t="str">
        <f>"201808233056"</f>
        <v>201808233056</v>
      </c>
      <c r="F1121" t="str">
        <f>"Miscel"</f>
        <v>Miscel</v>
      </c>
      <c r="G1121" s="2">
        <v>6</v>
      </c>
      <c r="H1121" t="str">
        <f>"JEFFREY BRYAN ARCHERD"</f>
        <v>JEFFREY BRYAN ARCHERD</v>
      </c>
    </row>
    <row r="1122" spans="1:8" x14ac:dyDescent="0.25">
      <c r="A1122" t="s">
        <v>350</v>
      </c>
      <c r="B1122">
        <v>78203</v>
      </c>
      <c r="C1122" s="3">
        <v>6</v>
      </c>
      <c r="D1122" s="1">
        <v>43335</v>
      </c>
      <c r="E1122" t="str">
        <f>"201808233057"</f>
        <v>201808233057</v>
      </c>
      <c r="F1122" t="str">
        <f>"Miscell"</f>
        <v>Miscell</v>
      </c>
      <c r="G1122" s="2">
        <v>6</v>
      </c>
      <c r="H1122" t="str">
        <f>"TRACIE DELAINE CHAPA"</f>
        <v>TRACIE DELAINE CHAPA</v>
      </c>
    </row>
    <row r="1123" spans="1:8" x14ac:dyDescent="0.25">
      <c r="A1123" t="s">
        <v>351</v>
      </c>
      <c r="B1123">
        <v>78204</v>
      </c>
      <c r="C1123" s="3">
        <v>6</v>
      </c>
      <c r="D1123" s="1">
        <v>43335</v>
      </c>
      <c r="E1123" t="str">
        <f>"201808233058"</f>
        <v>201808233058</v>
      </c>
      <c r="F1123" t="str">
        <f>"Miscell"</f>
        <v>Miscell</v>
      </c>
      <c r="G1123" s="2">
        <v>6</v>
      </c>
      <c r="H1123" t="str">
        <f>"FELICIA GAIL JACKSON"</f>
        <v>FELICIA GAIL JACKSON</v>
      </c>
    </row>
    <row r="1124" spans="1:8" x14ac:dyDescent="0.25">
      <c r="A1124" t="s">
        <v>352</v>
      </c>
      <c r="B1124">
        <v>78205</v>
      </c>
      <c r="C1124" s="3">
        <v>6</v>
      </c>
      <c r="D1124" s="1">
        <v>43335</v>
      </c>
      <c r="E1124" t="str">
        <f>"201808233059"</f>
        <v>201808233059</v>
      </c>
      <c r="F1124" t="str">
        <f>"Misc"</f>
        <v>Misc</v>
      </c>
      <c r="G1124" s="2">
        <v>6</v>
      </c>
      <c r="H1124" t="str">
        <f>"ANGELA CHRISTINE MURPHY"</f>
        <v>ANGELA CHRISTINE MURPHY</v>
      </c>
    </row>
    <row r="1125" spans="1:8" x14ac:dyDescent="0.25">
      <c r="A1125" t="s">
        <v>353</v>
      </c>
      <c r="B1125">
        <v>78206</v>
      </c>
      <c r="C1125" s="3">
        <v>6</v>
      </c>
      <c r="D1125" s="1">
        <v>43335</v>
      </c>
      <c r="E1125" t="str">
        <f>"201808233060"</f>
        <v>201808233060</v>
      </c>
      <c r="F1125" t="str">
        <f>"Miscella"</f>
        <v>Miscella</v>
      </c>
      <c r="G1125" s="2">
        <v>6</v>
      </c>
      <c r="H1125" t="str">
        <f>"VONDA CELINA GLOVER"</f>
        <v>VONDA CELINA GLOVER</v>
      </c>
    </row>
    <row r="1126" spans="1:8" x14ac:dyDescent="0.25">
      <c r="A1126" t="s">
        <v>354</v>
      </c>
      <c r="B1126">
        <v>78207</v>
      </c>
      <c r="C1126" s="3">
        <v>6</v>
      </c>
      <c r="D1126" s="1">
        <v>43335</v>
      </c>
      <c r="E1126" t="str">
        <f>"201808233061"</f>
        <v>201808233061</v>
      </c>
      <c r="F1126" t="str">
        <f>"Mis"</f>
        <v>Mis</v>
      </c>
      <c r="G1126" s="2">
        <v>6</v>
      </c>
      <c r="H1126" t="str">
        <f>"RICHARD RAYMOND STRATTON"</f>
        <v>RICHARD RAYMOND STRATTON</v>
      </c>
    </row>
    <row r="1127" spans="1:8" x14ac:dyDescent="0.25">
      <c r="A1127" t="s">
        <v>355</v>
      </c>
      <c r="B1127">
        <v>78208</v>
      </c>
      <c r="C1127" s="3">
        <v>6</v>
      </c>
      <c r="D1127" s="1">
        <v>43335</v>
      </c>
      <c r="E1127" t="str">
        <f>"201808233062"</f>
        <v>201808233062</v>
      </c>
      <c r="F1127" t="str">
        <f>"Miscellaneous"</f>
        <v>Miscellaneous</v>
      </c>
      <c r="G1127" s="2">
        <v>6</v>
      </c>
      <c r="H1127" t="str">
        <f>"KEVIN G STONE"</f>
        <v>KEVIN G STONE</v>
      </c>
    </row>
    <row r="1128" spans="1:8" x14ac:dyDescent="0.25">
      <c r="A1128" t="s">
        <v>356</v>
      </c>
      <c r="B1128">
        <v>78209</v>
      </c>
      <c r="C1128" s="3">
        <v>6</v>
      </c>
      <c r="D1128" s="1">
        <v>43335</v>
      </c>
      <c r="E1128" t="str">
        <f>"201808233063"</f>
        <v>201808233063</v>
      </c>
      <c r="F1128" t="str">
        <f>"Mi"</f>
        <v>Mi</v>
      </c>
      <c r="G1128" s="2">
        <v>6</v>
      </c>
      <c r="H1128" t="str">
        <f>"CAROLINE ELIZABETH KAISER"</f>
        <v>CAROLINE ELIZABETH KAISER</v>
      </c>
    </row>
    <row r="1129" spans="1:8" x14ac:dyDescent="0.25">
      <c r="A1129" t="s">
        <v>357</v>
      </c>
      <c r="B1129">
        <v>78210</v>
      </c>
      <c r="C1129" s="3">
        <v>6</v>
      </c>
      <c r="D1129" s="1">
        <v>43335</v>
      </c>
      <c r="E1129" t="str">
        <f>"201808233064"</f>
        <v>201808233064</v>
      </c>
      <c r="F1129" t="str">
        <f>"Miscellaneous"</f>
        <v>Miscellaneous</v>
      </c>
      <c r="G1129" s="2">
        <v>6</v>
      </c>
      <c r="H1129" t="str">
        <f>"ELENA CARRILLO"</f>
        <v>ELENA CARRILLO</v>
      </c>
    </row>
    <row r="1130" spans="1:8" x14ac:dyDescent="0.25">
      <c r="A1130" t="s">
        <v>358</v>
      </c>
      <c r="B1130">
        <v>78211</v>
      </c>
      <c r="C1130" s="3">
        <v>6</v>
      </c>
      <c r="D1130" s="1">
        <v>43335</v>
      </c>
      <c r="E1130" t="str">
        <f>"201808233065"</f>
        <v>201808233065</v>
      </c>
      <c r="F1130" t="str">
        <f>"Miscellaneo"</f>
        <v>Miscellaneo</v>
      </c>
      <c r="G1130" s="2">
        <v>6</v>
      </c>
      <c r="H1130" t="str">
        <f>"LORI ANN ELLIOTT"</f>
        <v>LORI ANN ELLIOTT</v>
      </c>
    </row>
    <row r="1131" spans="1:8" x14ac:dyDescent="0.25">
      <c r="A1131" t="s">
        <v>359</v>
      </c>
      <c r="B1131">
        <v>78212</v>
      </c>
      <c r="C1131" s="3">
        <v>6</v>
      </c>
      <c r="D1131" s="1">
        <v>43335</v>
      </c>
      <c r="E1131" t="str">
        <f>"201808233066"</f>
        <v>201808233066</v>
      </c>
      <c r="F1131" t="str">
        <f>"Misc"</f>
        <v>Misc</v>
      </c>
      <c r="G1131" s="2">
        <v>6</v>
      </c>
      <c r="H1131" t="str">
        <f>"ROBERT EDWARD MCCLENDON"</f>
        <v>ROBERT EDWARD MCCLENDON</v>
      </c>
    </row>
    <row r="1132" spans="1:8" x14ac:dyDescent="0.25">
      <c r="A1132" t="s">
        <v>360</v>
      </c>
      <c r="B1132">
        <v>78213</v>
      </c>
      <c r="C1132" s="3">
        <v>6</v>
      </c>
      <c r="D1132" s="1">
        <v>43335</v>
      </c>
      <c r="E1132" t="str">
        <f>"201808233067"</f>
        <v>201808233067</v>
      </c>
      <c r="F1132" t="str">
        <f>"Miscella"</f>
        <v>Miscella</v>
      </c>
      <c r="G1132" s="2">
        <v>6</v>
      </c>
      <c r="H1132" t="str">
        <f>"JERRY LLOYD WINKLER"</f>
        <v>JERRY LLOYD WINKLER</v>
      </c>
    </row>
    <row r="1133" spans="1:8" x14ac:dyDescent="0.25">
      <c r="A1133" t="s">
        <v>361</v>
      </c>
      <c r="B1133">
        <v>78214</v>
      </c>
      <c r="C1133" s="3">
        <v>6</v>
      </c>
      <c r="D1133" s="1">
        <v>43335</v>
      </c>
      <c r="E1133" t="str">
        <f>"201808233068"</f>
        <v>201808233068</v>
      </c>
      <c r="F1133" t="str">
        <f>""</f>
        <v/>
      </c>
      <c r="G1133" s="2">
        <v>6</v>
      </c>
      <c r="H1133" t="str">
        <f>"CANDICE BROOK ANDERSON CARRAWA"</f>
        <v>CANDICE BROOK ANDERSON CARRAWA</v>
      </c>
    </row>
    <row r="1134" spans="1:8" x14ac:dyDescent="0.25">
      <c r="A1134" t="s">
        <v>362</v>
      </c>
      <c r="B1134">
        <v>78215</v>
      </c>
      <c r="C1134" s="3">
        <v>6</v>
      </c>
      <c r="D1134" s="1">
        <v>43335</v>
      </c>
      <c r="E1134" t="str">
        <f>"201808233069"</f>
        <v>201808233069</v>
      </c>
      <c r="F1134" t="str">
        <f>"Miscella"</f>
        <v>Miscella</v>
      </c>
      <c r="G1134" s="2">
        <v>6</v>
      </c>
      <c r="H1134" t="str">
        <f>"LYNDA ANITA MACLEOD"</f>
        <v>LYNDA ANITA MACLEOD</v>
      </c>
    </row>
    <row r="1135" spans="1:8" x14ac:dyDescent="0.25">
      <c r="A1135" t="s">
        <v>363</v>
      </c>
      <c r="B1135">
        <v>78216</v>
      </c>
      <c r="C1135" s="3">
        <v>6</v>
      </c>
      <c r="D1135" s="1">
        <v>43335</v>
      </c>
      <c r="E1135" t="str">
        <f>"201808233070"</f>
        <v>201808233070</v>
      </c>
      <c r="F1135" t="str">
        <f>"Misc"</f>
        <v>Misc</v>
      </c>
      <c r="G1135" s="2">
        <v>6</v>
      </c>
      <c r="H1135" t="str">
        <f>"WILLIAM CLAIRE EVANS JR"</f>
        <v>WILLIAM CLAIRE EVANS JR</v>
      </c>
    </row>
    <row r="1136" spans="1:8" x14ac:dyDescent="0.25">
      <c r="A1136" t="s">
        <v>364</v>
      </c>
      <c r="B1136">
        <v>78217</v>
      </c>
      <c r="C1136" s="3">
        <v>6</v>
      </c>
      <c r="D1136" s="1">
        <v>43335</v>
      </c>
      <c r="E1136" t="str">
        <f>"201808233071"</f>
        <v>201808233071</v>
      </c>
      <c r="F1136" t="str">
        <f>"Miscell"</f>
        <v>Miscell</v>
      </c>
      <c r="G1136" s="2">
        <v>6</v>
      </c>
      <c r="H1136" t="str">
        <f>"PAMELA MARIE ASHNESS"</f>
        <v>PAMELA MARIE ASHNESS</v>
      </c>
    </row>
    <row r="1137" spans="1:8" x14ac:dyDescent="0.25">
      <c r="A1137" t="s">
        <v>365</v>
      </c>
      <c r="B1137">
        <v>78218</v>
      </c>
      <c r="C1137" s="3">
        <v>6</v>
      </c>
      <c r="D1137" s="1">
        <v>43335</v>
      </c>
      <c r="E1137" t="str">
        <f>"201808233072"</f>
        <v>201808233072</v>
      </c>
      <c r="F1137" t="str">
        <f>"Misce"</f>
        <v>Misce</v>
      </c>
      <c r="G1137" s="2">
        <v>6</v>
      </c>
      <c r="H1137" t="str">
        <f>"JEREMIAH SKIE OMAHONEY"</f>
        <v>JEREMIAH SKIE OMAHONEY</v>
      </c>
    </row>
    <row r="1138" spans="1:8" x14ac:dyDescent="0.25">
      <c r="A1138" t="s">
        <v>366</v>
      </c>
      <c r="B1138">
        <v>78219</v>
      </c>
      <c r="C1138" s="3">
        <v>6</v>
      </c>
      <c r="D1138" s="1">
        <v>43335</v>
      </c>
      <c r="E1138" t="str">
        <f>"201808233073"</f>
        <v>201808233073</v>
      </c>
      <c r="F1138" t="str">
        <f>"Miscella"</f>
        <v>Miscella</v>
      </c>
      <c r="G1138" s="2">
        <v>6</v>
      </c>
      <c r="H1138" t="str">
        <f>"MARIA ELENA SANCHEZ"</f>
        <v>MARIA ELENA SANCHEZ</v>
      </c>
    </row>
    <row r="1139" spans="1:8" x14ac:dyDescent="0.25">
      <c r="A1139" t="s">
        <v>367</v>
      </c>
      <c r="B1139">
        <v>78220</v>
      </c>
      <c r="C1139" s="3">
        <v>6</v>
      </c>
      <c r="D1139" s="1">
        <v>43335</v>
      </c>
      <c r="E1139" t="str">
        <f>"201808233074"</f>
        <v>201808233074</v>
      </c>
      <c r="F1139" t="str">
        <f>"Miscel"</f>
        <v>Miscel</v>
      </c>
      <c r="G1139" s="2">
        <v>6</v>
      </c>
      <c r="H1139" t="str">
        <f>"DALTON JAMES BANFIELD"</f>
        <v>DALTON JAMES BANFIELD</v>
      </c>
    </row>
    <row r="1140" spans="1:8" x14ac:dyDescent="0.25">
      <c r="A1140" t="s">
        <v>368</v>
      </c>
      <c r="B1140">
        <v>78221</v>
      </c>
      <c r="C1140" s="3">
        <v>6</v>
      </c>
      <c r="D1140" s="1">
        <v>43335</v>
      </c>
      <c r="E1140" t="str">
        <f>"201808233075"</f>
        <v>201808233075</v>
      </c>
      <c r="F1140" t="str">
        <f>"Miscell"</f>
        <v>Miscell</v>
      </c>
      <c r="G1140" s="2">
        <v>6</v>
      </c>
      <c r="H1140" t="str">
        <f>"ANDREANNA KAY NEGLEY"</f>
        <v>ANDREANNA KAY NEGLEY</v>
      </c>
    </row>
    <row r="1141" spans="1:8" x14ac:dyDescent="0.25">
      <c r="A1141" t="s">
        <v>369</v>
      </c>
      <c r="B1141">
        <v>78222</v>
      </c>
      <c r="C1141" s="3">
        <v>6</v>
      </c>
      <c r="D1141" s="1">
        <v>43335</v>
      </c>
      <c r="E1141" t="str">
        <f>"201808233076"</f>
        <v>201808233076</v>
      </c>
      <c r="F1141" t="str">
        <f>"Miscel"</f>
        <v>Miscel</v>
      </c>
      <c r="G1141" s="2">
        <v>6</v>
      </c>
      <c r="H1141" t="str">
        <f>"JUANITA GARCIA ACOSTA"</f>
        <v>JUANITA GARCIA ACOSTA</v>
      </c>
    </row>
    <row r="1142" spans="1:8" x14ac:dyDescent="0.25">
      <c r="A1142" t="s">
        <v>370</v>
      </c>
      <c r="B1142">
        <v>78223</v>
      </c>
      <c r="C1142" s="3">
        <v>6</v>
      </c>
      <c r="D1142" s="1">
        <v>43335</v>
      </c>
      <c r="E1142" t="str">
        <f>"201808233077"</f>
        <v>201808233077</v>
      </c>
      <c r="F1142" t="str">
        <f>"Miscellan"</f>
        <v>Miscellan</v>
      </c>
      <c r="G1142" s="2">
        <v>6</v>
      </c>
      <c r="H1142" t="str">
        <f>"SANDRA ANN DUNAWAY"</f>
        <v>SANDRA ANN DUNAWAY</v>
      </c>
    </row>
    <row r="1143" spans="1:8" x14ac:dyDescent="0.25">
      <c r="A1143" t="s">
        <v>371</v>
      </c>
      <c r="B1143">
        <v>78224</v>
      </c>
      <c r="C1143" s="3">
        <v>6</v>
      </c>
      <c r="D1143" s="1">
        <v>43335</v>
      </c>
      <c r="E1143" t="str">
        <f>"201808233078"</f>
        <v>201808233078</v>
      </c>
      <c r="F1143" t="str">
        <f>"Miscellaneous"</f>
        <v>Miscellaneous</v>
      </c>
      <c r="G1143" s="2">
        <v>6</v>
      </c>
      <c r="H1143" t="str">
        <f>"JAMES DELEON"</f>
        <v>JAMES DELEON</v>
      </c>
    </row>
    <row r="1144" spans="1:8" x14ac:dyDescent="0.25">
      <c r="A1144" t="s">
        <v>372</v>
      </c>
      <c r="B1144">
        <v>78225</v>
      </c>
      <c r="C1144" s="3">
        <v>6</v>
      </c>
      <c r="D1144" s="1">
        <v>43335</v>
      </c>
      <c r="E1144" t="str">
        <f>"201808233079"</f>
        <v>201808233079</v>
      </c>
      <c r="F1144" t="str">
        <f>"Miscellaneo"</f>
        <v>Miscellaneo</v>
      </c>
      <c r="G1144" s="2">
        <v>6</v>
      </c>
      <c r="H1144" t="str">
        <f>"BRENDA LYNN HILL"</f>
        <v>BRENDA LYNN HILL</v>
      </c>
    </row>
    <row r="1145" spans="1:8" x14ac:dyDescent="0.25">
      <c r="A1145" t="s">
        <v>373</v>
      </c>
      <c r="B1145">
        <v>78226</v>
      </c>
      <c r="C1145" s="3">
        <v>6</v>
      </c>
      <c r="D1145" s="1">
        <v>43335</v>
      </c>
      <c r="E1145" t="str">
        <f>"201808233080"</f>
        <v>201808233080</v>
      </c>
      <c r="F1145" t="str">
        <f>"Miscellan"</f>
        <v>Miscellan</v>
      </c>
      <c r="G1145" s="2">
        <v>6</v>
      </c>
      <c r="H1145" t="str">
        <f>"JAMES KEITH REGIER"</f>
        <v>JAMES KEITH REGIER</v>
      </c>
    </row>
    <row r="1146" spans="1:8" x14ac:dyDescent="0.25">
      <c r="A1146" t="s">
        <v>374</v>
      </c>
      <c r="B1146">
        <v>78227</v>
      </c>
      <c r="C1146" s="3">
        <v>6</v>
      </c>
      <c r="D1146" s="1">
        <v>43335</v>
      </c>
      <c r="E1146" t="str">
        <f>"201808233081"</f>
        <v>201808233081</v>
      </c>
      <c r="F1146" t="str">
        <f>"Miscel"</f>
        <v>Miscel</v>
      </c>
      <c r="G1146" s="2">
        <v>6</v>
      </c>
      <c r="H1146" t="str">
        <f>"DONALD DEWAYNE SNOOTS"</f>
        <v>DONALD DEWAYNE SNOOTS</v>
      </c>
    </row>
    <row r="1147" spans="1:8" x14ac:dyDescent="0.25">
      <c r="A1147" t="s">
        <v>375</v>
      </c>
      <c r="B1147">
        <v>78228</v>
      </c>
      <c r="C1147" s="3">
        <v>6</v>
      </c>
      <c r="D1147" s="1">
        <v>43335</v>
      </c>
      <c r="E1147" t="str">
        <f>"201808233082"</f>
        <v>201808233082</v>
      </c>
      <c r="F1147" t="str">
        <f>"Miscella"</f>
        <v>Miscella</v>
      </c>
      <c r="G1147" s="2">
        <v>6</v>
      </c>
      <c r="H1147" t="str">
        <f>"RHONDA CAROL LOONEY"</f>
        <v>RHONDA CAROL LOONEY</v>
      </c>
    </row>
    <row r="1148" spans="1:8" x14ac:dyDescent="0.25">
      <c r="A1148" t="s">
        <v>376</v>
      </c>
      <c r="B1148">
        <v>78229</v>
      </c>
      <c r="C1148" s="3">
        <v>6</v>
      </c>
      <c r="D1148" s="1">
        <v>43335</v>
      </c>
      <c r="E1148" t="str">
        <f>"201808233083"</f>
        <v>201808233083</v>
      </c>
      <c r="F1148" t="str">
        <f>"Misce"</f>
        <v>Misce</v>
      </c>
      <c r="G1148" s="2">
        <v>6</v>
      </c>
      <c r="H1148" t="str">
        <f>"CHARLES EARL DILTZ III"</f>
        <v>CHARLES EARL DILTZ III</v>
      </c>
    </row>
    <row r="1149" spans="1:8" x14ac:dyDescent="0.25">
      <c r="A1149" t="s">
        <v>377</v>
      </c>
      <c r="B1149">
        <v>78230</v>
      </c>
      <c r="C1149" s="3">
        <v>6</v>
      </c>
      <c r="D1149" s="1">
        <v>43335</v>
      </c>
      <c r="E1149" t="str">
        <f>"201808233084"</f>
        <v>201808233084</v>
      </c>
      <c r="F1149" t="str">
        <f>"Miscell"</f>
        <v>Miscell</v>
      </c>
      <c r="G1149" s="2">
        <v>6</v>
      </c>
      <c r="H1149" t="str">
        <f>"ALEXANDER ROSALES JR"</f>
        <v>ALEXANDER ROSALES JR</v>
      </c>
    </row>
    <row r="1150" spans="1:8" x14ac:dyDescent="0.25">
      <c r="A1150" t="s">
        <v>378</v>
      </c>
      <c r="B1150">
        <v>78231</v>
      </c>
      <c r="C1150" s="3">
        <v>6</v>
      </c>
      <c r="D1150" s="1">
        <v>43335</v>
      </c>
      <c r="E1150" t="str">
        <f>"201808233085"</f>
        <v>201808233085</v>
      </c>
      <c r="F1150" t="str">
        <f>"Miscellaneou"</f>
        <v>Miscellaneou</v>
      </c>
      <c r="G1150" s="2">
        <v>6</v>
      </c>
      <c r="H1150" t="str">
        <f>"CHRISTIAN MUNOZ"</f>
        <v>CHRISTIAN MUNOZ</v>
      </c>
    </row>
    <row r="1151" spans="1:8" x14ac:dyDescent="0.25">
      <c r="A1151" t="s">
        <v>379</v>
      </c>
      <c r="B1151">
        <v>78232</v>
      </c>
      <c r="C1151" s="3">
        <v>6</v>
      </c>
      <c r="D1151" s="1">
        <v>43335</v>
      </c>
      <c r="E1151" t="str">
        <f>"201808233086"</f>
        <v>201808233086</v>
      </c>
      <c r="F1151" t="str">
        <f>"Miscell"</f>
        <v>Miscell</v>
      </c>
      <c r="G1151" s="2">
        <v>6</v>
      </c>
      <c r="H1151" t="str">
        <f>"OLGA DAMARIS KOBASIC"</f>
        <v>OLGA DAMARIS KOBASIC</v>
      </c>
    </row>
    <row r="1152" spans="1:8" x14ac:dyDescent="0.25">
      <c r="A1152" t="s">
        <v>380</v>
      </c>
      <c r="B1152">
        <v>78233</v>
      </c>
      <c r="C1152" s="3">
        <v>6</v>
      </c>
      <c r="D1152" s="1">
        <v>43335</v>
      </c>
      <c r="E1152" t="str">
        <f>"201808233087"</f>
        <v>201808233087</v>
      </c>
      <c r="F1152" t="str">
        <f>"Miscell"</f>
        <v>Miscell</v>
      </c>
      <c r="G1152" s="2">
        <v>6</v>
      </c>
      <c r="H1152" t="str">
        <f>"NICHOLAS LINCOLN RAY"</f>
        <v>NICHOLAS LINCOLN RAY</v>
      </c>
    </row>
    <row r="1153" spans="1:8" x14ac:dyDescent="0.25">
      <c r="A1153" t="s">
        <v>381</v>
      </c>
      <c r="B1153">
        <v>78234</v>
      </c>
      <c r="C1153" s="3">
        <v>6</v>
      </c>
      <c r="D1153" s="1">
        <v>43335</v>
      </c>
      <c r="E1153" t="str">
        <f>"201808233088"</f>
        <v>201808233088</v>
      </c>
      <c r="F1153" t="str">
        <f>"Miscella"</f>
        <v>Miscella</v>
      </c>
      <c r="G1153" s="2">
        <v>6</v>
      </c>
      <c r="H1153" t="str">
        <f>"TINA JUNE SCHNEIDER"</f>
        <v>TINA JUNE SCHNEIDER</v>
      </c>
    </row>
    <row r="1154" spans="1:8" x14ac:dyDescent="0.25">
      <c r="A1154" t="s">
        <v>382</v>
      </c>
      <c r="B1154">
        <v>78235</v>
      </c>
      <c r="C1154" s="3">
        <v>6</v>
      </c>
      <c r="D1154" s="1">
        <v>43335</v>
      </c>
      <c r="E1154" t="str">
        <f>"201808233089"</f>
        <v>201808233089</v>
      </c>
      <c r="F1154" t="str">
        <f>"Miscell"</f>
        <v>Miscell</v>
      </c>
      <c r="G1154" s="2">
        <v>6</v>
      </c>
      <c r="H1154" t="str">
        <f>"DAVID GLENN FRANKLIN"</f>
        <v>DAVID GLENN FRANKLIN</v>
      </c>
    </row>
    <row r="1155" spans="1:8" x14ac:dyDescent="0.25">
      <c r="A1155" t="s">
        <v>383</v>
      </c>
      <c r="B1155">
        <v>78236</v>
      </c>
      <c r="C1155" s="3">
        <v>6</v>
      </c>
      <c r="D1155" s="1">
        <v>43335</v>
      </c>
      <c r="E1155" t="str">
        <f>"201808233090"</f>
        <v>201808233090</v>
      </c>
      <c r="F1155" t="str">
        <f>"Miscellan"</f>
        <v>Miscellan</v>
      </c>
      <c r="G1155" s="2">
        <v>6</v>
      </c>
      <c r="H1155" t="str">
        <f>"ELISE NICOLE BROWN"</f>
        <v>ELISE NICOLE BROWN</v>
      </c>
    </row>
    <row r="1156" spans="1:8" x14ac:dyDescent="0.25">
      <c r="A1156" t="s">
        <v>384</v>
      </c>
      <c r="B1156">
        <v>78237</v>
      </c>
      <c r="C1156" s="3">
        <v>6</v>
      </c>
      <c r="D1156" s="1">
        <v>43335</v>
      </c>
      <c r="E1156" t="str">
        <f>"201808233091"</f>
        <v>201808233091</v>
      </c>
      <c r="F1156" t="str">
        <f>"Miscell"</f>
        <v>Miscell</v>
      </c>
      <c r="G1156" s="2">
        <v>6</v>
      </c>
      <c r="H1156" t="str">
        <f>"CLAY ROYAL BARKER JR"</f>
        <v>CLAY ROYAL BARKER JR</v>
      </c>
    </row>
    <row r="1157" spans="1:8" x14ac:dyDescent="0.25">
      <c r="A1157" t="s">
        <v>385</v>
      </c>
      <c r="B1157">
        <v>78238</v>
      </c>
      <c r="C1157" s="3">
        <v>6</v>
      </c>
      <c r="D1157" s="1">
        <v>43335</v>
      </c>
      <c r="E1157" t="str">
        <f>"201808233092"</f>
        <v>201808233092</v>
      </c>
      <c r="F1157" t="str">
        <f>"Mis"</f>
        <v>Mis</v>
      </c>
      <c r="G1157" s="2">
        <v>6</v>
      </c>
      <c r="H1157" t="str">
        <f>"PATRICIA WILBUR ANDERSON"</f>
        <v>PATRICIA WILBUR ANDERSON</v>
      </c>
    </row>
    <row r="1158" spans="1:8" x14ac:dyDescent="0.25">
      <c r="A1158" t="s">
        <v>386</v>
      </c>
      <c r="B1158">
        <v>78239</v>
      </c>
      <c r="C1158" s="3">
        <v>6</v>
      </c>
      <c r="D1158" s="1">
        <v>43335</v>
      </c>
      <c r="E1158" t="str">
        <f>"201808233093"</f>
        <v>201808233093</v>
      </c>
      <c r="F1158" t="str">
        <f>"Mi"</f>
        <v>Mi</v>
      </c>
      <c r="G1158" s="2">
        <v>6</v>
      </c>
      <c r="H1158" t="str">
        <f>"LAURENCE EDWARD ALEXANDER"</f>
        <v>LAURENCE EDWARD ALEXANDER</v>
      </c>
    </row>
    <row r="1159" spans="1:8" x14ac:dyDescent="0.25">
      <c r="A1159" t="s">
        <v>387</v>
      </c>
      <c r="B1159">
        <v>78240</v>
      </c>
      <c r="C1159" s="3">
        <v>6</v>
      </c>
      <c r="D1159" s="1">
        <v>43335</v>
      </c>
      <c r="E1159" t="str">
        <f>"201808233094"</f>
        <v>201808233094</v>
      </c>
      <c r="F1159" t="str">
        <f>"Mis"</f>
        <v>Mis</v>
      </c>
      <c r="G1159" s="2">
        <v>6</v>
      </c>
      <c r="H1159" t="str">
        <f>"RAFAEL ESTEBAN LOVINGTON"</f>
        <v>RAFAEL ESTEBAN LOVINGTON</v>
      </c>
    </row>
    <row r="1160" spans="1:8" x14ac:dyDescent="0.25">
      <c r="A1160" t="s">
        <v>388</v>
      </c>
      <c r="B1160">
        <v>78241</v>
      </c>
      <c r="C1160" s="3">
        <v>6</v>
      </c>
      <c r="D1160" s="1">
        <v>43335</v>
      </c>
      <c r="E1160" t="str">
        <f>"201808233095"</f>
        <v>201808233095</v>
      </c>
      <c r="F1160" t="str">
        <f>"Miscell"</f>
        <v>Miscell</v>
      </c>
      <c r="G1160" s="2">
        <v>6</v>
      </c>
      <c r="H1160" t="str">
        <f>"VERNON JOEL BROWN JR"</f>
        <v>VERNON JOEL BROWN JR</v>
      </c>
    </row>
    <row r="1161" spans="1:8" x14ac:dyDescent="0.25">
      <c r="A1161" t="s">
        <v>389</v>
      </c>
      <c r="B1161">
        <v>78242</v>
      </c>
      <c r="C1161" s="3">
        <v>6</v>
      </c>
      <c r="D1161" s="1">
        <v>43335</v>
      </c>
      <c r="E1161" t="str">
        <f>"201808233096"</f>
        <v>201808233096</v>
      </c>
      <c r="F1161" t="str">
        <f>"Miscell"</f>
        <v>Miscell</v>
      </c>
      <c r="G1161" s="2">
        <v>6</v>
      </c>
      <c r="H1161" t="str">
        <f>"GERALD DOUGLAS PEDDY"</f>
        <v>GERALD DOUGLAS PEDDY</v>
      </c>
    </row>
    <row r="1162" spans="1:8" x14ac:dyDescent="0.25">
      <c r="A1162" t="s">
        <v>390</v>
      </c>
      <c r="B1162">
        <v>78243</v>
      </c>
      <c r="C1162" s="3">
        <v>6</v>
      </c>
      <c r="D1162" s="1">
        <v>43335</v>
      </c>
      <c r="E1162" t="str">
        <f>"201808233097"</f>
        <v>201808233097</v>
      </c>
      <c r="F1162" t="str">
        <f>"Miscella"</f>
        <v>Miscella</v>
      </c>
      <c r="G1162" s="2">
        <v>6</v>
      </c>
      <c r="H1162" t="str">
        <f>"RONDA LAURIE COOLEY"</f>
        <v>RONDA LAURIE COOLEY</v>
      </c>
    </row>
    <row r="1163" spans="1:8" x14ac:dyDescent="0.25">
      <c r="A1163" t="s">
        <v>391</v>
      </c>
      <c r="B1163">
        <v>78402</v>
      </c>
      <c r="C1163" s="3">
        <v>40</v>
      </c>
      <c r="D1163" s="1">
        <v>43342</v>
      </c>
      <c r="E1163" t="str">
        <f>"201808303130"</f>
        <v>201808303130</v>
      </c>
      <c r="F1163" t="str">
        <f>"Miscellane"</f>
        <v>Miscellane</v>
      </c>
      <c r="G1163" s="2">
        <v>40</v>
      </c>
      <c r="H1163" t="str">
        <f>"GERALD RAY STRONG"</f>
        <v>GERALD RAY STRONG</v>
      </c>
    </row>
    <row r="1164" spans="1:8" x14ac:dyDescent="0.25">
      <c r="A1164" t="s">
        <v>392</v>
      </c>
      <c r="B1164">
        <v>78403</v>
      </c>
      <c r="C1164" s="3">
        <v>40</v>
      </c>
      <c r="D1164" s="1">
        <v>43342</v>
      </c>
      <c r="E1164" t="str">
        <f>"201808303131"</f>
        <v>201808303131</v>
      </c>
      <c r="F1164" t="str">
        <f>"Miscell"</f>
        <v>Miscell</v>
      </c>
      <c r="G1164" s="2">
        <v>40</v>
      </c>
      <c r="H1164" t="str">
        <f>"DUSTIN JOSIAH HAINES"</f>
        <v>DUSTIN JOSIAH HAINES</v>
      </c>
    </row>
    <row r="1165" spans="1:8" x14ac:dyDescent="0.25">
      <c r="A1165" t="s">
        <v>393</v>
      </c>
      <c r="B1165">
        <v>78404</v>
      </c>
      <c r="C1165" s="3">
        <v>40</v>
      </c>
      <c r="D1165" s="1">
        <v>43342</v>
      </c>
      <c r="E1165" t="str">
        <f>"201808303132"</f>
        <v>201808303132</v>
      </c>
      <c r="F1165" t="str">
        <f>"Miscellan"</f>
        <v>Miscellan</v>
      </c>
      <c r="G1165" s="2">
        <v>40</v>
      </c>
      <c r="H1165" t="str">
        <f>"JULIA DAVIS SULSAR"</f>
        <v>JULIA DAVIS SULSAR</v>
      </c>
    </row>
    <row r="1166" spans="1:8" x14ac:dyDescent="0.25">
      <c r="A1166" t="s">
        <v>394</v>
      </c>
      <c r="B1166">
        <v>78405</v>
      </c>
      <c r="C1166" s="3">
        <v>40</v>
      </c>
      <c r="D1166" s="1">
        <v>43342</v>
      </c>
      <c r="E1166" t="str">
        <f>"201808303133"</f>
        <v>201808303133</v>
      </c>
      <c r="F1166" t="str">
        <f>"Mis"</f>
        <v>Mis</v>
      </c>
      <c r="G1166" s="2">
        <v>40</v>
      </c>
      <c r="H1166" t="str">
        <f>"KERRI LYNETTE WASHINGTON"</f>
        <v>KERRI LYNETTE WASHINGTON</v>
      </c>
    </row>
    <row r="1167" spans="1:8" x14ac:dyDescent="0.25">
      <c r="A1167" t="s">
        <v>395</v>
      </c>
      <c r="B1167">
        <v>78406</v>
      </c>
      <c r="C1167" s="3">
        <v>40</v>
      </c>
      <c r="D1167" s="1">
        <v>43342</v>
      </c>
      <c r="E1167" t="str">
        <f>"201808303134"</f>
        <v>201808303134</v>
      </c>
      <c r="F1167" t="str">
        <f>"Miscellaneous"</f>
        <v>Miscellaneous</v>
      </c>
      <c r="G1167" s="2">
        <v>40</v>
      </c>
      <c r="H1167" t="str">
        <f>"SHARI JO WYATT"</f>
        <v>SHARI JO WYATT</v>
      </c>
    </row>
    <row r="1168" spans="1:8" x14ac:dyDescent="0.25">
      <c r="A1168" t="s">
        <v>396</v>
      </c>
      <c r="B1168">
        <v>78407</v>
      </c>
      <c r="C1168" s="3">
        <v>40</v>
      </c>
      <c r="D1168" s="1">
        <v>43342</v>
      </c>
      <c r="E1168" t="str">
        <f>"201808303135"</f>
        <v>201808303135</v>
      </c>
      <c r="F1168" t="str">
        <f>"Miscell"</f>
        <v>Miscell</v>
      </c>
      <c r="G1168" s="2">
        <v>40</v>
      </c>
      <c r="H1168" t="str">
        <f>"HILLARY MARIE KVAMME"</f>
        <v>HILLARY MARIE KVAMME</v>
      </c>
    </row>
    <row r="1169" spans="1:9" x14ac:dyDescent="0.25">
      <c r="A1169" t="s">
        <v>397</v>
      </c>
      <c r="B1169">
        <v>78408</v>
      </c>
      <c r="C1169" s="3">
        <v>40</v>
      </c>
      <c r="D1169" s="1">
        <v>43342</v>
      </c>
      <c r="E1169" t="str">
        <f>"201808303136"</f>
        <v>201808303136</v>
      </c>
      <c r="F1169" t="str">
        <f>"Miscella"</f>
        <v>Miscella</v>
      </c>
      <c r="G1169" s="2">
        <v>40</v>
      </c>
      <c r="H1169" t="str">
        <f>"DONNA BESS SCHUBERT"</f>
        <v>DONNA BESS SCHUBERT</v>
      </c>
    </row>
    <row r="1170" spans="1:9" x14ac:dyDescent="0.25">
      <c r="A1170" t="s">
        <v>398</v>
      </c>
      <c r="B1170">
        <v>78409</v>
      </c>
      <c r="C1170" s="3">
        <v>40</v>
      </c>
      <c r="D1170" s="1">
        <v>43342</v>
      </c>
      <c r="E1170" t="str">
        <f>"201808303137"</f>
        <v>201808303137</v>
      </c>
      <c r="F1170" t="str">
        <f>"Miscellane"</f>
        <v>Miscellane</v>
      </c>
      <c r="G1170" s="2">
        <v>40</v>
      </c>
      <c r="H1170" t="str">
        <f>"DONNA RAE NONDORF"</f>
        <v>DONNA RAE NONDORF</v>
      </c>
    </row>
    <row r="1171" spans="1:9" x14ac:dyDescent="0.25">
      <c r="A1171" t="s">
        <v>399</v>
      </c>
      <c r="B1171">
        <v>78410</v>
      </c>
      <c r="C1171" s="3">
        <v>40</v>
      </c>
      <c r="D1171" s="1">
        <v>43342</v>
      </c>
      <c r="E1171" t="str">
        <f>"201808303138"</f>
        <v>201808303138</v>
      </c>
      <c r="F1171" t="str">
        <f>"Miscella"</f>
        <v>Miscella</v>
      </c>
      <c r="G1171" s="2">
        <v>40</v>
      </c>
      <c r="H1171" t="str">
        <f>"DENA MARIE POUDRIER"</f>
        <v>DENA MARIE POUDRIER</v>
      </c>
    </row>
    <row r="1172" spans="1:9" x14ac:dyDescent="0.25">
      <c r="A1172" t="s">
        <v>400</v>
      </c>
      <c r="B1172">
        <v>78411</v>
      </c>
      <c r="C1172" s="3">
        <v>40</v>
      </c>
      <c r="D1172" s="1">
        <v>43342</v>
      </c>
      <c r="E1172" t="str">
        <f>"201808303139"</f>
        <v>201808303139</v>
      </c>
      <c r="F1172" t="str">
        <f>"Miscellane"</f>
        <v>Miscellane</v>
      </c>
      <c r="G1172" s="2">
        <v>40</v>
      </c>
      <c r="H1172" t="str">
        <f>"CAROL ANN DARLING"</f>
        <v>CAROL ANN DARLING</v>
      </c>
    </row>
    <row r="1173" spans="1:9" x14ac:dyDescent="0.25">
      <c r="A1173" t="s">
        <v>401</v>
      </c>
      <c r="B1173">
        <v>78412</v>
      </c>
      <c r="C1173" s="3">
        <v>40</v>
      </c>
      <c r="D1173" s="1">
        <v>43342</v>
      </c>
      <c r="E1173" t="str">
        <f>"201808303140"</f>
        <v>201808303140</v>
      </c>
      <c r="F1173" t="str">
        <f>"Miscellaneou"</f>
        <v>Miscellaneou</v>
      </c>
      <c r="G1173" s="2">
        <v>40</v>
      </c>
      <c r="H1173" t="str">
        <f>"DAVID GOSTECNIK"</f>
        <v>DAVID GOSTECNIK</v>
      </c>
    </row>
    <row r="1174" spans="1:9" x14ac:dyDescent="0.25">
      <c r="A1174" t="s">
        <v>402</v>
      </c>
      <c r="B1174">
        <v>78053</v>
      </c>
      <c r="C1174" s="3">
        <v>143.04</v>
      </c>
      <c r="D1174" s="1">
        <v>43325</v>
      </c>
      <c r="E1174" t="str">
        <f>"201808062641"</f>
        <v>201808062641</v>
      </c>
      <c r="F1174" t="str">
        <f>"MILEAGE REIMBURSEMENT"</f>
        <v>MILEAGE REIMBURSEMENT</v>
      </c>
      <c r="G1174" s="2">
        <v>101.04</v>
      </c>
      <c r="H1174" t="str">
        <f>"MILEAGE REIMBURSEMENT"</f>
        <v>MILEAGE REIMBURSEMENT</v>
      </c>
    </row>
    <row r="1175" spans="1:9" x14ac:dyDescent="0.25">
      <c r="E1175" t="str">
        <f>"201808062643"</f>
        <v>201808062643</v>
      </c>
      <c r="F1175" t="str">
        <f>"REIMBURSE-PARKING"</f>
        <v>REIMBURSE-PARKING</v>
      </c>
      <c r="G1175" s="2">
        <v>42</v>
      </c>
      <c r="H1175" t="str">
        <f>"REIMBURSE-PARKING"</f>
        <v>REIMBURSE-PARKING</v>
      </c>
    </row>
    <row r="1176" spans="1:9" x14ac:dyDescent="0.25">
      <c r="A1176" t="s">
        <v>403</v>
      </c>
      <c r="B1176">
        <v>78054</v>
      </c>
      <c r="C1176" s="3">
        <v>40</v>
      </c>
      <c r="D1176" s="1">
        <v>43325</v>
      </c>
      <c r="E1176" t="s">
        <v>152</v>
      </c>
      <c r="F1176" t="s">
        <v>404</v>
      </c>
      <c r="G1176" s="2" t="str">
        <f>"RESTITUTION-O. CABALLERO"</f>
        <v>RESTITUTION-O. CABALLERO</v>
      </c>
      <c r="H1176" t="str">
        <f>"210-0000"</f>
        <v>210-0000</v>
      </c>
      <c r="I1176" t="str">
        <f>""</f>
        <v/>
      </c>
    </row>
    <row r="1177" spans="1:9" x14ac:dyDescent="0.25">
      <c r="A1177" t="s">
        <v>405</v>
      </c>
      <c r="B1177">
        <v>78326</v>
      </c>
      <c r="C1177" s="3">
        <v>145</v>
      </c>
      <c r="D1177" s="1">
        <v>43339</v>
      </c>
      <c r="E1177" t="str">
        <f>"17097"</f>
        <v>17097</v>
      </c>
      <c r="F1177" t="str">
        <f>"AUGUST DUMPSTER RENTAL"</f>
        <v>AUGUST DUMPSTER RENTAL</v>
      </c>
      <c r="G1177" s="2">
        <v>145</v>
      </c>
      <c r="H1177" t="str">
        <f>"AUGUST DUMPSTER RENTAL"</f>
        <v>AUGUST DUMPSTER RENTAL</v>
      </c>
    </row>
    <row r="1178" spans="1:9" x14ac:dyDescent="0.25">
      <c r="A1178" t="s">
        <v>406</v>
      </c>
      <c r="B1178">
        <v>78055</v>
      </c>
      <c r="C1178" s="3">
        <v>394.05</v>
      </c>
      <c r="D1178" s="1">
        <v>43325</v>
      </c>
      <c r="E1178" t="str">
        <f>"99940692 99960261"</f>
        <v>99940692 99960261</v>
      </c>
      <c r="F1178" t="str">
        <f>"INV 99940692 / 99960261"</f>
        <v>INV 99940692 / 99960261</v>
      </c>
      <c r="G1178" s="2">
        <v>394.05</v>
      </c>
      <c r="H1178" t="str">
        <f>"INV 99940692"</f>
        <v>INV 99940692</v>
      </c>
    </row>
    <row r="1179" spans="1:9" x14ac:dyDescent="0.25">
      <c r="E1179" t="str">
        <f>""</f>
        <v/>
      </c>
      <c r="F1179" t="str">
        <f>""</f>
        <v/>
      </c>
      <c r="H1179" t="str">
        <f>"INV  99960261"</f>
        <v>INV  99960261</v>
      </c>
    </row>
    <row r="1180" spans="1:9" x14ac:dyDescent="0.25">
      <c r="A1180" t="s">
        <v>406</v>
      </c>
      <c r="B1180">
        <v>78327</v>
      </c>
      <c r="C1180" s="3">
        <v>1602.33</v>
      </c>
      <c r="D1180" s="1">
        <v>43339</v>
      </c>
      <c r="E1180" t="str">
        <f>"99957877/99960492+"</f>
        <v>99957877/99960492+</v>
      </c>
      <c r="F1180" t="str">
        <f>"INV 99957877/60492/89786"</f>
        <v>INV 99957877/60492/89786</v>
      </c>
      <c r="G1180" s="2">
        <v>848.5</v>
      </c>
      <c r="H1180" t="str">
        <f>"INV 99957877"</f>
        <v>INV 99957877</v>
      </c>
    </row>
    <row r="1181" spans="1:9" x14ac:dyDescent="0.25">
      <c r="E1181" t="str">
        <f>""</f>
        <v/>
      </c>
      <c r="F1181" t="str">
        <f>""</f>
        <v/>
      </c>
      <c r="H1181" t="str">
        <f>"INV 99960492"</f>
        <v>INV 99960492</v>
      </c>
    </row>
    <row r="1182" spans="1:9" x14ac:dyDescent="0.25">
      <c r="E1182" t="str">
        <f>""</f>
        <v/>
      </c>
      <c r="F1182" t="str">
        <f>""</f>
        <v/>
      </c>
      <c r="H1182" t="str">
        <f>"INV 99989786"</f>
        <v>INV 99989786</v>
      </c>
    </row>
    <row r="1183" spans="1:9" x14ac:dyDescent="0.25">
      <c r="E1183" t="str">
        <f>"99996022 99996665"</f>
        <v>99996022 99996665</v>
      </c>
      <c r="F1183" t="str">
        <f>"INV 99996022/99996665"</f>
        <v>INV 99996022/99996665</v>
      </c>
      <c r="G1183" s="2">
        <v>753.83</v>
      </c>
      <c r="H1183" t="str">
        <f>"INV 99996022"</f>
        <v>INV 99996022</v>
      </c>
    </row>
    <row r="1184" spans="1:9" x14ac:dyDescent="0.25">
      <c r="E1184" t="str">
        <f>""</f>
        <v/>
      </c>
      <c r="F1184" t="str">
        <f>""</f>
        <v/>
      </c>
      <c r="H1184" t="str">
        <f>"INV 99996665"</f>
        <v>INV 99996665</v>
      </c>
    </row>
    <row r="1185" spans="1:8" x14ac:dyDescent="0.25">
      <c r="A1185" t="s">
        <v>407</v>
      </c>
      <c r="B1185">
        <v>78056</v>
      </c>
      <c r="C1185" s="3">
        <v>14607.55</v>
      </c>
      <c r="D1185" s="1">
        <v>43325</v>
      </c>
      <c r="E1185" t="str">
        <f>"16002868"</f>
        <v>16002868</v>
      </c>
      <c r="F1185" t="str">
        <f>"XTS 2500 Batteries"</f>
        <v>XTS 2500 Batteries</v>
      </c>
      <c r="G1185" s="2">
        <v>1680</v>
      </c>
      <c r="H1185" t="str">
        <f>"NTN9858C"</f>
        <v>NTN9858C</v>
      </c>
    </row>
    <row r="1186" spans="1:8" x14ac:dyDescent="0.25">
      <c r="E1186" t="str">
        <f>"16003848"</f>
        <v>16003848</v>
      </c>
      <c r="F1186" t="str">
        <f>"Battery Eliminators for S"</f>
        <v>Battery Eliminators for S</v>
      </c>
      <c r="G1186" s="2">
        <v>219.25</v>
      </c>
      <c r="H1186" t="str">
        <f>"AA0180305G54"</f>
        <v>AA0180305G54</v>
      </c>
    </row>
    <row r="1187" spans="1:8" x14ac:dyDescent="0.25">
      <c r="E1187" t="str">
        <f>""</f>
        <v/>
      </c>
      <c r="F1187" t="str">
        <f>""</f>
        <v/>
      </c>
      <c r="H1187" t="str">
        <f>"66012031001"</f>
        <v>66012031001</v>
      </c>
    </row>
    <row r="1188" spans="1:8" x14ac:dyDescent="0.25">
      <c r="E1188" t="str">
        <f>"16005926"</f>
        <v>16005926</v>
      </c>
      <c r="F1188" t="str">
        <f>"Radio"</f>
        <v>Radio</v>
      </c>
      <c r="G1188" s="2">
        <v>4236.1000000000004</v>
      </c>
      <c r="H1188" t="str">
        <f>"Radio"</f>
        <v>Radio</v>
      </c>
    </row>
    <row r="1189" spans="1:8" x14ac:dyDescent="0.25">
      <c r="E1189" t="str">
        <f>"16006179"</f>
        <v>16006179</v>
      </c>
      <c r="F1189" t="str">
        <f>"APX600 700/800 Model 3.5"</f>
        <v>APX600 700/800 Model 3.5</v>
      </c>
      <c r="G1189" s="2">
        <v>4236.1000000000004</v>
      </c>
      <c r="H1189" t="str">
        <f>"H98UCH9PW7BN"</f>
        <v>H98UCH9PW7BN</v>
      </c>
    </row>
    <row r="1190" spans="1:8" x14ac:dyDescent="0.25">
      <c r="E1190" t="str">
        <f>""</f>
        <v/>
      </c>
      <c r="F1190" t="str">
        <f>""</f>
        <v/>
      </c>
      <c r="H1190" t="str">
        <f>"Q806"</f>
        <v>Q806</v>
      </c>
    </row>
    <row r="1191" spans="1:8" x14ac:dyDescent="0.25">
      <c r="E1191" t="str">
        <f>""</f>
        <v/>
      </c>
      <c r="F1191" t="str">
        <f>""</f>
        <v/>
      </c>
      <c r="H1191" t="str">
        <f>"H38"</f>
        <v>H38</v>
      </c>
    </row>
    <row r="1192" spans="1:8" x14ac:dyDescent="0.25">
      <c r="E1192" t="str">
        <f>""</f>
        <v/>
      </c>
      <c r="F1192" t="str">
        <f>""</f>
        <v/>
      </c>
      <c r="H1192" t="str">
        <f>"Q361"</f>
        <v>Q361</v>
      </c>
    </row>
    <row r="1193" spans="1:8" x14ac:dyDescent="0.25">
      <c r="E1193" t="str">
        <f>""</f>
        <v/>
      </c>
      <c r="F1193" t="str">
        <f>""</f>
        <v/>
      </c>
      <c r="H1193" t="str">
        <f>"QA01648"</f>
        <v>QA01648</v>
      </c>
    </row>
    <row r="1194" spans="1:8" x14ac:dyDescent="0.25">
      <c r="E1194" t="str">
        <f>""</f>
        <v/>
      </c>
      <c r="F1194" t="str">
        <f>""</f>
        <v/>
      </c>
      <c r="H1194" t="str">
        <f>"QA01767"</f>
        <v>QA01767</v>
      </c>
    </row>
    <row r="1195" spans="1:8" x14ac:dyDescent="0.25">
      <c r="E1195" t="str">
        <f>""</f>
        <v/>
      </c>
      <c r="F1195" t="str">
        <f>""</f>
        <v/>
      </c>
      <c r="H1195" t="str">
        <f>"H869"</f>
        <v>H869</v>
      </c>
    </row>
    <row r="1196" spans="1:8" x14ac:dyDescent="0.25">
      <c r="E1196" t="str">
        <f>""</f>
        <v/>
      </c>
      <c r="F1196" t="str">
        <f>""</f>
        <v/>
      </c>
      <c r="H1196" t="str">
        <f>"CREDIT"</f>
        <v>CREDIT</v>
      </c>
    </row>
    <row r="1197" spans="1:8" x14ac:dyDescent="0.25">
      <c r="E1197" t="str">
        <f>""</f>
        <v/>
      </c>
      <c r="F1197" t="str">
        <f>""</f>
        <v/>
      </c>
      <c r="H1197" t="str">
        <f>"QA05574"</f>
        <v>QA05574</v>
      </c>
    </row>
    <row r="1198" spans="1:8" x14ac:dyDescent="0.25">
      <c r="E1198" t="str">
        <f>""</f>
        <v/>
      </c>
      <c r="F1198" t="str">
        <f>""</f>
        <v/>
      </c>
      <c r="H1198" t="str">
        <f>"QA01833"</f>
        <v>QA01833</v>
      </c>
    </row>
    <row r="1199" spans="1:8" x14ac:dyDescent="0.25">
      <c r="E1199" t="str">
        <f>""</f>
        <v/>
      </c>
      <c r="F1199" t="str">
        <f>""</f>
        <v/>
      </c>
      <c r="H1199" t="str">
        <f>"Q887"</f>
        <v>Q887</v>
      </c>
    </row>
    <row r="1200" spans="1:8" x14ac:dyDescent="0.25">
      <c r="E1200" t="str">
        <f>""</f>
        <v/>
      </c>
      <c r="F1200" t="str">
        <f>""</f>
        <v/>
      </c>
      <c r="H1200" t="str">
        <f>"PROMO"</f>
        <v>PROMO</v>
      </c>
    </row>
    <row r="1201" spans="5:8" x14ac:dyDescent="0.25">
      <c r="E1201" t="str">
        <f>""</f>
        <v/>
      </c>
      <c r="F1201" t="str">
        <f>""</f>
        <v/>
      </c>
      <c r="H1201" t="str">
        <f>"QA09008"</f>
        <v>QA09008</v>
      </c>
    </row>
    <row r="1202" spans="5:8" x14ac:dyDescent="0.25">
      <c r="E1202" t="str">
        <f>""</f>
        <v/>
      </c>
      <c r="F1202" t="str">
        <f>""</f>
        <v/>
      </c>
      <c r="H1202" t="str">
        <f>"NNTN8860A"</f>
        <v>NNTN8860A</v>
      </c>
    </row>
    <row r="1203" spans="5:8" x14ac:dyDescent="0.25">
      <c r="E1203" t="str">
        <f>""</f>
        <v/>
      </c>
      <c r="F1203" t="str">
        <f>""</f>
        <v/>
      </c>
      <c r="H1203" t="str">
        <f>"NNTN8930"</f>
        <v>NNTN8930</v>
      </c>
    </row>
    <row r="1204" spans="5:8" x14ac:dyDescent="0.25">
      <c r="E1204" t="str">
        <f>"16006180"</f>
        <v>16006180</v>
      </c>
      <c r="F1204" t="str">
        <f>"APX 600 700/800 MODEL 3.5"</f>
        <v>APX 600 700/800 MODEL 3.5</v>
      </c>
      <c r="G1204" s="2">
        <v>4236.1000000000004</v>
      </c>
      <c r="H1204" t="str">
        <f>"APX H98UCH9PW7BN"</f>
        <v>APX H98UCH9PW7BN</v>
      </c>
    </row>
    <row r="1205" spans="5:8" x14ac:dyDescent="0.25">
      <c r="E1205" t="str">
        <f>""</f>
        <v/>
      </c>
      <c r="F1205" t="str">
        <f>""</f>
        <v/>
      </c>
      <c r="H1205" t="str">
        <f>"Q806"</f>
        <v>Q806</v>
      </c>
    </row>
    <row r="1206" spans="5:8" x14ac:dyDescent="0.25">
      <c r="E1206" t="str">
        <f>""</f>
        <v/>
      </c>
      <c r="F1206" t="str">
        <f>""</f>
        <v/>
      </c>
      <c r="H1206" t="str">
        <f>"H38"</f>
        <v>H38</v>
      </c>
    </row>
    <row r="1207" spans="5:8" x14ac:dyDescent="0.25">
      <c r="E1207" t="str">
        <f>""</f>
        <v/>
      </c>
      <c r="F1207" t="str">
        <f>""</f>
        <v/>
      </c>
      <c r="H1207" t="str">
        <f>"Q361"</f>
        <v>Q361</v>
      </c>
    </row>
    <row r="1208" spans="5:8" x14ac:dyDescent="0.25">
      <c r="E1208" t="str">
        <f>""</f>
        <v/>
      </c>
      <c r="F1208" t="str">
        <f>""</f>
        <v/>
      </c>
      <c r="H1208" t="str">
        <f>"QA01648"</f>
        <v>QA01648</v>
      </c>
    </row>
    <row r="1209" spans="5:8" x14ac:dyDescent="0.25">
      <c r="E1209" t="str">
        <f>""</f>
        <v/>
      </c>
      <c r="F1209" t="str">
        <f>""</f>
        <v/>
      </c>
      <c r="H1209" t="str">
        <f>"QA01767"</f>
        <v>QA01767</v>
      </c>
    </row>
    <row r="1210" spans="5:8" x14ac:dyDescent="0.25">
      <c r="E1210" t="str">
        <f>""</f>
        <v/>
      </c>
      <c r="F1210" t="str">
        <f>""</f>
        <v/>
      </c>
      <c r="H1210" t="str">
        <f>"H869"</f>
        <v>H869</v>
      </c>
    </row>
    <row r="1211" spans="5:8" x14ac:dyDescent="0.25">
      <c r="E1211" t="str">
        <f>""</f>
        <v/>
      </c>
      <c r="F1211" t="str">
        <f>""</f>
        <v/>
      </c>
      <c r="H1211" t="str">
        <f>"CREDIT"</f>
        <v>CREDIT</v>
      </c>
    </row>
    <row r="1212" spans="5:8" x14ac:dyDescent="0.25">
      <c r="E1212" t="str">
        <f>""</f>
        <v/>
      </c>
      <c r="F1212" t="str">
        <f>""</f>
        <v/>
      </c>
      <c r="H1212" t="str">
        <f>"QA05574"</f>
        <v>QA05574</v>
      </c>
    </row>
    <row r="1213" spans="5:8" x14ac:dyDescent="0.25">
      <c r="E1213" t="str">
        <f>""</f>
        <v/>
      </c>
      <c r="F1213" t="str">
        <f>""</f>
        <v/>
      </c>
      <c r="H1213" t="str">
        <f>"QA01833"</f>
        <v>QA01833</v>
      </c>
    </row>
    <row r="1214" spans="5:8" x14ac:dyDescent="0.25">
      <c r="E1214" t="str">
        <f>""</f>
        <v/>
      </c>
      <c r="F1214" t="str">
        <f>""</f>
        <v/>
      </c>
      <c r="H1214" t="str">
        <f>"Q887"</f>
        <v>Q887</v>
      </c>
    </row>
    <row r="1215" spans="5:8" x14ac:dyDescent="0.25">
      <c r="E1215" t="str">
        <f>""</f>
        <v/>
      </c>
      <c r="F1215" t="str">
        <f>""</f>
        <v/>
      </c>
      <c r="H1215" t="str">
        <f>"PROMO"</f>
        <v>PROMO</v>
      </c>
    </row>
    <row r="1216" spans="5:8" x14ac:dyDescent="0.25">
      <c r="E1216" t="str">
        <f>""</f>
        <v/>
      </c>
      <c r="F1216" t="str">
        <f>""</f>
        <v/>
      </c>
      <c r="H1216" t="str">
        <f>"QA09008"</f>
        <v>QA09008</v>
      </c>
    </row>
    <row r="1217" spans="1:8" x14ac:dyDescent="0.25">
      <c r="E1217" t="str">
        <f>""</f>
        <v/>
      </c>
      <c r="F1217" t="str">
        <f>""</f>
        <v/>
      </c>
      <c r="H1217" t="str">
        <f>"NNTN8860A"</f>
        <v>NNTN8860A</v>
      </c>
    </row>
    <row r="1218" spans="1:8" x14ac:dyDescent="0.25">
      <c r="E1218" t="str">
        <f>""</f>
        <v/>
      </c>
      <c r="F1218" t="str">
        <f>""</f>
        <v/>
      </c>
      <c r="H1218" t="str">
        <f>"NNTN8930"</f>
        <v>NNTN8930</v>
      </c>
    </row>
    <row r="1219" spans="1:8" x14ac:dyDescent="0.25">
      <c r="A1219" t="s">
        <v>407</v>
      </c>
      <c r="B1219">
        <v>78328</v>
      </c>
      <c r="C1219" s="3">
        <v>24871.67</v>
      </c>
      <c r="D1219" s="1">
        <v>43339</v>
      </c>
      <c r="E1219" t="str">
        <f>"16006178"</f>
        <v>16006178</v>
      </c>
      <c r="F1219" t="str">
        <f>"Radio Purchase"</f>
        <v>Radio Purchase</v>
      </c>
      <c r="G1219" s="2">
        <v>4236.1000000000004</v>
      </c>
      <c r="H1219" t="str">
        <f>"Radio Purchase"</f>
        <v>Radio Purchase</v>
      </c>
    </row>
    <row r="1220" spans="1:8" x14ac:dyDescent="0.25">
      <c r="E1220" t="str">
        <f>"16006707"</f>
        <v>16006707</v>
      </c>
      <c r="F1220" t="str">
        <f>"PROGRAMMING CABLE"</f>
        <v>PROGRAMMING CABLE</v>
      </c>
      <c r="G1220" s="2">
        <v>63.75</v>
      </c>
      <c r="H1220" t="str">
        <f>"PROGRAMMING CABLE"</f>
        <v>PROGRAMMING CABLE</v>
      </c>
    </row>
    <row r="1221" spans="1:8" x14ac:dyDescent="0.25">
      <c r="E1221" t="str">
        <f>"16006794"</f>
        <v>16006794</v>
      </c>
      <c r="F1221" t="str">
        <f>"Cable"</f>
        <v>Cable</v>
      </c>
      <c r="G1221" s="2">
        <v>48.75</v>
      </c>
      <c r="H1221" t="str">
        <f>"Cable Remote Mount5M"</f>
        <v>Cable Remote Mount5M</v>
      </c>
    </row>
    <row r="1222" spans="1:8" x14ac:dyDescent="0.25">
      <c r="E1222" t="str">
        <f>"16006795"</f>
        <v>16006795</v>
      </c>
      <c r="F1222" t="str">
        <f>"IBUTTON"</f>
        <v>IBUTTON</v>
      </c>
      <c r="G1222" s="2">
        <v>60.72</v>
      </c>
      <c r="H1222" t="str">
        <f>"IBUTTON"</f>
        <v>IBUTTON</v>
      </c>
    </row>
    <row r="1223" spans="1:8" x14ac:dyDescent="0.25">
      <c r="E1223" t="str">
        <f>"201808162921"</f>
        <v>201808162921</v>
      </c>
      <c r="F1223" t="str">
        <f>"RADIO SERVICE AGREEMENT"</f>
        <v>RADIO SERVICE AGREEMENT</v>
      </c>
      <c r="G1223" s="2">
        <v>20462.349999999999</v>
      </c>
      <c r="H1223" t="str">
        <f>"RADIO SERVICE AGREEMENT"</f>
        <v>RADIO SERVICE AGREEMENT</v>
      </c>
    </row>
    <row r="1224" spans="1:8" x14ac:dyDescent="0.25">
      <c r="A1224" t="s">
        <v>408</v>
      </c>
      <c r="B1224">
        <v>78329</v>
      </c>
      <c r="C1224" s="3">
        <v>795</v>
      </c>
      <c r="D1224" s="1">
        <v>43339</v>
      </c>
      <c r="E1224" t="str">
        <f>"86523717"</f>
        <v>86523717</v>
      </c>
      <c r="F1224" t="str">
        <f>"ACCT#150344157/GEN SVCS"</f>
        <v>ACCT#150344157/GEN SVCS</v>
      </c>
      <c r="G1224" s="2">
        <v>795</v>
      </c>
      <c r="H1224" t="str">
        <f>"ACCT#150344157/GEN SVCS"</f>
        <v>ACCT#150344157/GEN SVCS</v>
      </c>
    </row>
    <row r="1225" spans="1:8" x14ac:dyDescent="0.25">
      <c r="A1225" t="s">
        <v>409</v>
      </c>
      <c r="B1225">
        <v>999999</v>
      </c>
      <c r="C1225" s="3">
        <v>4478.3999999999996</v>
      </c>
      <c r="D1225" s="1">
        <v>43326</v>
      </c>
      <c r="E1225" t="str">
        <f>"IN0805691"</f>
        <v>IN0805691</v>
      </c>
      <c r="F1225" t="str">
        <f>"INV IN0805691"</f>
        <v>INV IN0805691</v>
      </c>
      <c r="G1225" s="2">
        <v>4478.3999999999996</v>
      </c>
      <c r="H1225" t="str">
        <f>"INV IN0805691"</f>
        <v>INV IN0805691</v>
      </c>
    </row>
    <row r="1226" spans="1:8" x14ac:dyDescent="0.25">
      <c r="A1226" t="s">
        <v>409</v>
      </c>
      <c r="B1226">
        <v>999999</v>
      </c>
      <c r="C1226" s="3">
        <v>7881.15</v>
      </c>
      <c r="D1226" s="1">
        <v>43340</v>
      </c>
      <c r="E1226" t="str">
        <f>"0806159 0805274"</f>
        <v>0806159 0805274</v>
      </c>
      <c r="F1226" t="str">
        <f>"INV 0806159/0805274"</f>
        <v>INV 0806159/0805274</v>
      </c>
      <c r="G1226" s="2">
        <v>7881.15</v>
      </c>
      <c r="H1226" t="str">
        <f>"INV 0806159"</f>
        <v>INV 0806159</v>
      </c>
    </row>
    <row r="1227" spans="1:8" x14ac:dyDescent="0.25">
      <c r="E1227" t="str">
        <f>""</f>
        <v/>
      </c>
      <c r="F1227" t="str">
        <f>""</f>
        <v/>
      </c>
      <c r="H1227" t="str">
        <f>"INV 0805274"</f>
        <v>INV 0805274</v>
      </c>
    </row>
    <row r="1228" spans="1:8" x14ac:dyDescent="0.25">
      <c r="A1228" t="s">
        <v>410</v>
      </c>
      <c r="B1228">
        <v>78330</v>
      </c>
      <c r="C1228" s="3">
        <v>340</v>
      </c>
      <c r="D1228" s="1">
        <v>43339</v>
      </c>
      <c r="E1228" t="str">
        <f>"201808223021"</f>
        <v>201808223021</v>
      </c>
      <c r="F1228" t="str">
        <f>"REFUND FOR PERMIT"</f>
        <v>REFUND FOR PERMIT</v>
      </c>
      <c r="G1228" s="2">
        <v>340</v>
      </c>
      <c r="H1228" t="str">
        <f>"REFUND FOR PERMIT"</f>
        <v>REFUND FOR PERMIT</v>
      </c>
    </row>
    <row r="1229" spans="1:8" x14ac:dyDescent="0.25">
      <c r="A1229" t="s">
        <v>411</v>
      </c>
      <c r="B1229">
        <v>78331</v>
      </c>
      <c r="C1229" s="3">
        <v>225</v>
      </c>
      <c r="D1229" s="1">
        <v>43339</v>
      </c>
      <c r="E1229" t="str">
        <f>"201808212965"</f>
        <v>201808212965</v>
      </c>
      <c r="F1229" t="str">
        <f>"CONF REGISTRATION-HILLARY LONG"</f>
        <v>CONF REGISTRATION-HILLARY LONG</v>
      </c>
      <c r="G1229" s="2">
        <v>225</v>
      </c>
    </row>
    <row r="1230" spans="1:8" x14ac:dyDescent="0.25">
      <c r="A1230" t="s">
        <v>412</v>
      </c>
      <c r="B1230">
        <v>78332</v>
      </c>
      <c r="C1230" s="3">
        <v>17.25</v>
      </c>
      <c r="D1230" s="1">
        <v>43339</v>
      </c>
      <c r="E1230" t="str">
        <f>"5766"</f>
        <v>5766</v>
      </c>
      <c r="F1230" t="str">
        <f>"REPAIR EXHAUST PIPE/PCT#4"</f>
        <v>REPAIR EXHAUST PIPE/PCT#4</v>
      </c>
      <c r="G1230" s="2">
        <v>17.25</v>
      </c>
      <c r="H1230" t="str">
        <f>"REPAIR EXHAUST PIPE/PCT#4"</f>
        <v>REPAIR EXHAUST PIPE/PCT#4</v>
      </c>
    </row>
    <row r="1231" spans="1:8" x14ac:dyDescent="0.25">
      <c r="A1231" t="s">
        <v>413</v>
      </c>
      <c r="B1231">
        <v>78057</v>
      </c>
      <c r="C1231" s="3">
        <v>300</v>
      </c>
      <c r="D1231" s="1">
        <v>43325</v>
      </c>
      <c r="E1231" t="str">
        <f>"12277"</f>
        <v>12277</v>
      </c>
      <c r="F1231" t="str">
        <f>"SERVICE  05/07/18"</f>
        <v>SERVICE  05/07/18</v>
      </c>
      <c r="G1231" s="2">
        <v>300</v>
      </c>
      <c r="H1231" t="str">
        <f>"SERVICE  05/07/18"</f>
        <v>SERVICE  05/07/18</v>
      </c>
    </row>
    <row r="1232" spans="1:8" x14ac:dyDescent="0.25">
      <c r="A1232" t="s">
        <v>414</v>
      </c>
      <c r="B1232">
        <v>999999</v>
      </c>
      <c r="C1232" s="3">
        <v>473.63</v>
      </c>
      <c r="D1232" s="1">
        <v>43326</v>
      </c>
      <c r="E1232" t="str">
        <f>"201808062653"</f>
        <v>201808062653</v>
      </c>
      <c r="F1232" t="str">
        <f>"CUST#99088/PCT#4"</f>
        <v>CUST#99088/PCT#4</v>
      </c>
      <c r="G1232" s="2">
        <v>473.63</v>
      </c>
      <c r="H1232" t="str">
        <f>"CUST#99088/PCT#4"</f>
        <v>CUST#99088/PCT#4</v>
      </c>
    </row>
    <row r="1233" spans="1:8" x14ac:dyDescent="0.25">
      <c r="A1233" t="s">
        <v>415</v>
      </c>
      <c r="B1233">
        <v>78058</v>
      </c>
      <c r="C1233" s="3">
        <v>969</v>
      </c>
      <c r="D1233" s="1">
        <v>43325</v>
      </c>
      <c r="E1233" t="str">
        <f>"1312924 1316441 ++"</f>
        <v>1312924 1316441 ++</v>
      </c>
      <c r="F1233" t="str">
        <f>"1312924/1316441/1306587/1"</f>
        <v>1312924/1316441/1306587/1</v>
      </c>
      <c r="G1233" s="2">
        <v>969</v>
      </c>
      <c r="H1233" t="str">
        <f>"INV 1312924"</f>
        <v>INV 1312924</v>
      </c>
    </row>
    <row r="1234" spans="1:8" x14ac:dyDescent="0.25">
      <c r="E1234" t="str">
        <f>""</f>
        <v/>
      </c>
      <c r="F1234" t="str">
        <f>""</f>
        <v/>
      </c>
      <c r="H1234" t="str">
        <f>"INV 1316441"</f>
        <v>INV 1316441</v>
      </c>
    </row>
    <row r="1235" spans="1:8" x14ac:dyDescent="0.25">
      <c r="E1235" t="str">
        <f>""</f>
        <v/>
      </c>
      <c r="F1235" t="str">
        <f>""</f>
        <v/>
      </c>
      <c r="H1235" t="str">
        <f>"INV 1306587"</f>
        <v>INV 1306587</v>
      </c>
    </row>
    <row r="1236" spans="1:8" x14ac:dyDescent="0.25">
      <c r="E1236" t="str">
        <f>""</f>
        <v/>
      </c>
      <c r="F1236" t="str">
        <f>""</f>
        <v/>
      </c>
      <c r="H1236" t="str">
        <f>"INV 1310475"</f>
        <v>INV 1310475</v>
      </c>
    </row>
    <row r="1237" spans="1:8" x14ac:dyDescent="0.25">
      <c r="A1237" t="s">
        <v>415</v>
      </c>
      <c r="B1237">
        <v>78333</v>
      </c>
      <c r="C1237" s="3">
        <v>1275</v>
      </c>
      <c r="D1237" s="1">
        <v>43339</v>
      </c>
      <c r="E1237" t="str">
        <f>"1300399 1304203 ++"</f>
        <v>1300399 1304203 ++</v>
      </c>
      <c r="F1237" t="str">
        <f>"INV 1300399/1304203/13189"</f>
        <v>INV 1300399/1304203/13189</v>
      </c>
      <c r="G1237" s="2">
        <v>1275</v>
      </c>
      <c r="H1237" t="str">
        <f>"INV 1300399"</f>
        <v>INV 1300399</v>
      </c>
    </row>
    <row r="1238" spans="1:8" x14ac:dyDescent="0.25">
      <c r="E1238" t="str">
        <f>""</f>
        <v/>
      </c>
      <c r="F1238" t="str">
        <f>""</f>
        <v/>
      </c>
      <c r="H1238" t="str">
        <f>"INV 1304203"</f>
        <v>INV 1304203</v>
      </c>
    </row>
    <row r="1239" spans="1:8" x14ac:dyDescent="0.25">
      <c r="E1239" t="str">
        <f>""</f>
        <v/>
      </c>
      <c r="F1239" t="str">
        <f>""</f>
        <v/>
      </c>
      <c r="H1239" t="str">
        <f>"INV 1318921"</f>
        <v>INV 1318921</v>
      </c>
    </row>
    <row r="1240" spans="1:8" x14ac:dyDescent="0.25">
      <c r="E1240" t="str">
        <f>""</f>
        <v/>
      </c>
      <c r="F1240" t="str">
        <f>""</f>
        <v/>
      </c>
      <c r="H1240" t="str">
        <f>"INV 1322764"</f>
        <v>INV 1322764</v>
      </c>
    </row>
    <row r="1241" spans="1:8" x14ac:dyDescent="0.25">
      <c r="E1241" t="str">
        <f>""</f>
        <v/>
      </c>
      <c r="F1241" t="str">
        <f>""</f>
        <v/>
      </c>
      <c r="H1241" t="str">
        <f>"INV 122000634"</f>
        <v>INV 122000634</v>
      </c>
    </row>
    <row r="1242" spans="1:8" x14ac:dyDescent="0.25">
      <c r="E1242" t="str">
        <f>""</f>
        <v/>
      </c>
      <c r="F1242" t="str">
        <f>""</f>
        <v/>
      </c>
      <c r="H1242" t="str">
        <f>"INV 122000727"</f>
        <v>INV 122000727</v>
      </c>
    </row>
    <row r="1243" spans="1:8" x14ac:dyDescent="0.25">
      <c r="A1243" t="s">
        <v>416</v>
      </c>
      <c r="B1243">
        <v>78059</v>
      </c>
      <c r="C1243" s="3">
        <v>10447.31</v>
      </c>
      <c r="D1243" s="1">
        <v>43325</v>
      </c>
      <c r="E1243" t="str">
        <f>"9812815"</f>
        <v>9812815</v>
      </c>
      <c r="F1243" t="str">
        <f>"Bill# 9812815"</f>
        <v>Bill# 9812815</v>
      </c>
      <c r="G1243" s="2">
        <v>615.20000000000005</v>
      </c>
      <c r="H1243" t="str">
        <f>"Ord# 165233388001"</f>
        <v>Ord# 165233388001</v>
      </c>
    </row>
    <row r="1244" spans="1:8" x14ac:dyDescent="0.25">
      <c r="E1244" t="str">
        <f>""</f>
        <v/>
      </c>
      <c r="F1244" t="str">
        <f>""</f>
        <v/>
      </c>
      <c r="H1244" t="str">
        <f>"Ord# 163730033001"</f>
        <v>Ord# 163730033001</v>
      </c>
    </row>
    <row r="1245" spans="1:8" x14ac:dyDescent="0.25">
      <c r="E1245" t="str">
        <f>""</f>
        <v/>
      </c>
      <c r="F1245" t="str">
        <f>""</f>
        <v/>
      </c>
      <c r="H1245" t="str">
        <f>"Ord# 158034207001"</f>
        <v>Ord# 158034207001</v>
      </c>
    </row>
    <row r="1246" spans="1:8" x14ac:dyDescent="0.25">
      <c r="E1246" t="str">
        <f>""</f>
        <v/>
      </c>
      <c r="F1246" t="str">
        <f>""</f>
        <v/>
      </c>
      <c r="H1246" t="str">
        <f>"Ord# 163596709001"</f>
        <v>Ord# 163596709001</v>
      </c>
    </row>
    <row r="1247" spans="1:8" x14ac:dyDescent="0.25">
      <c r="E1247" t="str">
        <f>""</f>
        <v/>
      </c>
      <c r="F1247" t="str">
        <f>""</f>
        <v/>
      </c>
      <c r="H1247" t="str">
        <f>"Ord# 16359803001"</f>
        <v>Ord# 16359803001</v>
      </c>
    </row>
    <row r="1248" spans="1:8" x14ac:dyDescent="0.25">
      <c r="E1248" t="str">
        <f>""</f>
        <v/>
      </c>
      <c r="F1248" t="str">
        <f>""</f>
        <v/>
      </c>
      <c r="H1248" t="str">
        <f>"Ord# 160361147001"</f>
        <v>Ord# 160361147001</v>
      </c>
    </row>
    <row r="1249" spans="5:8" x14ac:dyDescent="0.25">
      <c r="E1249" t="str">
        <f>""</f>
        <v/>
      </c>
      <c r="F1249" t="str">
        <f>""</f>
        <v/>
      </c>
      <c r="H1249" t="str">
        <f>"Ord# 160363241001"</f>
        <v>Ord# 160363241001</v>
      </c>
    </row>
    <row r="1250" spans="5:8" x14ac:dyDescent="0.25">
      <c r="E1250" t="str">
        <f>""</f>
        <v/>
      </c>
      <c r="F1250" t="str">
        <f>""</f>
        <v/>
      </c>
      <c r="H1250" t="str">
        <f>"Ord# 162209418001"</f>
        <v>Ord# 162209418001</v>
      </c>
    </row>
    <row r="1251" spans="5:8" x14ac:dyDescent="0.25">
      <c r="E1251" t="str">
        <f>"9912470"</f>
        <v>9912470</v>
      </c>
      <c r="F1251" t="str">
        <f>"Bill# 9912470"</f>
        <v>Bill# 9912470</v>
      </c>
      <c r="G1251" s="2">
        <v>9832.11</v>
      </c>
      <c r="H1251" t="str">
        <f>"Ord# 172303309001"</f>
        <v>Ord# 172303309001</v>
      </c>
    </row>
    <row r="1252" spans="5:8" x14ac:dyDescent="0.25">
      <c r="E1252" t="str">
        <f>""</f>
        <v/>
      </c>
      <c r="F1252" t="str">
        <f>""</f>
        <v/>
      </c>
      <c r="H1252" t="str">
        <f>"Ord# 172333457001"</f>
        <v>Ord# 172333457001</v>
      </c>
    </row>
    <row r="1253" spans="5:8" x14ac:dyDescent="0.25">
      <c r="E1253" t="str">
        <f>""</f>
        <v/>
      </c>
      <c r="F1253" t="str">
        <f>""</f>
        <v/>
      </c>
      <c r="H1253" t="str">
        <f>"Ord# 174491900001"</f>
        <v>Ord# 174491900001</v>
      </c>
    </row>
    <row r="1254" spans="5:8" x14ac:dyDescent="0.25">
      <c r="E1254" t="str">
        <f>""</f>
        <v/>
      </c>
      <c r="F1254" t="str">
        <f>""</f>
        <v/>
      </c>
      <c r="H1254" t="str">
        <f>"Ord# 167609095001"</f>
        <v>Ord# 167609095001</v>
      </c>
    </row>
    <row r="1255" spans="5:8" x14ac:dyDescent="0.25">
      <c r="E1255" t="str">
        <f>""</f>
        <v/>
      </c>
      <c r="F1255" t="str">
        <f>""</f>
        <v/>
      </c>
      <c r="H1255" t="str">
        <f>"Ord# 167610476001"</f>
        <v>Ord# 167610476001</v>
      </c>
    </row>
    <row r="1256" spans="5:8" x14ac:dyDescent="0.25">
      <c r="E1256" t="str">
        <f>""</f>
        <v/>
      </c>
      <c r="F1256" t="str">
        <f>""</f>
        <v/>
      </c>
      <c r="H1256" t="str">
        <f>"Ord# 172871605001"</f>
        <v>Ord# 172871605001</v>
      </c>
    </row>
    <row r="1257" spans="5:8" x14ac:dyDescent="0.25">
      <c r="E1257" t="str">
        <f>""</f>
        <v/>
      </c>
      <c r="F1257" t="str">
        <f>""</f>
        <v/>
      </c>
      <c r="H1257" t="str">
        <f>"Ord# 171066216001"</f>
        <v>Ord# 171066216001</v>
      </c>
    </row>
    <row r="1258" spans="5:8" x14ac:dyDescent="0.25">
      <c r="E1258" t="str">
        <f>""</f>
        <v/>
      </c>
      <c r="F1258" t="str">
        <f>""</f>
        <v/>
      </c>
      <c r="H1258" t="str">
        <f>"Ord# 171149932001"</f>
        <v>Ord# 171149932001</v>
      </c>
    </row>
    <row r="1259" spans="5:8" x14ac:dyDescent="0.25">
      <c r="E1259" t="str">
        <f>""</f>
        <v/>
      </c>
      <c r="F1259" t="str">
        <f>""</f>
        <v/>
      </c>
      <c r="H1259" t="str">
        <f>"Ord# 171149933001"</f>
        <v>Ord# 171149933001</v>
      </c>
    </row>
    <row r="1260" spans="5:8" x14ac:dyDescent="0.25">
      <c r="E1260" t="str">
        <f>""</f>
        <v/>
      </c>
      <c r="F1260" t="str">
        <f>""</f>
        <v/>
      </c>
      <c r="H1260" t="str">
        <f>"Ord# 172494297001"</f>
        <v>Ord# 172494297001</v>
      </c>
    </row>
    <row r="1261" spans="5:8" x14ac:dyDescent="0.25">
      <c r="E1261" t="str">
        <f>""</f>
        <v/>
      </c>
      <c r="F1261" t="str">
        <f>""</f>
        <v/>
      </c>
      <c r="H1261" t="str">
        <f>"Ord# 172812254001"</f>
        <v>Ord# 172812254001</v>
      </c>
    </row>
    <row r="1262" spans="5:8" x14ac:dyDescent="0.25">
      <c r="E1262" t="str">
        <f>""</f>
        <v/>
      </c>
      <c r="F1262" t="str">
        <f>""</f>
        <v/>
      </c>
      <c r="H1262" t="str">
        <f>"Ord# 168229224001"</f>
        <v>Ord# 168229224001</v>
      </c>
    </row>
    <row r="1263" spans="5:8" x14ac:dyDescent="0.25">
      <c r="E1263" t="str">
        <f>""</f>
        <v/>
      </c>
      <c r="F1263" t="str">
        <f>""</f>
        <v/>
      </c>
      <c r="H1263" t="str">
        <f>"Ord# 171188397001"</f>
        <v>Ord# 171188397001</v>
      </c>
    </row>
    <row r="1264" spans="5:8" x14ac:dyDescent="0.25">
      <c r="E1264" t="str">
        <f>""</f>
        <v/>
      </c>
      <c r="F1264" t="str">
        <f>""</f>
        <v/>
      </c>
      <c r="H1264" t="str">
        <f>"Ord# 171855798001"</f>
        <v>Ord# 171855798001</v>
      </c>
    </row>
    <row r="1265" spans="1:8" x14ac:dyDescent="0.25">
      <c r="E1265" t="str">
        <f>""</f>
        <v/>
      </c>
      <c r="F1265" t="str">
        <f>""</f>
        <v/>
      </c>
      <c r="H1265" t="str">
        <f>"Ord# 167487874001"</f>
        <v>Ord# 167487874001</v>
      </c>
    </row>
    <row r="1266" spans="1:8" x14ac:dyDescent="0.25">
      <c r="E1266" t="str">
        <f>""</f>
        <v/>
      </c>
      <c r="F1266" t="str">
        <f>""</f>
        <v/>
      </c>
      <c r="H1266" t="str">
        <f>"Ord# 167344653001"</f>
        <v>Ord# 167344653001</v>
      </c>
    </row>
    <row r="1267" spans="1:8" x14ac:dyDescent="0.25">
      <c r="A1267" t="s">
        <v>416</v>
      </c>
      <c r="B1267">
        <v>78334</v>
      </c>
      <c r="C1267" s="3">
        <v>21451.71</v>
      </c>
      <c r="D1267" s="1">
        <v>43339</v>
      </c>
      <c r="E1267" t="str">
        <f>"9960104"</f>
        <v>9960104</v>
      </c>
      <c r="F1267" t="str">
        <f>"Bill# 9960104"</f>
        <v>Bill# 9960104</v>
      </c>
      <c r="G1267" s="2">
        <v>21451.71</v>
      </c>
      <c r="H1267" t="str">
        <f>"Ord# 181659735001"</f>
        <v>Ord# 181659735001</v>
      </c>
    </row>
    <row r="1268" spans="1:8" x14ac:dyDescent="0.25">
      <c r="E1268" t="str">
        <f>""</f>
        <v/>
      </c>
      <c r="F1268" t="str">
        <f>""</f>
        <v/>
      </c>
      <c r="H1268" t="str">
        <f>"Ord# 174491900002"</f>
        <v>Ord# 174491900002</v>
      </c>
    </row>
    <row r="1269" spans="1:8" x14ac:dyDescent="0.25">
      <c r="E1269" t="str">
        <f>""</f>
        <v/>
      </c>
      <c r="F1269" t="str">
        <f>""</f>
        <v/>
      </c>
      <c r="H1269" t="str">
        <f>"Ord# 179806746001"</f>
        <v>Ord# 179806746001</v>
      </c>
    </row>
    <row r="1270" spans="1:8" x14ac:dyDescent="0.25">
      <c r="E1270" t="str">
        <f>""</f>
        <v/>
      </c>
      <c r="F1270" t="str">
        <f>""</f>
        <v/>
      </c>
      <c r="H1270" t="str">
        <f>"Ord# 179806747000"</f>
        <v>Ord# 179806747000</v>
      </c>
    </row>
    <row r="1271" spans="1:8" x14ac:dyDescent="0.25">
      <c r="E1271" t="str">
        <f>""</f>
        <v/>
      </c>
      <c r="F1271" t="str">
        <f>""</f>
        <v/>
      </c>
      <c r="H1271" t="str">
        <f>"Ord# 179806748001"</f>
        <v>Ord# 179806748001</v>
      </c>
    </row>
    <row r="1272" spans="1:8" x14ac:dyDescent="0.25">
      <c r="E1272" t="str">
        <f>""</f>
        <v/>
      </c>
      <c r="F1272" t="str">
        <f>""</f>
        <v/>
      </c>
      <c r="H1272" t="str">
        <f>"Ord# 179806745001"</f>
        <v>Ord# 179806745001</v>
      </c>
    </row>
    <row r="1273" spans="1:8" x14ac:dyDescent="0.25">
      <c r="E1273" t="str">
        <f>""</f>
        <v/>
      </c>
      <c r="F1273" t="str">
        <f>""</f>
        <v/>
      </c>
      <c r="H1273" t="str">
        <f>"Ord# 181277415001"</f>
        <v>Ord# 181277415001</v>
      </c>
    </row>
    <row r="1274" spans="1:8" x14ac:dyDescent="0.25">
      <c r="E1274" t="str">
        <f>""</f>
        <v/>
      </c>
      <c r="F1274" t="str">
        <f>""</f>
        <v/>
      </c>
      <c r="H1274" t="str">
        <f>"Ord# 171278704001"</f>
        <v>Ord# 171278704001</v>
      </c>
    </row>
    <row r="1275" spans="1:8" x14ac:dyDescent="0.25">
      <c r="E1275" t="str">
        <f>""</f>
        <v/>
      </c>
      <c r="F1275" t="str">
        <f>""</f>
        <v/>
      </c>
      <c r="H1275" t="str">
        <f>"Ord# 181280877001"</f>
        <v>Ord# 181280877001</v>
      </c>
    </row>
    <row r="1276" spans="1:8" x14ac:dyDescent="0.25">
      <c r="E1276" t="str">
        <f>""</f>
        <v/>
      </c>
      <c r="F1276" t="str">
        <f>""</f>
        <v/>
      </c>
      <c r="H1276" t="str">
        <f>"Ord# 185745924001"</f>
        <v>Ord# 185745924001</v>
      </c>
    </row>
    <row r="1277" spans="1:8" x14ac:dyDescent="0.25">
      <c r="E1277" t="str">
        <f>""</f>
        <v/>
      </c>
      <c r="F1277" t="str">
        <f>""</f>
        <v/>
      </c>
      <c r="H1277" t="str">
        <f>"Ord# 185746904001"</f>
        <v>Ord# 185746904001</v>
      </c>
    </row>
    <row r="1278" spans="1:8" x14ac:dyDescent="0.25">
      <c r="E1278" t="str">
        <f>""</f>
        <v/>
      </c>
      <c r="F1278" t="str">
        <f>""</f>
        <v/>
      </c>
      <c r="H1278" t="str">
        <f>"Ord# 185746905001"</f>
        <v>Ord# 185746905001</v>
      </c>
    </row>
    <row r="1279" spans="1:8" x14ac:dyDescent="0.25">
      <c r="E1279" t="str">
        <f>""</f>
        <v/>
      </c>
      <c r="F1279" t="str">
        <f>""</f>
        <v/>
      </c>
      <c r="H1279" t="str">
        <f>"Ord# 185746906001"</f>
        <v>Ord# 185746906001</v>
      </c>
    </row>
    <row r="1280" spans="1:8" x14ac:dyDescent="0.25">
      <c r="E1280" t="str">
        <f>""</f>
        <v/>
      </c>
      <c r="F1280" t="str">
        <f>""</f>
        <v/>
      </c>
      <c r="H1280" t="str">
        <f>"Ord# 179169384001"</f>
        <v>Ord# 179169384001</v>
      </c>
    </row>
    <row r="1281" spans="5:8" x14ac:dyDescent="0.25">
      <c r="E1281" t="str">
        <f>""</f>
        <v/>
      </c>
      <c r="F1281" t="str">
        <f>""</f>
        <v/>
      </c>
      <c r="H1281" t="str">
        <f>"Ord# 17917036001"</f>
        <v>Ord# 17917036001</v>
      </c>
    </row>
    <row r="1282" spans="5:8" x14ac:dyDescent="0.25">
      <c r="E1282" t="str">
        <f>""</f>
        <v/>
      </c>
      <c r="F1282" t="str">
        <f>""</f>
        <v/>
      </c>
      <c r="H1282" t="str">
        <f>"Ord# 179170360001"</f>
        <v>Ord# 179170360001</v>
      </c>
    </row>
    <row r="1283" spans="5:8" x14ac:dyDescent="0.25">
      <c r="E1283" t="str">
        <f>""</f>
        <v/>
      </c>
      <c r="F1283" t="str">
        <f>""</f>
        <v/>
      </c>
      <c r="H1283" t="str">
        <f>"Ord# 179170361001"</f>
        <v>Ord# 179170361001</v>
      </c>
    </row>
    <row r="1284" spans="5:8" x14ac:dyDescent="0.25">
      <c r="E1284" t="str">
        <f>""</f>
        <v/>
      </c>
      <c r="F1284" t="str">
        <f>""</f>
        <v/>
      </c>
      <c r="H1284" t="str">
        <f>"Ord# 177672304001"</f>
        <v>Ord# 177672304001</v>
      </c>
    </row>
    <row r="1285" spans="5:8" x14ac:dyDescent="0.25">
      <c r="E1285" t="str">
        <f>""</f>
        <v/>
      </c>
      <c r="F1285" t="str">
        <f>""</f>
        <v/>
      </c>
      <c r="H1285" t="str">
        <f>"Ord# 180342537001"</f>
        <v>Ord# 180342537001</v>
      </c>
    </row>
    <row r="1286" spans="5:8" x14ac:dyDescent="0.25">
      <c r="E1286" t="str">
        <f>""</f>
        <v/>
      </c>
      <c r="F1286" t="str">
        <f>""</f>
        <v/>
      </c>
      <c r="H1286" t="str">
        <f>"Ord# 180343293001"</f>
        <v>Ord# 180343293001</v>
      </c>
    </row>
    <row r="1287" spans="5:8" x14ac:dyDescent="0.25">
      <c r="E1287" t="str">
        <f>""</f>
        <v/>
      </c>
      <c r="F1287" t="str">
        <f>""</f>
        <v/>
      </c>
      <c r="H1287" t="str">
        <f>"Ord# 180343294001"</f>
        <v>Ord# 180343294001</v>
      </c>
    </row>
    <row r="1288" spans="5:8" x14ac:dyDescent="0.25">
      <c r="E1288" t="str">
        <f>""</f>
        <v/>
      </c>
      <c r="F1288" t="str">
        <f>""</f>
        <v/>
      </c>
      <c r="H1288" t="str">
        <f>"Ord# 185941253001"</f>
        <v>Ord# 185941253001</v>
      </c>
    </row>
    <row r="1289" spans="5:8" x14ac:dyDescent="0.25">
      <c r="E1289" t="str">
        <f>""</f>
        <v/>
      </c>
      <c r="F1289" t="str">
        <f>""</f>
        <v/>
      </c>
      <c r="H1289" t="str">
        <f>"Ord# 186387663001"</f>
        <v>Ord# 186387663001</v>
      </c>
    </row>
    <row r="1290" spans="5:8" x14ac:dyDescent="0.25">
      <c r="E1290" t="str">
        <f>""</f>
        <v/>
      </c>
      <c r="F1290" t="str">
        <f>""</f>
        <v/>
      </c>
      <c r="H1290" t="str">
        <f>"Ord# 186388253001"</f>
        <v>Ord# 186388253001</v>
      </c>
    </row>
    <row r="1291" spans="5:8" x14ac:dyDescent="0.25">
      <c r="E1291" t="str">
        <f>""</f>
        <v/>
      </c>
      <c r="F1291" t="str">
        <f>""</f>
        <v/>
      </c>
      <c r="H1291" t="str">
        <f>"Ord# 186388254001"</f>
        <v>Ord# 186388254001</v>
      </c>
    </row>
    <row r="1292" spans="5:8" x14ac:dyDescent="0.25">
      <c r="E1292" t="str">
        <f>""</f>
        <v/>
      </c>
      <c r="F1292" t="str">
        <f>""</f>
        <v/>
      </c>
      <c r="H1292" t="str">
        <f>"Ord# 187698867001"</f>
        <v>Ord# 187698867001</v>
      </c>
    </row>
    <row r="1293" spans="5:8" x14ac:dyDescent="0.25">
      <c r="E1293" t="str">
        <f>""</f>
        <v/>
      </c>
      <c r="F1293" t="str">
        <f>""</f>
        <v/>
      </c>
      <c r="H1293" t="str">
        <f>"Ord# 179973826001"</f>
        <v>Ord# 179973826001</v>
      </c>
    </row>
    <row r="1294" spans="5:8" x14ac:dyDescent="0.25">
      <c r="E1294" t="str">
        <f>""</f>
        <v/>
      </c>
      <c r="F1294" t="str">
        <f>""</f>
        <v/>
      </c>
      <c r="H1294" t="str">
        <f>"Ord# 179993194001"</f>
        <v>Ord# 179993194001</v>
      </c>
    </row>
    <row r="1295" spans="5:8" x14ac:dyDescent="0.25">
      <c r="E1295" t="str">
        <f>""</f>
        <v/>
      </c>
      <c r="F1295" t="str">
        <f>""</f>
        <v/>
      </c>
      <c r="H1295" t="str">
        <f>"Ord# 179993195001"</f>
        <v>Ord# 179993195001</v>
      </c>
    </row>
    <row r="1296" spans="5:8" x14ac:dyDescent="0.25">
      <c r="E1296" t="str">
        <f>""</f>
        <v/>
      </c>
      <c r="F1296" t="str">
        <f>""</f>
        <v/>
      </c>
      <c r="H1296" t="str">
        <f>"Ord# 184805185001"</f>
        <v>Ord# 184805185001</v>
      </c>
    </row>
    <row r="1297" spans="1:8" x14ac:dyDescent="0.25">
      <c r="E1297" t="str">
        <f>""</f>
        <v/>
      </c>
      <c r="F1297" t="str">
        <f>""</f>
        <v/>
      </c>
      <c r="H1297" t="str">
        <f>"Ord# 184806885001"</f>
        <v>Ord# 184806885001</v>
      </c>
    </row>
    <row r="1298" spans="1:8" x14ac:dyDescent="0.25">
      <c r="A1298" t="s">
        <v>417</v>
      </c>
      <c r="B1298">
        <v>78060</v>
      </c>
      <c r="C1298" s="3">
        <v>100</v>
      </c>
      <c r="D1298" s="1">
        <v>43325</v>
      </c>
      <c r="E1298" t="str">
        <f>"12535"</f>
        <v>12535</v>
      </c>
      <c r="F1298" t="str">
        <f>"SERVICE  05/22/18"</f>
        <v>SERVICE  05/22/18</v>
      </c>
      <c r="G1298" s="2">
        <v>100</v>
      </c>
      <c r="H1298" t="str">
        <f>"SERVICE  05/22/18"</f>
        <v>SERVICE  05/22/18</v>
      </c>
    </row>
    <row r="1299" spans="1:8" x14ac:dyDescent="0.25">
      <c r="A1299" t="s">
        <v>418</v>
      </c>
      <c r="B1299">
        <v>78061</v>
      </c>
      <c r="C1299" s="3">
        <v>390</v>
      </c>
      <c r="D1299" s="1">
        <v>43325</v>
      </c>
      <c r="E1299" t="str">
        <f>"218-002011"</f>
        <v>218-002011</v>
      </c>
      <c r="F1299" t="str">
        <f>"2ND QTR ACTIVITY/PCT#2"</f>
        <v>2ND QTR ACTIVITY/PCT#2</v>
      </c>
      <c r="G1299" s="2">
        <v>390</v>
      </c>
      <c r="H1299" t="str">
        <f>"2ND QTR ACTIVITY/PCT#2"</f>
        <v>2ND QTR ACTIVITY/PCT#2</v>
      </c>
    </row>
    <row r="1300" spans="1:8" x14ac:dyDescent="0.25">
      <c r="A1300" t="s">
        <v>419</v>
      </c>
      <c r="B1300">
        <v>78062</v>
      </c>
      <c r="C1300" s="3">
        <v>150</v>
      </c>
      <c r="D1300" s="1">
        <v>43325</v>
      </c>
      <c r="E1300" t="str">
        <f>"17814"</f>
        <v>17814</v>
      </c>
      <c r="F1300" t="str">
        <f>"PLUMBING SVCS/HEALTH DEPT"</f>
        <v>PLUMBING SVCS/HEALTH DEPT</v>
      </c>
      <c r="G1300" s="2">
        <v>150</v>
      </c>
      <c r="H1300" t="str">
        <f>"PLUMBING SVCS/HEALTH DEPT"</f>
        <v>PLUMBING SVCS/HEALTH DEPT</v>
      </c>
    </row>
    <row r="1301" spans="1:8" x14ac:dyDescent="0.25">
      <c r="A1301" t="s">
        <v>419</v>
      </c>
      <c r="B1301">
        <v>78335</v>
      </c>
      <c r="C1301" s="3">
        <v>775</v>
      </c>
      <c r="D1301" s="1">
        <v>43339</v>
      </c>
      <c r="E1301" t="str">
        <f>"17938"</f>
        <v>17938</v>
      </c>
      <c r="F1301" t="str">
        <f>"PLUMBING SVCS-SIGN SHOP"</f>
        <v>PLUMBING SVCS-SIGN SHOP</v>
      </c>
      <c r="G1301" s="2">
        <v>775</v>
      </c>
      <c r="H1301" t="str">
        <f>"PLUMBING SVCS-SIGN SHOP"</f>
        <v>PLUMBING SVCS-SIGN SHOP</v>
      </c>
    </row>
    <row r="1302" spans="1:8" x14ac:dyDescent="0.25">
      <c r="A1302" t="s">
        <v>420</v>
      </c>
      <c r="B1302">
        <v>78063</v>
      </c>
      <c r="C1302" s="3">
        <v>756.5</v>
      </c>
      <c r="D1302" s="1">
        <v>43325</v>
      </c>
      <c r="E1302" t="str">
        <f>"256514"</f>
        <v>256514</v>
      </c>
      <c r="F1302" t="str">
        <f>"Sign Materials"</f>
        <v>Sign Materials</v>
      </c>
      <c r="G1302" s="2">
        <v>756.5</v>
      </c>
      <c r="H1302" t="str">
        <f>"Back Vinyl"</f>
        <v>Back Vinyl</v>
      </c>
    </row>
    <row r="1303" spans="1:8" x14ac:dyDescent="0.25">
      <c r="E1303" t="str">
        <f>""</f>
        <v/>
      </c>
      <c r="F1303" t="str">
        <f>""</f>
        <v/>
      </c>
      <c r="H1303" t="str">
        <f>"Sign Decals"</f>
        <v>Sign Decals</v>
      </c>
    </row>
    <row r="1304" spans="1:8" x14ac:dyDescent="0.25">
      <c r="A1304" t="s">
        <v>421</v>
      </c>
      <c r="B1304">
        <v>78336</v>
      </c>
      <c r="C1304" s="3">
        <v>105</v>
      </c>
      <c r="D1304" s="1">
        <v>43339</v>
      </c>
      <c r="E1304" t="str">
        <f>"201808223014"</f>
        <v>201808223014</v>
      </c>
      <c r="F1304" t="str">
        <f>"INV 54640 / BAADE/SANCHEZ"</f>
        <v>INV 54640 / BAADE/SANCHEZ</v>
      </c>
      <c r="G1304" s="2">
        <v>105</v>
      </c>
      <c r="H1304" t="str">
        <f>"S. BAADE"</f>
        <v>S. BAADE</v>
      </c>
    </row>
    <row r="1305" spans="1:8" x14ac:dyDescent="0.25">
      <c r="E1305" t="str">
        <f>""</f>
        <v/>
      </c>
      <c r="F1305" t="str">
        <f>""</f>
        <v/>
      </c>
      <c r="H1305" t="str">
        <f>"E. SANCHEZ"</f>
        <v>E. SANCHEZ</v>
      </c>
    </row>
    <row r="1306" spans="1:8" x14ac:dyDescent="0.25">
      <c r="E1306" t="str">
        <f>""</f>
        <v/>
      </c>
      <c r="F1306" t="str">
        <f>""</f>
        <v/>
      </c>
      <c r="H1306" t="str">
        <f>"DISCOUNT"</f>
        <v>DISCOUNT</v>
      </c>
    </row>
    <row r="1307" spans="1:8" x14ac:dyDescent="0.25">
      <c r="A1307" t="s">
        <v>422</v>
      </c>
      <c r="B1307">
        <v>78337</v>
      </c>
      <c r="C1307" s="3">
        <v>2709</v>
      </c>
      <c r="D1307" s="1">
        <v>43339</v>
      </c>
      <c r="E1307" t="str">
        <f>"19102604 19102498"</f>
        <v>19102604 19102498</v>
      </c>
      <c r="F1307" t="str">
        <f>"INV 19102498/19102604"</f>
        <v>INV 19102498/19102604</v>
      </c>
      <c r="G1307" s="2">
        <v>2709</v>
      </c>
      <c r="H1307" t="str">
        <f>"INV 19102604"</f>
        <v>INV 19102604</v>
      </c>
    </row>
    <row r="1308" spans="1:8" x14ac:dyDescent="0.25">
      <c r="E1308" t="str">
        <f>""</f>
        <v/>
      </c>
      <c r="F1308" t="str">
        <f>""</f>
        <v/>
      </c>
      <c r="H1308" t="str">
        <f>"INV 19102498"</f>
        <v>INV 19102498</v>
      </c>
    </row>
    <row r="1309" spans="1:8" x14ac:dyDescent="0.25">
      <c r="A1309" t="s">
        <v>423</v>
      </c>
      <c r="B1309">
        <v>78064</v>
      </c>
      <c r="C1309" s="3">
        <v>83.94</v>
      </c>
      <c r="D1309" s="1">
        <v>43325</v>
      </c>
      <c r="E1309" t="str">
        <f>"10182"</f>
        <v>10182</v>
      </c>
      <c r="F1309" t="str">
        <f>"PARTS/PCT#4"</f>
        <v>PARTS/PCT#4</v>
      </c>
      <c r="G1309" s="2">
        <v>83.94</v>
      </c>
      <c r="H1309" t="str">
        <f>"PARTS/PCT#4"</f>
        <v>PARTS/PCT#4</v>
      </c>
    </row>
    <row r="1310" spans="1:8" x14ac:dyDescent="0.25">
      <c r="A1310" t="s">
        <v>424</v>
      </c>
      <c r="B1310">
        <v>78065</v>
      </c>
      <c r="C1310" s="3">
        <v>86.01</v>
      </c>
      <c r="D1310" s="1">
        <v>43325</v>
      </c>
      <c r="E1310" t="str">
        <f>"201808062651"</f>
        <v>201808062651</v>
      </c>
      <c r="F1310" t="str">
        <f>"ACCT#1137/PCT#4"</f>
        <v>ACCT#1137/PCT#4</v>
      </c>
      <c r="G1310" s="2">
        <v>86.01</v>
      </c>
      <c r="H1310" t="str">
        <f>"ACCT#1137/PCT#4"</f>
        <v>ACCT#1137/PCT#4</v>
      </c>
    </row>
    <row r="1311" spans="1:8" x14ac:dyDescent="0.25">
      <c r="A1311" t="s">
        <v>425</v>
      </c>
      <c r="B1311">
        <v>999999</v>
      </c>
      <c r="C1311" s="3">
        <v>5510.6</v>
      </c>
      <c r="D1311" s="1">
        <v>43314</v>
      </c>
      <c r="E1311" t="str">
        <f>"2008331-Reissue"</f>
        <v>2008331-Reissue</v>
      </c>
      <c r="F1311" t="str">
        <f>"INSTALL 2 NEW EXIT LIGHTS"</f>
        <v>INSTALL 2 NEW EXIT LIGHTS</v>
      </c>
      <c r="G1311" s="2">
        <v>760.3</v>
      </c>
      <c r="H1311" t="str">
        <f>"INSTALL 2 NEW EXIT LIGHTS"</f>
        <v>INSTALL 2 NEW EXIT LIGHTS</v>
      </c>
    </row>
    <row r="1312" spans="1:8" x14ac:dyDescent="0.25">
      <c r="E1312" t="str">
        <f>"2008333-Reissue"</f>
        <v>2008333-Reissue</v>
      </c>
      <c r="F1312" t="str">
        <f>"ELECTRICAL SVS/CT HOUSE ANNEX"</f>
        <v>ELECTRICAL SVS/CT HOUSE ANNEX</v>
      </c>
      <c r="G1312" s="2">
        <v>2448.8000000000002</v>
      </c>
      <c r="H1312" t="str">
        <f>"ELECTRICAL SVS/CT HOUSE ANNEX"</f>
        <v>ELECTRICAL SVS/CT HOUSE ANNEX</v>
      </c>
    </row>
    <row r="1313" spans="1:8" x14ac:dyDescent="0.25">
      <c r="E1313" t="str">
        <f>"2008336-Reissue"</f>
        <v>2008336-Reissue</v>
      </c>
      <c r="F1313" t="str">
        <f>"REPLACED BURNED/SHORTED PANEL"</f>
        <v>REPLACED BURNED/SHORTED PANEL</v>
      </c>
      <c r="G1313" s="2">
        <v>1361.85</v>
      </c>
      <c r="H1313" t="str">
        <f>"REPLACED BURNED/SHORTED PANEL"</f>
        <v>REPLACED BURNED/SHORTED PANEL</v>
      </c>
    </row>
    <row r="1314" spans="1:8" x14ac:dyDescent="0.25">
      <c r="E1314" t="str">
        <f>"2008337-Reissue"</f>
        <v>2008337-Reissue</v>
      </c>
      <c r="F1314" t="str">
        <f>"ADD OUTLET/CT HOUSE ANNEX"</f>
        <v>ADD OUTLET/CT HOUSE ANNEX</v>
      </c>
      <c r="G1314" s="2">
        <v>405.75</v>
      </c>
      <c r="H1314" t="str">
        <f>"ADD OUTLET/CT HOUSE ANNEX"</f>
        <v>ADD OUTLET/CT HOUSE ANNEX</v>
      </c>
    </row>
    <row r="1315" spans="1:8" x14ac:dyDescent="0.25">
      <c r="E1315" t="str">
        <f>"2008338-Reissue"</f>
        <v>2008338-Reissue</v>
      </c>
      <c r="F1315" t="str">
        <f>"ADD TWO OUTLETS TO HALLWAY"</f>
        <v>ADD TWO OUTLETS TO HALLWAY</v>
      </c>
      <c r="G1315" s="2">
        <v>533.9</v>
      </c>
      <c r="H1315" t="str">
        <f>"ADD TWO OUTLETS TO HALLWAY"</f>
        <v>ADD TWO OUTLETS TO HALLWAY</v>
      </c>
    </row>
    <row r="1316" spans="1:8" x14ac:dyDescent="0.25">
      <c r="A1316" t="s">
        <v>426</v>
      </c>
      <c r="B1316">
        <v>78066</v>
      </c>
      <c r="C1316" s="3">
        <v>2852.8</v>
      </c>
      <c r="D1316" s="1">
        <v>43325</v>
      </c>
      <c r="E1316" t="str">
        <f>"201808082850"</f>
        <v>201808082850</v>
      </c>
      <c r="F1316" t="str">
        <f>"ACCT#0200140783/ANIMAL SVCS"</f>
        <v>ACCT#0200140783/ANIMAL SVCS</v>
      </c>
      <c r="G1316" s="2">
        <v>2852.8</v>
      </c>
      <c r="H1316" t="str">
        <f>"ACCT#0200140783/ANIMAL SVCS"</f>
        <v>ACCT#0200140783/ANIMAL SVCS</v>
      </c>
    </row>
    <row r="1317" spans="1:8" x14ac:dyDescent="0.25">
      <c r="E1317" t="str">
        <f>""</f>
        <v/>
      </c>
      <c r="F1317" t="str">
        <f>""</f>
        <v/>
      </c>
      <c r="H1317" t="str">
        <f>"ACCT#0200140783/ANIMAL SVCS"</f>
        <v>ACCT#0200140783/ANIMAL SVCS</v>
      </c>
    </row>
    <row r="1318" spans="1:8" x14ac:dyDescent="0.25">
      <c r="A1318" t="s">
        <v>427</v>
      </c>
      <c r="B1318">
        <v>78067</v>
      </c>
      <c r="C1318" s="3">
        <v>54015.65</v>
      </c>
      <c r="D1318" s="1">
        <v>43325</v>
      </c>
      <c r="E1318" t="str">
        <f>"IVC00041249"</f>
        <v>IVC00041249</v>
      </c>
      <c r="F1318" t="str">
        <f>"ATTORNEY FEES 4/1-6/30/JP#1"</f>
        <v>ATTORNEY FEES 4/1-6/30/JP#1</v>
      </c>
      <c r="G1318" s="2">
        <v>3775.42</v>
      </c>
      <c r="H1318" t="str">
        <f>"ATTORNEY FEES 4/1-6/30/JP#1"</f>
        <v>ATTORNEY FEES 4/1-6/30/JP#1</v>
      </c>
    </row>
    <row r="1319" spans="1:8" x14ac:dyDescent="0.25">
      <c r="E1319" t="str">
        <f>"IVC00041250"</f>
        <v>IVC00041250</v>
      </c>
      <c r="F1319" t="str">
        <f>"ATTORNEY FEES 4/1/18-6/30/18"</f>
        <v>ATTORNEY FEES 4/1/18-6/30/18</v>
      </c>
      <c r="G1319" s="2">
        <v>21877.98</v>
      </c>
      <c r="H1319" t="str">
        <f>"ATTORNEY FEES 4/1/18-6/30/18"</f>
        <v>ATTORNEY FEES 4/1/18-6/30/18</v>
      </c>
    </row>
    <row r="1320" spans="1:8" x14ac:dyDescent="0.25">
      <c r="E1320" t="str">
        <f>"IVC00041251"</f>
        <v>IVC00041251</v>
      </c>
      <c r="F1320" t="str">
        <f>"ATTORNEY FEES-4/1/18-6/30/18"</f>
        <v>ATTORNEY FEES-4/1/18-6/30/18</v>
      </c>
      <c r="G1320" s="2">
        <v>14006.2</v>
      </c>
      <c r="H1320" t="str">
        <f>"ATTORNEY FEES-4/1/18-6/30/18"</f>
        <v>ATTORNEY FEES-4/1/18-6/30/18</v>
      </c>
    </row>
    <row r="1321" spans="1:8" x14ac:dyDescent="0.25">
      <c r="E1321" t="str">
        <f>"IVC00041252"</f>
        <v>IVC00041252</v>
      </c>
      <c r="F1321" t="str">
        <f>"ATTORNEY FEES-PROF SVCS/JP4"</f>
        <v>ATTORNEY FEES-PROF SVCS/JP4</v>
      </c>
      <c r="G1321" s="2">
        <v>14356.05</v>
      </c>
      <c r="H1321" t="str">
        <f>"ATTORNEY FEES-PROF SVCS/JP4"</f>
        <v>ATTORNEY FEES-PROF SVCS/JP4</v>
      </c>
    </row>
    <row r="1322" spans="1:8" x14ac:dyDescent="0.25">
      <c r="A1322" t="s">
        <v>428</v>
      </c>
      <c r="B1322">
        <v>78068</v>
      </c>
      <c r="C1322" s="3">
        <v>3175</v>
      </c>
      <c r="D1322" s="1">
        <v>43325</v>
      </c>
      <c r="E1322" t="str">
        <f>"SIUN12050479"</f>
        <v>SIUN12050479</v>
      </c>
      <c r="F1322" t="str">
        <f>"CUST ACCT#CUN000000233/A/C"</f>
        <v>CUST ACCT#CUN000000233/A/C</v>
      </c>
      <c r="G1322" s="2">
        <v>3175</v>
      </c>
      <c r="H1322" t="str">
        <f>"CUST ACCT#CUN000000233/A/C"</f>
        <v>CUST ACCT#CUN000000233/A/C</v>
      </c>
    </row>
    <row r="1323" spans="1:8" x14ac:dyDescent="0.25">
      <c r="A1323" t="s">
        <v>428</v>
      </c>
      <c r="B1323">
        <v>78338</v>
      </c>
      <c r="C1323" s="3">
        <v>14.55</v>
      </c>
      <c r="D1323" s="1">
        <v>43339</v>
      </c>
      <c r="E1323" t="str">
        <f>"SIUN12092035"</f>
        <v>SIUN12092035</v>
      </c>
      <c r="F1323" t="str">
        <f>"ACCT#CUN000000233/ANIMAL CONTR"</f>
        <v>ACCT#CUN000000233/ANIMAL CONTR</v>
      </c>
      <c r="G1323" s="2">
        <v>14.55</v>
      </c>
      <c r="H1323" t="str">
        <f>"ACCT#CUN000000233/ANIMAL CONTR"</f>
        <v>ACCT#CUN000000233/ANIMAL CONTR</v>
      </c>
    </row>
    <row r="1324" spans="1:8" x14ac:dyDescent="0.25">
      <c r="A1324" t="s">
        <v>429</v>
      </c>
      <c r="B1324">
        <v>78069</v>
      </c>
      <c r="C1324" s="3">
        <v>125.35</v>
      </c>
      <c r="D1324" s="1">
        <v>43325</v>
      </c>
      <c r="E1324" t="str">
        <f>"201808072694"</f>
        <v>201808072694</v>
      </c>
      <c r="F1324" t="str">
        <f>"REIMBURSEMENT MILEAGE"</f>
        <v>REIMBURSEMENT MILEAGE</v>
      </c>
      <c r="G1324" s="2">
        <v>125.35</v>
      </c>
      <c r="H1324" t="str">
        <f>"REIMBURSEMENT MILEAGE"</f>
        <v>REIMBURSEMENT MILEAGE</v>
      </c>
    </row>
    <row r="1325" spans="1:8" x14ac:dyDescent="0.25">
      <c r="A1325" t="s">
        <v>430</v>
      </c>
      <c r="B1325">
        <v>78070</v>
      </c>
      <c r="C1325" s="3">
        <v>235</v>
      </c>
      <c r="D1325" s="1">
        <v>43325</v>
      </c>
      <c r="E1325" t="str">
        <f>"201807242394"</f>
        <v>201807242394</v>
      </c>
      <c r="F1325" t="str">
        <f>"REIMBURSE-STATE BAR DUES"</f>
        <v>REIMBURSE-STATE BAR DUES</v>
      </c>
      <c r="G1325" s="2">
        <v>235</v>
      </c>
      <c r="H1325" t="str">
        <f>"REIMBURSE-STATE BAR DUES"</f>
        <v>REIMBURSE-STATE BAR DUES</v>
      </c>
    </row>
    <row r="1326" spans="1:8" x14ac:dyDescent="0.25">
      <c r="A1326" t="s">
        <v>431</v>
      </c>
      <c r="B1326">
        <v>999999</v>
      </c>
      <c r="C1326" s="3">
        <v>3244</v>
      </c>
      <c r="D1326" s="1">
        <v>43326</v>
      </c>
      <c r="E1326" t="str">
        <f>"201808062669"</f>
        <v>201808062669</v>
      </c>
      <c r="F1326" t="str">
        <f>"J-3113"</f>
        <v>J-3113</v>
      </c>
      <c r="G1326" s="2">
        <v>150</v>
      </c>
      <c r="H1326" t="str">
        <f>"J-3113"</f>
        <v>J-3113</v>
      </c>
    </row>
    <row r="1327" spans="1:8" x14ac:dyDescent="0.25">
      <c r="E1327" t="str">
        <f>"201808082775"</f>
        <v>201808082775</v>
      </c>
      <c r="F1327" t="str">
        <f>"18-19039"</f>
        <v>18-19039</v>
      </c>
      <c r="G1327" s="2">
        <v>213</v>
      </c>
      <c r="H1327" t="str">
        <f>"18-19039"</f>
        <v>18-19039</v>
      </c>
    </row>
    <row r="1328" spans="1:8" x14ac:dyDescent="0.25">
      <c r="E1328" t="str">
        <f>"201808082776"</f>
        <v>201808082776</v>
      </c>
      <c r="F1328" t="str">
        <f>"17-18535"</f>
        <v>17-18535</v>
      </c>
      <c r="G1328" s="2">
        <v>475</v>
      </c>
      <c r="H1328" t="str">
        <f>"17-18535"</f>
        <v>17-18535</v>
      </c>
    </row>
    <row r="1329" spans="1:8" x14ac:dyDescent="0.25">
      <c r="E1329" t="str">
        <f>"201808082777"</f>
        <v>201808082777</v>
      </c>
      <c r="F1329" t="str">
        <f>"53198  53202"</f>
        <v>53198  53202</v>
      </c>
      <c r="G1329" s="2">
        <v>200</v>
      </c>
      <c r="H1329" t="str">
        <f>"53198  53202"</f>
        <v>53198  53202</v>
      </c>
    </row>
    <row r="1330" spans="1:8" x14ac:dyDescent="0.25">
      <c r="E1330" t="str">
        <f>"201808082778"</f>
        <v>201808082778</v>
      </c>
      <c r="F1330" t="str">
        <f>"56192"</f>
        <v>56192</v>
      </c>
      <c r="G1330" s="2">
        <v>250</v>
      </c>
      <c r="H1330" t="str">
        <f>"56192"</f>
        <v>56192</v>
      </c>
    </row>
    <row r="1331" spans="1:8" x14ac:dyDescent="0.25">
      <c r="E1331" t="str">
        <f>"201808082779"</f>
        <v>201808082779</v>
      </c>
      <c r="F1331" t="str">
        <f>"17-18617"</f>
        <v>17-18617</v>
      </c>
      <c r="G1331" s="2">
        <v>685</v>
      </c>
      <c r="H1331" t="str">
        <f>"17-18617"</f>
        <v>17-18617</v>
      </c>
    </row>
    <row r="1332" spans="1:8" x14ac:dyDescent="0.25">
      <c r="E1332" t="str">
        <f>"201808082780"</f>
        <v>201808082780</v>
      </c>
      <c r="F1332" t="str">
        <f>"J-3136"</f>
        <v>J-3136</v>
      </c>
      <c r="G1332" s="2">
        <v>250</v>
      </c>
      <c r="H1332" t="str">
        <f>"J-3136"</f>
        <v>J-3136</v>
      </c>
    </row>
    <row r="1333" spans="1:8" x14ac:dyDescent="0.25">
      <c r="E1333" t="str">
        <f>"201808082781"</f>
        <v>201808082781</v>
      </c>
      <c r="F1333" t="str">
        <f>"18-19166"</f>
        <v>18-19166</v>
      </c>
      <c r="G1333" s="2">
        <v>378</v>
      </c>
      <c r="H1333" t="str">
        <f>"18-19166"</f>
        <v>18-19166</v>
      </c>
    </row>
    <row r="1334" spans="1:8" x14ac:dyDescent="0.25">
      <c r="E1334" t="str">
        <f>"201808082782"</f>
        <v>201808082782</v>
      </c>
      <c r="F1334" t="str">
        <f>"17-18576"</f>
        <v>17-18576</v>
      </c>
      <c r="G1334" s="2">
        <v>340</v>
      </c>
      <c r="H1334" t="str">
        <f>"17-18576"</f>
        <v>17-18576</v>
      </c>
    </row>
    <row r="1335" spans="1:8" x14ac:dyDescent="0.25">
      <c r="E1335" t="str">
        <f>"201808082783"</f>
        <v>201808082783</v>
      </c>
      <c r="F1335" t="str">
        <f>"17-18635"</f>
        <v>17-18635</v>
      </c>
      <c r="G1335" s="2">
        <v>303</v>
      </c>
      <c r="H1335" t="str">
        <f>"17-18635"</f>
        <v>17-18635</v>
      </c>
    </row>
    <row r="1336" spans="1:8" x14ac:dyDescent="0.25">
      <c r="A1336" t="s">
        <v>431</v>
      </c>
      <c r="B1336">
        <v>999999</v>
      </c>
      <c r="C1336" s="3">
        <v>800</v>
      </c>
      <c r="D1336" s="1">
        <v>43340</v>
      </c>
      <c r="E1336" t="str">
        <f>"201808212989"</f>
        <v>201808212989</v>
      </c>
      <c r="F1336" t="str">
        <f>"1JP13118A  925-348-1528"</f>
        <v>1JP13118A  925-348-1528</v>
      </c>
      <c r="G1336" s="2">
        <v>150</v>
      </c>
      <c r="H1336" t="str">
        <f>"1JP13118A  925-348-1528"</f>
        <v>1JP13118A  925-348-1528</v>
      </c>
    </row>
    <row r="1337" spans="1:8" x14ac:dyDescent="0.25">
      <c r="E1337" t="str">
        <f>"201808212993"</f>
        <v>201808212993</v>
      </c>
      <c r="F1337" t="str">
        <f>"1JP32118B  925-348-6937"</f>
        <v>1JP32118B  925-348-6937</v>
      </c>
      <c r="G1337" s="2">
        <v>150</v>
      </c>
      <c r="H1337" t="str">
        <f>"1JP32118B  925-348-6937"</f>
        <v>1JP32118B  925-348-6937</v>
      </c>
    </row>
    <row r="1338" spans="1:8" x14ac:dyDescent="0.25">
      <c r="E1338" t="str">
        <f>"201808213002"</f>
        <v>201808213002</v>
      </c>
      <c r="F1338" t="str">
        <f>"55877"</f>
        <v>55877</v>
      </c>
      <c r="G1338" s="2">
        <v>250</v>
      </c>
      <c r="H1338" t="str">
        <f>"55877"</f>
        <v>55877</v>
      </c>
    </row>
    <row r="1339" spans="1:8" x14ac:dyDescent="0.25">
      <c r="E1339" t="str">
        <f>"55820"</f>
        <v>55820</v>
      </c>
      <c r="F1339" t="str">
        <f>"55820"</f>
        <v>55820</v>
      </c>
      <c r="G1339" s="2">
        <v>250</v>
      </c>
      <c r="H1339" t="str">
        <f>"55820"</f>
        <v>55820</v>
      </c>
    </row>
    <row r="1340" spans="1:8" x14ac:dyDescent="0.25">
      <c r="A1340" t="s">
        <v>432</v>
      </c>
      <c r="B1340">
        <v>78071</v>
      </c>
      <c r="C1340" s="3">
        <v>3307.5</v>
      </c>
      <c r="D1340" s="1">
        <v>43325</v>
      </c>
      <c r="E1340" t="str">
        <f>"201808082727"</f>
        <v>201808082727</v>
      </c>
      <c r="F1340" t="str">
        <f>"16-17765  02/07/18 - 02/16/18"</f>
        <v>16-17765  02/07/18 - 02/16/18</v>
      </c>
      <c r="G1340" s="2">
        <v>60</v>
      </c>
      <c r="H1340" t="str">
        <f>"16-17765  02/07/18 - 02/16/18"</f>
        <v>16-17765  02/07/18 - 02/16/18</v>
      </c>
    </row>
    <row r="1341" spans="1:8" x14ac:dyDescent="0.25">
      <c r="E1341" t="str">
        <f>"201808082728"</f>
        <v>201808082728</v>
      </c>
      <c r="F1341" t="str">
        <f>"17-18120  02/07/18 - 02/28/18"</f>
        <v>17-18120  02/07/18 - 02/28/18</v>
      </c>
      <c r="G1341" s="2">
        <v>317.5</v>
      </c>
      <c r="H1341" t="str">
        <f>"17-18120  02/07/18 - 02/28/18"</f>
        <v>17-18120  02/07/18 - 02/28/18</v>
      </c>
    </row>
    <row r="1342" spans="1:8" x14ac:dyDescent="0.25">
      <c r="E1342" t="str">
        <f>"201808082729"</f>
        <v>201808082729</v>
      </c>
      <c r="F1342" t="str">
        <f>"17-18269  02/05/18 - 02/27/18"</f>
        <v>17-18269  02/05/18 - 02/27/18</v>
      </c>
      <c r="G1342" s="2">
        <v>1121.25</v>
      </c>
      <c r="H1342" t="str">
        <f>"17-18269  02/05/18 - 02/27/18"</f>
        <v>17-18269  02/05/18 - 02/27/18</v>
      </c>
    </row>
    <row r="1343" spans="1:8" x14ac:dyDescent="0.25">
      <c r="E1343" t="str">
        <f>"201808082730"</f>
        <v>201808082730</v>
      </c>
      <c r="F1343" t="str">
        <f>"18-18864  02/12/18 - 02/28/18"</f>
        <v>18-18864  02/12/18 - 02/28/18</v>
      </c>
      <c r="G1343" s="2">
        <v>462.5</v>
      </c>
      <c r="H1343" t="str">
        <f>"18-18864  02/12/18 - 02/28/18"</f>
        <v>18-18864  02/12/18 - 02/28/18</v>
      </c>
    </row>
    <row r="1344" spans="1:8" x14ac:dyDescent="0.25">
      <c r="E1344" t="str">
        <f>"201808082731"</f>
        <v>201808082731</v>
      </c>
      <c r="F1344" t="str">
        <f>"17-18615  02/08/18 - 02/28/18"</f>
        <v>17-18615  02/08/18 - 02/28/18</v>
      </c>
      <c r="G1344" s="2">
        <v>452.5</v>
      </c>
      <c r="H1344" t="str">
        <f>"17-18615  02/08/18 - 02/28/18"</f>
        <v>17-18615  02/08/18 - 02/28/18</v>
      </c>
    </row>
    <row r="1345" spans="1:9" x14ac:dyDescent="0.25">
      <c r="E1345" t="str">
        <f>"201808082732"</f>
        <v>201808082732</v>
      </c>
      <c r="F1345" t="str">
        <f>"AC-2017-1201A  01/09 - 06/21"</f>
        <v>AC-2017-1201A  01/09 - 06/21</v>
      </c>
      <c r="G1345" s="2">
        <v>250</v>
      </c>
      <c r="H1345" t="str">
        <f>"AC-2017-1201A  01/09 - 06/21"</f>
        <v>AC-2017-1201A  01/09 - 06/21</v>
      </c>
    </row>
    <row r="1346" spans="1:9" x14ac:dyDescent="0.25">
      <c r="E1346" t="str">
        <f>"201808082733"</f>
        <v>201808082733</v>
      </c>
      <c r="F1346" t="str">
        <f>"AC-2016-1101W"</f>
        <v>AC-2016-1101W</v>
      </c>
      <c r="G1346" s="2">
        <v>250</v>
      </c>
      <c r="H1346" t="str">
        <f>"AC-2016-1101W"</f>
        <v>AC-2016-1101W</v>
      </c>
    </row>
    <row r="1347" spans="1:9" x14ac:dyDescent="0.25">
      <c r="E1347" t="str">
        <f>"201808082751"</f>
        <v>201808082751</v>
      </c>
      <c r="F1347" t="str">
        <f>"17-18229  02/06-02/16"</f>
        <v>17-18229  02/06-02/16</v>
      </c>
      <c r="G1347" s="2">
        <v>153.75</v>
      </c>
      <c r="H1347" t="str">
        <f>"17-18229  02/06-02/16"</f>
        <v>17-18229  02/06-02/16</v>
      </c>
    </row>
    <row r="1348" spans="1:9" x14ac:dyDescent="0.25">
      <c r="E1348" t="str">
        <f>"201808082752"</f>
        <v>201808082752</v>
      </c>
      <c r="F1348" t="str">
        <f>"16-17944  02/09/18"</f>
        <v>16-17944  02/09/18</v>
      </c>
      <c r="G1348" s="2">
        <v>22.5</v>
      </c>
      <c r="H1348" t="str">
        <f>"16-17944  02/09/18"</f>
        <v>16-17944  02/09/18</v>
      </c>
    </row>
    <row r="1349" spans="1:9" x14ac:dyDescent="0.25">
      <c r="E1349" t="str">
        <f>"201808082753"</f>
        <v>201808082753</v>
      </c>
      <c r="F1349" t="str">
        <f>"17-18527  02/12-02/22"</f>
        <v>17-18527  02/12-02/22</v>
      </c>
      <c r="G1349" s="2">
        <v>217.5</v>
      </c>
      <c r="H1349" t="str">
        <f>"17-18527  02/12-02/22"</f>
        <v>17-18527  02/12-02/22</v>
      </c>
    </row>
    <row r="1350" spans="1:9" x14ac:dyDescent="0.25">
      <c r="A1350" t="s">
        <v>433</v>
      </c>
      <c r="B1350">
        <v>78339</v>
      </c>
      <c r="C1350" s="3">
        <v>164.9</v>
      </c>
      <c r="D1350" s="1">
        <v>43339</v>
      </c>
      <c r="E1350" t="str">
        <f>"240681"</f>
        <v>240681</v>
      </c>
      <c r="F1350" t="str">
        <f>"INV 240681"</f>
        <v>INV 240681</v>
      </c>
      <c r="G1350" s="2">
        <v>164.9</v>
      </c>
      <c r="H1350" t="str">
        <f>"INV 240681"</f>
        <v>INV 240681</v>
      </c>
    </row>
    <row r="1351" spans="1:9" x14ac:dyDescent="0.25">
      <c r="A1351" t="s">
        <v>434</v>
      </c>
      <c r="B1351">
        <v>78340</v>
      </c>
      <c r="C1351" s="3">
        <v>225</v>
      </c>
      <c r="D1351" s="1">
        <v>43339</v>
      </c>
      <c r="E1351" t="str">
        <f>"201808162927"</f>
        <v>201808162927</v>
      </c>
      <c r="F1351" t="str">
        <f>"FIRST CLASS PRESORT/PERMIT#46"</f>
        <v>FIRST CLASS PRESORT/PERMIT#46</v>
      </c>
      <c r="G1351" s="2">
        <v>225</v>
      </c>
      <c r="H1351" t="str">
        <f>"FIRST CLASS PRESORT/PERMIT#46"</f>
        <v>FIRST CLASS PRESORT/PERMIT#46</v>
      </c>
    </row>
    <row r="1352" spans="1:9" x14ac:dyDescent="0.25">
      <c r="A1352" t="s">
        <v>435</v>
      </c>
      <c r="B1352">
        <v>78341</v>
      </c>
      <c r="C1352" s="3">
        <v>75</v>
      </c>
      <c r="D1352" s="1">
        <v>43339</v>
      </c>
      <c r="E1352" t="str">
        <f>"12746"</f>
        <v>12746</v>
      </c>
      <c r="F1352" t="str">
        <f>"SERVICE  06/27/18"</f>
        <v>SERVICE  06/27/18</v>
      </c>
      <c r="G1352" s="2">
        <v>75</v>
      </c>
      <c r="H1352" t="str">
        <f>"SERVICE  06/27/18"</f>
        <v>SERVICE  06/27/18</v>
      </c>
    </row>
    <row r="1353" spans="1:9" x14ac:dyDescent="0.25">
      <c r="A1353" t="s">
        <v>436</v>
      </c>
      <c r="B1353">
        <v>78342</v>
      </c>
      <c r="C1353" s="3">
        <v>272.93</v>
      </c>
      <c r="D1353" s="1">
        <v>43339</v>
      </c>
      <c r="E1353" t="str">
        <f>"84370583"</f>
        <v>84370583</v>
      </c>
      <c r="F1353" t="str">
        <f>"CUST#71745122/ANIMAL CONTROL"</f>
        <v>CUST#71745122/ANIMAL CONTROL</v>
      </c>
      <c r="G1353" s="2">
        <v>272.93</v>
      </c>
    </row>
    <row r="1354" spans="1:9" x14ac:dyDescent="0.25">
      <c r="A1354" t="s">
        <v>436</v>
      </c>
      <c r="B1354">
        <v>78342</v>
      </c>
      <c r="C1354" s="3">
        <v>272.93</v>
      </c>
      <c r="D1354" s="1">
        <v>43339</v>
      </c>
      <c r="E1354" t="str">
        <f>"CHECK"</f>
        <v>CHECK</v>
      </c>
      <c r="F1354" t="str">
        <f>""</f>
        <v/>
      </c>
      <c r="G1354" s="2">
        <v>272.93</v>
      </c>
    </row>
    <row r="1355" spans="1:9" x14ac:dyDescent="0.25">
      <c r="A1355" t="s">
        <v>437</v>
      </c>
      <c r="B1355">
        <v>78072</v>
      </c>
      <c r="C1355" s="3">
        <v>50</v>
      </c>
      <c r="D1355" s="1">
        <v>43325</v>
      </c>
      <c r="E1355" t="s">
        <v>93</v>
      </c>
      <c r="F1355" t="s">
        <v>275</v>
      </c>
      <c r="G1355" s="2" t="str">
        <f>"RESTITUTION-C. FERRIS 06/20/17"</f>
        <v>RESTITUTION-C. FERRIS 06/20/17</v>
      </c>
      <c r="H1355" t="str">
        <f>"210-0000"</f>
        <v>210-0000</v>
      </c>
      <c r="I1355" t="str">
        <f>""</f>
        <v/>
      </c>
    </row>
    <row r="1356" spans="1:9" x14ac:dyDescent="0.25">
      <c r="A1356" t="s">
        <v>438</v>
      </c>
      <c r="B1356">
        <v>78073</v>
      </c>
      <c r="C1356" s="3">
        <v>1575</v>
      </c>
      <c r="D1356" s="1">
        <v>43325</v>
      </c>
      <c r="E1356" t="str">
        <f>"2018049"</f>
        <v>2018049</v>
      </c>
      <c r="F1356" t="str">
        <f>"TRANSPORT-S. SMITH"</f>
        <v>TRANSPORT-S. SMITH</v>
      </c>
      <c r="G1356" s="2">
        <v>535</v>
      </c>
      <c r="H1356" t="str">
        <f>"TRANSPORT-S. SMITH"</f>
        <v>TRANSPORT-S. SMITH</v>
      </c>
    </row>
    <row r="1357" spans="1:9" x14ac:dyDescent="0.25">
      <c r="E1357" t="str">
        <f>"2018070"</f>
        <v>2018070</v>
      </c>
      <c r="F1357" t="str">
        <f>"TRANSPORT-C. ARTAVIA"</f>
        <v>TRANSPORT-C. ARTAVIA</v>
      </c>
      <c r="G1357" s="2">
        <v>695</v>
      </c>
      <c r="H1357" t="str">
        <f>"TRANSPORT-C. ARTAVIA"</f>
        <v>TRANSPORT-C. ARTAVIA</v>
      </c>
    </row>
    <row r="1358" spans="1:9" x14ac:dyDescent="0.25">
      <c r="E1358" t="str">
        <f>"2018075"</f>
        <v>2018075</v>
      </c>
      <c r="F1358" t="str">
        <f>"TRANSPORT-C. DE LA PAZ"</f>
        <v>TRANSPORT-C. DE LA PAZ</v>
      </c>
      <c r="G1358" s="2">
        <v>345</v>
      </c>
      <c r="H1358" t="str">
        <f>"TRANSPORT-C. DE LA PAZ"</f>
        <v>TRANSPORT-C. DE LA PAZ</v>
      </c>
    </row>
    <row r="1359" spans="1:9" x14ac:dyDescent="0.25">
      <c r="A1359" t="s">
        <v>438</v>
      </c>
      <c r="B1359">
        <v>78343</v>
      </c>
      <c r="C1359" s="3">
        <v>495</v>
      </c>
      <c r="D1359" s="1">
        <v>43339</v>
      </c>
      <c r="E1359" t="str">
        <f>"2018085"</f>
        <v>2018085</v>
      </c>
      <c r="F1359" t="str">
        <f>"TRANSPORT-E.O. GARCIA"</f>
        <v>TRANSPORT-E.O. GARCIA</v>
      </c>
      <c r="G1359" s="2">
        <v>495</v>
      </c>
      <c r="H1359" t="str">
        <f>"TRANSPORT-E.O. GARCIA"</f>
        <v>TRANSPORT-E.O. GARCIA</v>
      </c>
    </row>
    <row r="1360" spans="1:9" x14ac:dyDescent="0.25">
      <c r="A1360" t="s">
        <v>439</v>
      </c>
      <c r="B1360">
        <v>78074</v>
      </c>
      <c r="C1360" s="3">
        <v>1300</v>
      </c>
      <c r="D1360" s="1">
        <v>43325</v>
      </c>
      <c r="E1360" t="str">
        <f>"201808082824"</f>
        <v>201808082824</v>
      </c>
      <c r="F1360" t="str">
        <f>"TRAINING"</f>
        <v>TRAINING</v>
      </c>
      <c r="G1360" s="2">
        <v>650</v>
      </c>
      <c r="H1360" t="str">
        <f>"TRAINING - B. GOMEZ"</f>
        <v>TRAINING - B. GOMEZ</v>
      </c>
    </row>
    <row r="1361" spans="1:8" x14ac:dyDescent="0.25">
      <c r="E1361" t="str">
        <f>""</f>
        <v/>
      </c>
      <c r="F1361" t="str">
        <f>""</f>
        <v/>
      </c>
      <c r="H1361" t="str">
        <f>"TRAINING - Z. CARTER"</f>
        <v>TRAINING - Z. CARTER</v>
      </c>
    </row>
    <row r="1362" spans="1:8" x14ac:dyDescent="0.25">
      <c r="E1362" t="str">
        <f>"231252"</f>
        <v>231252</v>
      </c>
      <c r="F1362" t="str">
        <f>"TRAINING - J. LEMOND"</f>
        <v>TRAINING - J. LEMOND</v>
      </c>
      <c r="G1362" s="2">
        <v>325</v>
      </c>
      <c r="H1362" t="str">
        <f>"TRAINING"</f>
        <v>TRAINING</v>
      </c>
    </row>
    <row r="1363" spans="1:8" x14ac:dyDescent="0.25">
      <c r="E1363" t="str">
        <f>"231640"</f>
        <v>231640</v>
      </c>
      <c r="F1363" t="str">
        <f>"TRAINING"</f>
        <v>TRAINING</v>
      </c>
      <c r="G1363" s="2">
        <v>325</v>
      </c>
      <c r="H1363" t="str">
        <f>"TRAINING"</f>
        <v>TRAINING</v>
      </c>
    </row>
    <row r="1364" spans="1:8" x14ac:dyDescent="0.25">
      <c r="A1364" t="s">
        <v>440</v>
      </c>
      <c r="B1364">
        <v>78075</v>
      </c>
      <c r="C1364" s="3">
        <v>1050</v>
      </c>
      <c r="D1364" s="1">
        <v>43325</v>
      </c>
      <c r="E1364" t="str">
        <f>"008411"</f>
        <v>008411</v>
      </c>
      <c r="F1364" t="str">
        <f>"R &amp; D BISHOP INC"</f>
        <v>R &amp; D BISHOP INC</v>
      </c>
      <c r="G1364" s="2">
        <v>1050</v>
      </c>
      <c r="H1364" t="str">
        <f>"DIESEL FUEL TANK"</f>
        <v>DIESEL FUEL TANK</v>
      </c>
    </row>
    <row r="1365" spans="1:8" x14ac:dyDescent="0.25">
      <c r="A1365" t="s">
        <v>441</v>
      </c>
      <c r="B1365">
        <v>999999</v>
      </c>
      <c r="C1365" s="3">
        <v>52</v>
      </c>
      <c r="D1365" s="1">
        <v>43326</v>
      </c>
      <c r="E1365" t="str">
        <f>"201807272407"</f>
        <v>201807272407</v>
      </c>
      <c r="F1365" t="str">
        <f>"REIMBURSE LATE FEE FOR PO BOX"</f>
        <v>REIMBURSE LATE FEE FOR PO BOX</v>
      </c>
      <c r="G1365" s="2">
        <v>22</v>
      </c>
      <c r="H1365" t="str">
        <f>"REIMBURSE LATE FEE FOR PO BOX"</f>
        <v>REIMBURSE LATE FEE FOR PO BOX</v>
      </c>
    </row>
    <row r="1366" spans="1:8" x14ac:dyDescent="0.25">
      <c r="E1366" t="str">
        <f>"201807272408"</f>
        <v>201807272408</v>
      </c>
      <c r="F1366" t="str">
        <f>"REIMBURSEMENT FOR GAS"</f>
        <v>REIMBURSEMENT FOR GAS</v>
      </c>
      <c r="G1366" s="2">
        <v>30</v>
      </c>
      <c r="H1366" t="str">
        <f>"REIMBURSEMENT FOR GAS"</f>
        <v>REIMBURSEMENT FOR GAS</v>
      </c>
    </row>
    <row r="1367" spans="1:8" x14ac:dyDescent="0.25">
      <c r="A1367" t="s">
        <v>441</v>
      </c>
      <c r="B1367">
        <v>999999</v>
      </c>
      <c r="C1367" s="3">
        <v>488.66</v>
      </c>
      <c r="D1367" s="1">
        <v>43340</v>
      </c>
      <c r="E1367" t="str">
        <f>"201808212960"</f>
        <v>201808212960</v>
      </c>
      <c r="F1367" t="str">
        <f>"REIMBURSE-MEALS/TRUCK WASH"</f>
        <v>REIMBURSE-MEALS/TRUCK WASH</v>
      </c>
      <c r="G1367" s="2">
        <v>53.4</v>
      </c>
      <c r="H1367" t="str">
        <f>"REIMBURSE-MEALS/TRUCK WASH"</f>
        <v>REIMBURSE-MEALS/TRUCK WASH</v>
      </c>
    </row>
    <row r="1368" spans="1:8" x14ac:dyDescent="0.25">
      <c r="E1368" t="str">
        <f>""</f>
        <v/>
      </c>
      <c r="F1368" t="str">
        <f>""</f>
        <v/>
      </c>
      <c r="H1368" t="str">
        <f>"REIMBURSE-MEALS/TRUCK WASH"</f>
        <v>REIMBURSE-MEALS/TRUCK WASH</v>
      </c>
    </row>
    <row r="1369" spans="1:8" x14ac:dyDescent="0.25">
      <c r="E1369" t="str">
        <f>"201808212962"</f>
        <v>201808212962</v>
      </c>
      <c r="F1369" t="str">
        <f>"CONF REGIST REIMBURSEMENT"</f>
        <v>CONF REGIST REIMBURSEMENT</v>
      </c>
      <c r="G1369" s="2">
        <v>115</v>
      </c>
      <c r="H1369" t="str">
        <f>"CONF REGIST REIMBURSEMENT"</f>
        <v>CONF REGIST REIMBURSEMENT</v>
      </c>
    </row>
    <row r="1370" spans="1:8" x14ac:dyDescent="0.25">
      <c r="E1370" t="str">
        <f>"201808212963"</f>
        <v>201808212963</v>
      </c>
      <c r="F1370" t="str">
        <f>"REIMBURSE MEALS/LODGING"</f>
        <v>REIMBURSE MEALS/LODGING</v>
      </c>
      <c r="G1370" s="2">
        <v>320.26</v>
      </c>
      <c r="H1370" t="str">
        <f>"REIMBURSE MEALS/LODGING"</f>
        <v>REIMBURSE MEALS/LODGING</v>
      </c>
    </row>
    <row r="1371" spans="1:8" x14ac:dyDescent="0.25">
      <c r="A1371" t="s">
        <v>442</v>
      </c>
      <c r="B1371">
        <v>999999</v>
      </c>
      <c r="C1371" s="3">
        <v>178.04</v>
      </c>
      <c r="D1371" s="1">
        <v>43340</v>
      </c>
      <c r="E1371" t="str">
        <f>"08H0121587851"</f>
        <v>08H0121587851</v>
      </c>
      <c r="F1371" t="str">
        <f>"ACCT#0121587851/PCT#4"</f>
        <v>ACCT#0121587851/PCT#4</v>
      </c>
      <c r="G1371" s="2">
        <v>146.11000000000001</v>
      </c>
      <c r="H1371" t="str">
        <f>"ACCT#0121587851/PCT#4"</f>
        <v>ACCT#0121587851/PCT#4</v>
      </c>
    </row>
    <row r="1372" spans="1:8" x14ac:dyDescent="0.25">
      <c r="E1372" t="str">
        <f>"18H0121569859"</f>
        <v>18H0121569859</v>
      </c>
      <c r="F1372" t="str">
        <f>"ACCT#0121569859/JP#4"</f>
        <v>ACCT#0121569859/JP#4</v>
      </c>
      <c r="G1372" s="2">
        <v>31.93</v>
      </c>
      <c r="H1372" t="str">
        <f>"ACCT#0121569859/JP#4"</f>
        <v>ACCT#0121569859/JP#4</v>
      </c>
    </row>
    <row r="1373" spans="1:8" x14ac:dyDescent="0.25">
      <c r="A1373" t="s">
        <v>443</v>
      </c>
      <c r="B1373">
        <v>78076</v>
      </c>
      <c r="C1373" s="3">
        <v>450</v>
      </c>
      <c r="D1373" s="1">
        <v>43325</v>
      </c>
      <c r="E1373" t="str">
        <f>"201808072713"</f>
        <v>201808072713</v>
      </c>
      <c r="F1373" t="str">
        <f>"VETERINARY SVCS-JULY 11  2018"</f>
        <v>VETERINARY SVCS-JULY 11  2018</v>
      </c>
      <c r="G1373" s="2">
        <v>450</v>
      </c>
      <c r="H1373" t="str">
        <f>"VETERINARY SVCS-JULY 11  2018"</f>
        <v>VETERINARY SVCS-JULY 11  2018</v>
      </c>
    </row>
    <row r="1374" spans="1:8" x14ac:dyDescent="0.25">
      <c r="A1374" t="s">
        <v>444</v>
      </c>
      <c r="B1374">
        <v>78344</v>
      </c>
      <c r="C1374" s="3">
        <v>954.87</v>
      </c>
      <c r="D1374" s="1">
        <v>43339</v>
      </c>
      <c r="E1374" t="str">
        <f>"20180810019610"</f>
        <v>20180810019610</v>
      </c>
      <c r="F1374" t="str">
        <f>"ACCT#19610/PCT#4"</f>
        <v>ACCT#19610/PCT#4</v>
      </c>
      <c r="G1374" s="2">
        <v>954.87</v>
      </c>
      <c r="H1374" t="str">
        <f>"ACCT#19610/PCT#4"</f>
        <v>ACCT#19610/PCT#4</v>
      </c>
    </row>
    <row r="1375" spans="1:8" x14ac:dyDescent="0.25">
      <c r="A1375" t="s">
        <v>445</v>
      </c>
      <c r="B1375">
        <v>78077</v>
      </c>
      <c r="C1375" s="3">
        <v>638.84</v>
      </c>
      <c r="D1375" s="1">
        <v>43325</v>
      </c>
      <c r="E1375" t="str">
        <f>"0843-001483274"</f>
        <v>0843-001483274</v>
      </c>
      <c r="F1375" t="str">
        <f>"ACCT#3-0843-1269216/ANIMAL CON"</f>
        <v>ACCT#3-0843-1269216/ANIMAL CON</v>
      </c>
      <c r="G1375" s="2">
        <v>638.84</v>
      </c>
      <c r="H1375" t="str">
        <f>"ACCT#3-0843-1269216/ANIMAL CON"</f>
        <v>ACCT#3-0843-1269216/ANIMAL CON</v>
      </c>
    </row>
    <row r="1376" spans="1:8" x14ac:dyDescent="0.25">
      <c r="A1376" t="s">
        <v>445</v>
      </c>
      <c r="B1376">
        <v>78414</v>
      </c>
      <c r="C1376" s="3">
        <v>4050.82</v>
      </c>
      <c r="D1376" s="1">
        <v>43343</v>
      </c>
      <c r="E1376" t="str">
        <f>"0843-001484522"</f>
        <v>0843-001484522</v>
      </c>
      <c r="F1376" t="str">
        <f>"ACCT#3-0843-0017094/07312018"</f>
        <v>ACCT#3-0843-0017094/07312018</v>
      </c>
      <c r="G1376" s="2">
        <v>4050.82</v>
      </c>
      <c r="H1376" t="str">
        <f>"ACCT#3-0843-0017094/07312018"</f>
        <v>ACCT#3-0843-0017094/07312018</v>
      </c>
    </row>
    <row r="1377" spans="1:8" x14ac:dyDescent="0.25">
      <c r="A1377" t="s">
        <v>446</v>
      </c>
      <c r="B1377">
        <v>78078</v>
      </c>
      <c r="C1377" s="3">
        <v>6693</v>
      </c>
      <c r="D1377" s="1">
        <v>43325</v>
      </c>
      <c r="E1377" t="str">
        <f>"201808082723"</f>
        <v>201808082723</v>
      </c>
      <c r="F1377" t="str">
        <f>"FIXING SPILL WAY/PCT#2"</f>
        <v>FIXING SPILL WAY/PCT#2</v>
      </c>
      <c r="G1377" s="2">
        <v>6693</v>
      </c>
      <c r="H1377" t="str">
        <f>"FIXING SPILL WAY/PCT#2"</f>
        <v>FIXING SPILL WAY/PCT#2</v>
      </c>
    </row>
    <row r="1378" spans="1:8" x14ac:dyDescent="0.25">
      <c r="A1378" t="s">
        <v>447</v>
      </c>
      <c r="B1378">
        <v>78345</v>
      </c>
      <c r="C1378" s="3">
        <v>9000</v>
      </c>
      <c r="D1378" s="1">
        <v>43339</v>
      </c>
      <c r="E1378" t="str">
        <f>"201808162925"</f>
        <v>201808162925</v>
      </c>
      <c r="F1378" t="str">
        <f>"ACCT#34549337/POSTAGE"</f>
        <v>ACCT#34549337/POSTAGE</v>
      </c>
      <c r="G1378" s="2">
        <v>9000</v>
      </c>
      <c r="H1378" t="str">
        <f>"ACCT#34549337/POSTAGE"</f>
        <v>ACCT#34549337/POSTAGE</v>
      </c>
    </row>
    <row r="1379" spans="1:8" x14ac:dyDescent="0.25">
      <c r="A1379" t="s">
        <v>448</v>
      </c>
      <c r="B1379">
        <v>999999</v>
      </c>
      <c r="C1379" s="3">
        <v>1107.9000000000001</v>
      </c>
      <c r="D1379" s="1">
        <v>43326</v>
      </c>
      <c r="E1379" t="str">
        <f>"201808082754"</f>
        <v>201808082754</v>
      </c>
      <c r="F1379" t="str">
        <f>"55 836  03/08-06/28"</f>
        <v>55 836  03/08-06/28</v>
      </c>
      <c r="G1379" s="2">
        <v>250</v>
      </c>
      <c r="H1379" t="str">
        <f>"55 836  03/08-06/28"</f>
        <v>55 836  03/08-06/28</v>
      </c>
    </row>
    <row r="1380" spans="1:8" x14ac:dyDescent="0.25">
      <c r="E1380" t="str">
        <f>"201808082755"</f>
        <v>201808082755</v>
      </c>
      <c r="F1380" t="str">
        <f>"53 865  09/11/17 -  07/19/18"</f>
        <v>53 865  09/11/17 -  07/19/18</v>
      </c>
      <c r="G1380" s="2">
        <v>250</v>
      </c>
      <c r="H1380" t="str">
        <f>"53 865  09/11/17 -  07/19/18"</f>
        <v>53 865  09/11/17 -  07/19/18</v>
      </c>
    </row>
    <row r="1381" spans="1:8" x14ac:dyDescent="0.25">
      <c r="E1381" t="str">
        <f>"201808082756"</f>
        <v>201808082756</v>
      </c>
      <c r="F1381" t="str">
        <f>"AC-2018-0617A"</f>
        <v>AC-2018-0617A</v>
      </c>
      <c r="G1381" s="2">
        <v>107.9</v>
      </c>
      <c r="H1381" t="str">
        <f>"AC-2018-0617A"</f>
        <v>AC-2018-0617A</v>
      </c>
    </row>
    <row r="1382" spans="1:8" x14ac:dyDescent="0.25">
      <c r="E1382" t="str">
        <f>"201808082757"</f>
        <v>201808082757</v>
      </c>
      <c r="F1382" t="str">
        <f>"20170016 20170016A 20170016B"</f>
        <v>20170016 20170016A 20170016B</v>
      </c>
      <c r="G1382" s="2">
        <v>500</v>
      </c>
      <c r="H1382" t="str">
        <f>"20170016 20170016A 20170016B"</f>
        <v>20170016 20170016A 20170016B</v>
      </c>
    </row>
    <row r="1383" spans="1:8" x14ac:dyDescent="0.25">
      <c r="A1383" t="s">
        <v>449</v>
      </c>
      <c r="B1383">
        <v>78079</v>
      </c>
      <c r="C1383" s="3">
        <v>12.32</v>
      </c>
      <c r="D1383" s="1">
        <v>43325</v>
      </c>
      <c r="E1383" t="str">
        <f>"79904"</f>
        <v>79904</v>
      </c>
      <c r="F1383" t="str">
        <f>"ACCT#3510/PCT#4"</f>
        <v>ACCT#3510/PCT#4</v>
      </c>
      <c r="G1383" s="2">
        <v>12.32</v>
      </c>
      <c r="H1383" t="str">
        <f>"ACCT#3510/PCT#4"</f>
        <v>ACCT#3510/PCT#4</v>
      </c>
    </row>
    <row r="1384" spans="1:8" x14ac:dyDescent="0.25">
      <c r="A1384" t="s">
        <v>450</v>
      </c>
      <c r="B1384">
        <v>78346</v>
      </c>
      <c r="C1384" s="3">
        <v>1900</v>
      </c>
      <c r="D1384" s="1">
        <v>43339</v>
      </c>
      <c r="E1384" t="str">
        <f>"201808152889"</f>
        <v>201808152889</v>
      </c>
      <c r="F1384" t="str">
        <f>"16 448"</f>
        <v>16 448</v>
      </c>
      <c r="G1384" s="2">
        <v>900</v>
      </c>
      <c r="H1384" t="str">
        <f>"16 448"</f>
        <v>16 448</v>
      </c>
    </row>
    <row r="1385" spans="1:8" x14ac:dyDescent="0.25">
      <c r="E1385" t="str">
        <f>"201808152890"</f>
        <v>201808152890</v>
      </c>
      <c r="F1385" t="str">
        <f>"16 019"</f>
        <v>16 019</v>
      </c>
      <c r="G1385" s="2">
        <v>1000</v>
      </c>
      <c r="H1385" t="str">
        <f>"16 019"</f>
        <v>16 019</v>
      </c>
    </row>
    <row r="1386" spans="1:8" x14ac:dyDescent="0.25">
      <c r="A1386" t="s">
        <v>451</v>
      </c>
      <c r="B1386">
        <v>78347</v>
      </c>
      <c r="C1386" s="3">
        <v>100</v>
      </c>
      <c r="D1386" s="1">
        <v>43339</v>
      </c>
      <c r="E1386" t="str">
        <f>"201808162928"</f>
        <v>201808162928</v>
      </c>
      <c r="F1386" t="str">
        <f>"REFUND FOR A PUBLIC NOTICE FEE"</f>
        <v>REFUND FOR A PUBLIC NOTICE FEE</v>
      </c>
      <c r="G1386" s="2">
        <v>100</v>
      </c>
      <c r="H1386" t="str">
        <f>"REFUND FOR A PUBLIC NOTICE FEE"</f>
        <v>REFUND FOR A PUBLIC NOTICE FEE</v>
      </c>
    </row>
    <row r="1387" spans="1:8" x14ac:dyDescent="0.25">
      <c r="A1387" t="s">
        <v>452</v>
      </c>
      <c r="B1387">
        <v>999999</v>
      </c>
      <c r="C1387" s="3">
        <v>1719.83</v>
      </c>
      <c r="D1387" s="1">
        <v>43340</v>
      </c>
      <c r="E1387" t="str">
        <f>"5053980824"</f>
        <v>5053980824</v>
      </c>
      <c r="F1387" t="str">
        <f>"CONTRACT#4457471"</f>
        <v>CONTRACT#4457471</v>
      </c>
      <c r="G1387" s="2">
        <v>1353.87</v>
      </c>
      <c r="H1387" t="str">
        <f t="shared" ref="H1387:H1405" si="4">"CONTRACT#4457471"</f>
        <v>CONTRACT#4457471</v>
      </c>
    </row>
    <row r="1388" spans="1:8" x14ac:dyDescent="0.25">
      <c r="E1388" t="str">
        <f>""</f>
        <v/>
      </c>
      <c r="F1388" t="str">
        <f>""</f>
        <v/>
      </c>
      <c r="H1388" t="str">
        <f t="shared" si="4"/>
        <v>CONTRACT#4457471</v>
      </c>
    </row>
    <row r="1389" spans="1:8" x14ac:dyDescent="0.25">
      <c r="E1389" t="str">
        <f>""</f>
        <v/>
      </c>
      <c r="F1389" t="str">
        <f>""</f>
        <v/>
      </c>
      <c r="H1389" t="str">
        <f t="shared" si="4"/>
        <v>CONTRACT#4457471</v>
      </c>
    </row>
    <row r="1390" spans="1:8" x14ac:dyDescent="0.25">
      <c r="E1390" t="str">
        <f>""</f>
        <v/>
      </c>
      <c r="F1390" t="str">
        <f>""</f>
        <v/>
      </c>
      <c r="H1390" t="str">
        <f t="shared" si="4"/>
        <v>CONTRACT#4457471</v>
      </c>
    </row>
    <row r="1391" spans="1:8" x14ac:dyDescent="0.25">
      <c r="E1391" t="str">
        <f>""</f>
        <v/>
      </c>
      <c r="F1391" t="str">
        <f>""</f>
        <v/>
      </c>
      <c r="H1391" t="str">
        <f t="shared" si="4"/>
        <v>CONTRACT#4457471</v>
      </c>
    </row>
    <row r="1392" spans="1:8" x14ac:dyDescent="0.25">
      <c r="E1392" t="str">
        <f>""</f>
        <v/>
      </c>
      <c r="F1392" t="str">
        <f>""</f>
        <v/>
      </c>
      <c r="H1392" t="str">
        <f t="shared" si="4"/>
        <v>CONTRACT#4457471</v>
      </c>
    </row>
    <row r="1393" spans="1:8" x14ac:dyDescent="0.25">
      <c r="E1393" t="str">
        <f>""</f>
        <v/>
      </c>
      <c r="F1393" t="str">
        <f>""</f>
        <v/>
      </c>
      <c r="H1393" t="str">
        <f t="shared" si="4"/>
        <v>CONTRACT#4457471</v>
      </c>
    </row>
    <row r="1394" spans="1:8" x14ac:dyDescent="0.25">
      <c r="E1394" t="str">
        <f>""</f>
        <v/>
      </c>
      <c r="F1394" t="str">
        <f>""</f>
        <v/>
      </c>
      <c r="H1394" t="str">
        <f t="shared" si="4"/>
        <v>CONTRACT#4457471</v>
      </c>
    </row>
    <row r="1395" spans="1:8" x14ac:dyDescent="0.25">
      <c r="E1395" t="str">
        <f>""</f>
        <v/>
      </c>
      <c r="F1395" t="str">
        <f>""</f>
        <v/>
      </c>
      <c r="H1395" t="str">
        <f t="shared" si="4"/>
        <v>CONTRACT#4457471</v>
      </c>
    </row>
    <row r="1396" spans="1:8" x14ac:dyDescent="0.25">
      <c r="E1396" t="str">
        <f>""</f>
        <v/>
      </c>
      <c r="F1396" t="str">
        <f>""</f>
        <v/>
      </c>
      <c r="H1396" t="str">
        <f t="shared" si="4"/>
        <v>CONTRACT#4457471</v>
      </c>
    </row>
    <row r="1397" spans="1:8" x14ac:dyDescent="0.25">
      <c r="E1397" t="str">
        <f>""</f>
        <v/>
      </c>
      <c r="F1397" t="str">
        <f>""</f>
        <v/>
      </c>
      <c r="H1397" t="str">
        <f t="shared" si="4"/>
        <v>CONTRACT#4457471</v>
      </c>
    </row>
    <row r="1398" spans="1:8" x14ac:dyDescent="0.25">
      <c r="E1398" t="str">
        <f>""</f>
        <v/>
      </c>
      <c r="F1398" t="str">
        <f>""</f>
        <v/>
      </c>
      <c r="H1398" t="str">
        <f t="shared" si="4"/>
        <v>CONTRACT#4457471</v>
      </c>
    </row>
    <row r="1399" spans="1:8" x14ac:dyDescent="0.25">
      <c r="E1399" t="str">
        <f>""</f>
        <v/>
      </c>
      <c r="F1399" t="str">
        <f>""</f>
        <v/>
      </c>
      <c r="H1399" t="str">
        <f t="shared" si="4"/>
        <v>CONTRACT#4457471</v>
      </c>
    </row>
    <row r="1400" spans="1:8" x14ac:dyDescent="0.25">
      <c r="E1400" t="str">
        <f>""</f>
        <v/>
      </c>
      <c r="F1400" t="str">
        <f>""</f>
        <v/>
      </c>
      <c r="H1400" t="str">
        <f t="shared" si="4"/>
        <v>CONTRACT#4457471</v>
      </c>
    </row>
    <row r="1401" spans="1:8" x14ac:dyDescent="0.25">
      <c r="E1401" t="str">
        <f>""</f>
        <v/>
      </c>
      <c r="F1401" t="str">
        <f>""</f>
        <v/>
      </c>
      <c r="H1401" t="str">
        <f t="shared" si="4"/>
        <v>CONTRACT#4457471</v>
      </c>
    </row>
    <row r="1402" spans="1:8" x14ac:dyDescent="0.25">
      <c r="E1402" t="str">
        <f>""</f>
        <v/>
      </c>
      <c r="F1402" t="str">
        <f>""</f>
        <v/>
      </c>
      <c r="H1402" t="str">
        <f t="shared" si="4"/>
        <v>CONTRACT#4457471</v>
      </c>
    </row>
    <row r="1403" spans="1:8" x14ac:dyDescent="0.25">
      <c r="E1403" t="str">
        <f>""</f>
        <v/>
      </c>
      <c r="F1403" t="str">
        <f>""</f>
        <v/>
      </c>
      <c r="H1403" t="str">
        <f t="shared" si="4"/>
        <v>CONTRACT#4457471</v>
      </c>
    </row>
    <row r="1404" spans="1:8" x14ac:dyDescent="0.25">
      <c r="E1404" t="str">
        <f>""</f>
        <v/>
      </c>
      <c r="F1404" t="str">
        <f>""</f>
        <v/>
      </c>
      <c r="H1404" t="str">
        <f t="shared" si="4"/>
        <v>CONTRACT#4457471</v>
      </c>
    </row>
    <row r="1405" spans="1:8" x14ac:dyDescent="0.25">
      <c r="E1405" t="str">
        <f>"5053980824 P2"</f>
        <v>5053980824 P2</v>
      </c>
      <c r="F1405" t="str">
        <f>"CONTRACT#4457471"</f>
        <v>CONTRACT#4457471</v>
      </c>
      <c r="G1405" s="2">
        <v>30.45</v>
      </c>
      <c r="H1405" t="str">
        <f t="shared" si="4"/>
        <v>CONTRACT#4457471</v>
      </c>
    </row>
    <row r="1406" spans="1:8" x14ac:dyDescent="0.25">
      <c r="E1406" t="str">
        <f>"5054071275"</f>
        <v>5054071275</v>
      </c>
      <c r="F1406" t="str">
        <f>"CONTRACT#4049322/CUST#12847097"</f>
        <v>CONTRACT#4049322/CUST#12847097</v>
      </c>
      <c r="G1406" s="2">
        <v>335.51</v>
      </c>
      <c r="H1406" t="str">
        <f>"CONTRACT#4049322/CUST#12847097"</f>
        <v>CONTRACT#4049322/CUST#12847097</v>
      </c>
    </row>
    <row r="1407" spans="1:8" x14ac:dyDescent="0.25">
      <c r="A1407" t="s">
        <v>453</v>
      </c>
      <c r="B1407">
        <v>78080</v>
      </c>
      <c r="C1407" s="3">
        <v>7517.62</v>
      </c>
      <c r="D1407" s="1">
        <v>43325</v>
      </c>
      <c r="E1407" t="str">
        <f>"31958151"</f>
        <v>31958151</v>
      </c>
      <c r="F1407" t="str">
        <f>"CUST#2000172616/COPIER"</f>
        <v>CUST#2000172616/COPIER</v>
      </c>
      <c r="G1407" s="2">
        <v>7517.62</v>
      </c>
      <c r="H1407" t="str">
        <f t="shared" ref="H1407:H1434" si="5">"CUST#2000172616/COPIER"</f>
        <v>CUST#2000172616/COPIER</v>
      </c>
    </row>
    <row r="1408" spans="1:8" x14ac:dyDescent="0.25">
      <c r="E1408" t="str">
        <f>""</f>
        <v/>
      </c>
      <c r="F1408" t="str">
        <f>""</f>
        <v/>
      </c>
      <c r="H1408" t="str">
        <f t="shared" si="5"/>
        <v>CUST#2000172616/COPIER</v>
      </c>
    </row>
    <row r="1409" spans="5:8" x14ac:dyDescent="0.25">
      <c r="E1409" t="str">
        <f>""</f>
        <v/>
      </c>
      <c r="F1409" t="str">
        <f>""</f>
        <v/>
      </c>
      <c r="H1409" t="str">
        <f t="shared" si="5"/>
        <v>CUST#2000172616/COPIER</v>
      </c>
    </row>
    <row r="1410" spans="5:8" x14ac:dyDescent="0.25">
      <c r="E1410" t="str">
        <f>""</f>
        <v/>
      </c>
      <c r="F1410" t="str">
        <f>""</f>
        <v/>
      </c>
      <c r="H1410" t="str">
        <f t="shared" si="5"/>
        <v>CUST#2000172616/COPIER</v>
      </c>
    </row>
    <row r="1411" spans="5:8" x14ac:dyDescent="0.25">
      <c r="E1411" t="str">
        <f>""</f>
        <v/>
      </c>
      <c r="F1411" t="str">
        <f>""</f>
        <v/>
      </c>
      <c r="H1411" t="str">
        <f t="shared" si="5"/>
        <v>CUST#2000172616/COPIER</v>
      </c>
    </row>
    <row r="1412" spans="5:8" x14ac:dyDescent="0.25">
      <c r="E1412" t="str">
        <f>""</f>
        <v/>
      </c>
      <c r="F1412" t="str">
        <f>""</f>
        <v/>
      </c>
      <c r="H1412" t="str">
        <f t="shared" si="5"/>
        <v>CUST#2000172616/COPIER</v>
      </c>
    </row>
    <row r="1413" spans="5:8" x14ac:dyDescent="0.25">
      <c r="E1413" t="str">
        <f>""</f>
        <v/>
      </c>
      <c r="F1413" t="str">
        <f>""</f>
        <v/>
      </c>
      <c r="H1413" t="str">
        <f t="shared" si="5"/>
        <v>CUST#2000172616/COPIER</v>
      </c>
    </row>
    <row r="1414" spans="5:8" x14ac:dyDescent="0.25">
      <c r="E1414" t="str">
        <f>""</f>
        <v/>
      </c>
      <c r="F1414" t="str">
        <f>""</f>
        <v/>
      </c>
      <c r="H1414" t="str">
        <f t="shared" si="5"/>
        <v>CUST#2000172616/COPIER</v>
      </c>
    </row>
    <row r="1415" spans="5:8" x14ac:dyDescent="0.25">
      <c r="E1415" t="str">
        <f>""</f>
        <v/>
      </c>
      <c r="F1415" t="str">
        <f>""</f>
        <v/>
      </c>
      <c r="H1415" t="str">
        <f t="shared" si="5"/>
        <v>CUST#2000172616/COPIER</v>
      </c>
    </row>
    <row r="1416" spans="5:8" x14ac:dyDescent="0.25">
      <c r="E1416" t="str">
        <f>""</f>
        <v/>
      </c>
      <c r="F1416" t="str">
        <f>""</f>
        <v/>
      </c>
      <c r="H1416" t="str">
        <f t="shared" si="5"/>
        <v>CUST#2000172616/COPIER</v>
      </c>
    </row>
    <row r="1417" spans="5:8" x14ac:dyDescent="0.25">
      <c r="E1417" t="str">
        <f>""</f>
        <v/>
      </c>
      <c r="F1417" t="str">
        <f>""</f>
        <v/>
      </c>
      <c r="H1417" t="str">
        <f t="shared" si="5"/>
        <v>CUST#2000172616/COPIER</v>
      </c>
    </row>
    <row r="1418" spans="5:8" x14ac:dyDescent="0.25">
      <c r="E1418" t="str">
        <f>""</f>
        <v/>
      </c>
      <c r="F1418" t="str">
        <f>""</f>
        <v/>
      </c>
      <c r="H1418" t="str">
        <f t="shared" si="5"/>
        <v>CUST#2000172616/COPIER</v>
      </c>
    </row>
    <row r="1419" spans="5:8" x14ac:dyDescent="0.25">
      <c r="E1419" t="str">
        <f>""</f>
        <v/>
      </c>
      <c r="F1419" t="str">
        <f>""</f>
        <v/>
      </c>
      <c r="H1419" t="str">
        <f t="shared" si="5"/>
        <v>CUST#2000172616/COPIER</v>
      </c>
    </row>
    <row r="1420" spans="5:8" x14ac:dyDescent="0.25">
      <c r="E1420" t="str">
        <f>""</f>
        <v/>
      </c>
      <c r="F1420" t="str">
        <f>""</f>
        <v/>
      </c>
      <c r="H1420" t="str">
        <f t="shared" si="5"/>
        <v>CUST#2000172616/COPIER</v>
      </c>
    </row>
    <row r="1421" spans="5:8" x14ac:dyDescent="0.25">
      <c r="E1421" t="str">
        <f>""</f>
        <v/>
      </c>
      <c r="F1421" t="str">
        <f>""</f>
        <v/>
      </c>
      <c r="H1421" t="str">
        <f t="shared" si="5"/>
        <v>CUST#2000172616/COPIER</v>
      </c>
    </row>
    <row r="1422" spans="5:8" x14ac:dyDescent="0.25">
      <c r="E1422" t="str">
        <f>""</f>
        <v/>
      </c>
      <c r="F1422" t="str">
        <f>""</f>
        <v/>
      </c>
      <c r="H1422" t="str">
        <f t="shared" si="5"/>
        <v>CUST#2000172616/COPIER</v>
      </c>
    </row>
    <row r="1423" spans="5:8" x14ac:dyDescent="0.25">
      <c r="E1423" t="str">
        <f>""</f>
        <v/>
      </c>
      <c r="F1423" t="str">
        <f>""</f>
        <v/>
      </c>
      <c r="H1423" t="str">
        <f t="shared" si="5"/>
        <v>CUST#2000172616/COPIER</v>
      </c>
    </row>
    <row r="1424" spans="5:8" x14ac:dyDescent="0.25">
      <c r="E1424" t="str">
        <f>""</f>
        <v/>
      </c>
      <c r="F1424" t="str">
        <f>""</f>
        <v/>
      </c>
      <c r="H1424" t="str">
        <f t="shared" si="5"/>
        <v>CUST#2000172616/COPIER</v>
      </c>
    </row>
    <row r="1425" spans="1:8" x14ac:dyDescent="0.25">
      <c r="E1425" t="str">
        <f>""</f>
        <v/>
      </c>
      <c r="F1425" t="str">
        <f>""</f>
        <v/>
      </c>
      <c r="H1425" t="str">
        <f t="shared" si="5"/>
        <v>CUST#2000172616/COPIER</v>
      </c>
    </row>
    <row r="1426" spans="1:8" x14ac:dyDescent="0.25">
      <c r="E1426" t="str">
        <f>""</f>
        <v/>
      </c>
      <c r="F1426" t="str">
        <f>""</f>
        <v/>
      </c>
      <c r="H1426" t="str">
        <f t="shared" si="5"/>
        <v>CUST#2000172616/COPIER</v>
      </c>
    </row>
    <row r="1427" spans="1:8" x14ac:dyDescent="0.25">
      <c r="E1427" t="str">
        <f>""</f>
        <v/>
      </c>
      <c r="F1427" t="str">
        <f>""</f>
        <v/>
      </c>
      <c r="H1427" t="str">
        <f t="shared" si="5"/>
        <v>CUST#2000172616/COPIER</v>
      </c>
    </row>
    <row r="1428" spans="1:8" x14ac:dyDescent="0.25">
      <c r="E1428" t="str">
        <f>""</f>
        <v/>
      </c>
      <c r="F1428" t="str">
        <f>""</f>
        <v/>
      </c>
      <c r="H1428" t="str">
        <f t="shared" si="5"/>
        <v>CUST#2000172616/COPIER</v>
      </c>
    </row>
    <row r="1429" spans="1:8" x14ac:dyDescent="0.25">
      <c r="E1429" t="str">
        <f>""</f>
        <v/>
      </c>
      <c r="F1429" t="str">
        <f>""</f>
        <v/>
      </c>
      <c r="H1429" t="str">
        <f t="shared" si="5"/>
        <v>CUST#2000172616/COPIER</v>
      </c>
    </row>
    <row r="1430" spans="1:8" x14ac:dyDescent="0.25">
      <c r="E1430" t="str">
        <f>""</f>
        <v/>
      </c>
      <c r="F1430" t="str">
        <f>""</f>
        <v/>
      </c>
      <c r="H1430" t="str">
        <f t="shared" si="5"/>
        <v>CUST#2000172616/COPIER</v>
      </c>
    </row>
    <row r="1431" spans="1:8" x14ac:dyDescent="0.25">
      <c r="E1431" t="str">
        <f>""</f>
        <v/>
      </c>
      <c r="F1431" t="str">
        <f>""</f>
        <v/>
      </c>
      <c r="H1431" t="str">
        <f t="shared" si="5"/>
        <v>CUST#2000172616/COPIER</v>
      </c>
    </row>
    <row r="1432" spans="1:8" x14ac:dyDescent="0.25">
      <c r="E1432" t="str">
        <f>""</f>
        <v/>
      </c>
      <c r="F1432" t="str">
        <f>""</f>
        <v/>
      </c>
      <c r="H1432" t="str">
        <f t="shared" si="5"/>
        <v>CUST#2000172616/COPIER</v>
      </c>
    </row>
    <row r="1433" spans="1:8" x14ac:dyDescent="0.25">
      <c r="E1433" t="str">
        <f>""</f>
        <v/>
      </c>
      <c r="F1433" t="str">
        <f>""</f>
        <v/>
      </c>
      <c r="H1433" t="str">
        <f t="shared" si="5"/>
        <v>CUST#2000172616/COPIER</v>
      </c>
    </row>
    <row r="1434" spans="1:8" x14ac:dyDescent="0.25">
      <c r="E1434" t="str">
        <f>""</f>
        <v/>
      </c>
      <c r="F1434" t="str">
        <f>""</f>
        <v/>
      </c>
      <c r="H1434" t="str">
        <f t="shared" si="5"/>
        <v>CUST#2000172616/COPIER</v>
      </c>
    </row>
    <row r="1435" spans="1:8" x14ac:dyDescent="0.25">
      <c r="A1435" t="s">
        <v>453</v>
      </c>
      <c r="B1435">
        <v>78348</v>
      </c>
      <c r="C1435" s="3">
        <v>7530.42</v>
      </c>
      <c r="D1435" s="1">
        <v>43339</v>
      </c>
      <c r="E1435" t="str">
        <f>"32232130"</f>
        <v>32232130</v>
      </c>
      <c r="F1435" t="str">
        <f>"CUST#2000172616"</f>
        <v>CUST#2000172616</v>
      </c>
      <c r="G1435" s="2">
        <v>7530.42</v>
      </c>
      <c r="H1435" t="str">
        <f t="shared" ref="H1435:H1462" si="6">"CUST#2000172616"</f>
        <v>CUST#2000172616</v>
      </c>
    </row>
    <row r="1436" spans="1:8" x14ac:dyDescent="0.25">
      <c r="E1436" t="str">
        <f>""</f>
        <v/>
      </c>
      <c r="F1436" t="str">
        <f>""</f>
        <v/>
      </c>
      <c r="H1436" t="str">
        <f t="shared" si="6"/>
        <v>CUST#2000172616</v>
      </c>
    </row>
    <row r="1437" spans="1:8" x14ac:dyDescent="0.25">
      <c r="E1437" t="str">
        <f>""</f>
        <v/>
      </c>
      <c r="F1437" t="str">
        <f>""</f>
        <v/>
      </c>
      <c r="H1437" t="str">
        <f t="shared" si="6"/>
        <v>CUST#2000172616</v>
      </c>
    </row>
    <row r="1438" spans="1:8" x14ac:dyDescent="0.25">
      <c r="E1438" t="str">
        <f>""</f>
        <v/>
      </c>
      <c r="F1438" t="str">
        <f>""</f>
        <v/>
      </c>
      <c r="H1438" t="str">
        <f t="shared" si="6"/>
        <v>CUST#2000172616</v>
      </c>
    </row>
    <row r="1439" spans="1:8" x14ac:dyDescent="0.25">
      <c r="E1439" t="str">
        <f>""</f>
        <v/>
      </c>
      <c r="F1439" t="str">
        <f>""</f>
        <v/>
      </c>
      <c r="H1439" t="str">
        <f t="shared" si="6"/>
        <v>CUST#2000172616</v>
      </c>
    </row>
    <row r="1440" spans="1:8" x14ac:dyDescent="0.25">
      <c r="E1440" t="str">
        <f>""</f>
        <v/>
      </c>
      <c r="F1440" t="str">
        <f>""</f>
        <v/>
      </c>
      <c r="H1440" t="str">
        <f t="shared" si="6"/>
        <v>CUST#2000172616</v>
      </c>
    </row>
    <row r="1441" spans="5:8" x14ac:dyDescent="0.25">
      <c r="E1441" t="str">
        <f>""</f>
        <v/>
      </c>
      <c r="F1441" t="str">
        <f>""</f>
        <v/>
      </c>
      <c r="H1441" t="str">
        <f t="shared" si="6"/>
        <v>CUST#2000172616</v>
      </c>
    </row>
    <row r="1442" spans="5:8" x14ac:dyDescent="0.25">
      <c r="E1442" t="str">
        <f>""</f>
        <v/>
      </c>
      <c r="F1442" t="str">
        <f>""</f>
        <v/>
      </c>
      <c r="H1442" t="str">
        <f t="shared" si="6"/>
        <v>CUST#2000172616</v>
      </c>
    </row>
    <row r="1443" spans="5:8" x14ac:dyDescent="0.25">
      <c r="E1443" t="str">
        <f>""</f>
        <v/>
      </c>
      <c r="F1443" t="str">
        <f>""</f>
        <v/>
      </c>
      <c r="H1443" t="str">
        <f t="shared" si="6"/>
        <v>CUST#2000172616</v>
      </c>
    </row>
    <row r="1444" spans="5:8" x14ac:dyDescent="0.25">
      <c r="E1444" t="str">
        <f>""</f>
        <v/>
      </c>
      <c r="F1444" t="str">
        <f>""</f>
        <v/>
      </c>
      <c r="H1444" t="str">
        <f t="shared" si="6"/>
        <v>CUST#2000172616</v>
      </c>
    </row>
    <row r="1445" spans="5:8" x14ac:dyDescent="0.25">
      <c r="E1445" t="str">
        <f>""</f>
        <v/>
      </c>
      <c r="F1445" t="str">
        <f>""</f>
        <v/>
      </c>
      <c r="H1445" t="str">
        <f t="shared" si="6"/>
        <v>CUST#2000172616</v>
      </c>
    </row>
    <row r="1446" spans="5:8" x14ac:dyDescent="0.25">
      <c r="E1446" t="str">
        <f>""</f>
        <v/>
      </c>
      <c r="F1446" t="str">
        <f>""</f>
        <v/>
      </c>
      <c r="H1446" t="str">
        <f t="shared" si="6"/>
        <v>CUST#2000172616</v>
      </c>
    </row>
    <row r="1447" spans="5:8" x14ac:dyDescent="0.25">
      <c r="E1447" t="str">
        <f>""</f>
        <v/>
      </c>
      <c r="F1447" t="str">
        <f>""</f>
        <v/>
      </c>
      <c r="H1447" t="str">
        <f t="shared" si="6"/>
        <v>CUST#2000172616</v>
      </c>
    </row>
    <row r="1448" spans="5:8" x14ac:dyDescent="0.25">
      <c r="E1448" t="str">
        <f>""</f>
        <v/>
      </c>
      <c r="F1448" t="str">
        <f>""</f>
        <v/>
      </c>
      <c r="H1448" t="str">
        <f t="shared" si="6"/>
        <v>CUST#2000172616</v>
      </c>
    </row>
    <row r="1449" spans="5:8" x14ac:dyDescent="0.25">
      <c r="E1449" t="str">
        <f>""</f>
        <v/>
      </c>
      <c r="F1449" t="str">
        <f>""</f>
        <v/>
      </c>
      <c r="H1449" t="str">
        <f t="shared" si="6"/>
        <v>CUST#2000172616</v>
      </c>
    </row>
    <row r="1450" spans="5:8" x14ac:dyDescent="0.25">
      <c r="E1450" t="str">
        <f>""</f>
        <v/>
      </c>
      <c r="F1450" t="str">
        <f>""</f>
        <v/>
      </c>
      <c r="H1450" t="str">
        <f t="shared" si="6"/>
        <v>CUST#2000172616</v>
      </c>
    </row>
    <row r="1451" spans="5:8" x14ac:dyDescent="0.25">
      <c r="E1451" t="str">
        <f>""</f>
        <v/>
      </c>
      <c r="F1451" t="str">
        <f>""</f>
        <v/>
      </c>
      <c r="H1451" t="str">
        <f t="shared" si="6"/>
        <v>CUST#2000172616</v>
      </c>
    </row>
    <row r="1452" spans="5:8" x14ac:dyDescent="0.25">
      <c r="E1452" t="str">
        <f>""</f>
        <v/>
      </c>
      <c r="F1452" t="str">
        <f>""</f>
        <v/>
      </c>
      <c r="H1452" t="str">
        <f t="shared" si="6"/>
        <v>CUST#2000172616</v>
      </c>
    </row>
    <row r="1453" spans="5:8" x14ac:dyDescent="0.25">
      <c r="E1453" t="str">
        <f>""</f>
        <v/>
      </c>
      <c r="F1453" t="str">
        <f>""</f>
        <v/>
      </c>
      <c r="H1453" t="str">
        <f t="shared" si="6"/>
        <v>CUST#2000172616</v>
      </c>
    </row>
    <row r="1454" spans="5:8" x14ac:dyDescent="0.25">
      <c r="E1454" t="str">
        <f>""</f>
        <v/>
      </c>
      <c r="F1454" t="str">
        <f>""</f>
        <v/>
      </c>
      <c r="H1454" t="str">
        <f t="shared" si="6"/>
        <v>CUST#2000172616</v>
      </c>
    </row>
    <row r="1455" spans="5:8" x14ac:dyDescent="0.25">
      <c r="E1455" t="str">
        <f>""</f>
        <v/>
      </c>
      <c r="F1455" t="str">
        <f>""</f>
        <v/>
      </c>
      <c r="H1455" t="str">
        <f t="shared" si="6"/>
        <v>CUST#2000172616</v>
      </c>
    </row>
    <row r="1456" spans="5:8" x14ac:dyDescent="0.25">
      <c r="E1456" t="str">
        <f>""</f>
        <v/>
      </c>
      <c r="F1456" t="str">
        <f>""</f>
        <v/>
      </c>
      <c r="H1456" t="str">
        <f t="shared" si="6"/>
        <v>CUST#2000172616</v>
      </c>
    </row>
    <row r="1457" spans="1:8" x14ac:dyDescent="0.25">
      <c r="E1457" t="str">
        <f>""</f>
        <v/>
      </c>
      <c r="F1457" t="str">
        <f>""</f>
        <v/>
      </c>
      <c r="H1457" t="str">
        <f t="shared" si="6"/>
        <v>CUST#2000172616</v>
      </c>
    </row>
    <row r="1458" spans="1:8" x14ac:dyDescent="0.25">
      <c r="E1458" t="str">
        <f>""</f>
        <v/>
      </c>
      <c r="F1458" t="str">
        <f>""</f>
        <v/>
      </c>
      <c r="H1458" t="str">
        <f t="shared" si="6"/>
        <v>CUST#2000172616</v>
      </c>
    </row>
    <row r="1459" spans="1:8" x14ac:dyDescent="0.25">
      <c r="E1459" t="str">
        <f>""</f>
        <v/>
      </c>
      <c r="F1459" t="str">
        <f>""</f>
        <v/>
      </c>
      <c r="H1459" t="str">
        <f t="shared" si="6"/>
        <v>CUST#2000172616</v>
      </c>
    </row>
    <row r="1460" spans="1:8" x14ac:dyDescent="0.25">
      <c r="E1460" t="str">
        <f>""</f>
        <v/>
      </c>
      <c r="F1460" t="str">
        <f>""</f>
        <v/>
      </c>
      <c r="H1460" t="str">
        <f t="shared" si="6"/>
        <v>CUST#2000172616</v>
      </c>
    </row>
    <row r="1461" spans="1:8" x14ac:dyDescent="0.25">
      <c r="E1461" t="str">
        <f>""</f>
        <v/>
      </c>
      <c r="F1461" t="str">
        <f>""</f>
        <v/>
      </c>
      <c r="H1461" t="str">
        <f t="shared" si="6"/>
        <v>CUST#2000172616</v>
      </c>
    </row>
    <row r="1462" spans="1:8" x14ac:dyDescent="0.25">
      <c r="E1462" t="str">
        <f>""</f>
        <v/>
      </c>
      <c r="F1462" t="str">
        <f>""</f>
        <v/>
      </c>
      <c r="H1462" t="str">
        <f t="shared" si="6"/>
        <v>CUST#2000172616</v>
      </c>
    </row>
    <row r="1463" spans="1:8" x14ac:dyDescent="0.25">
      <c r="A1463" t="s">
        <v>454</v>
      </c>
      <c r="B1463">
        <v>78081</v>
      </c>
      <c r="C1463" s="3">
        <v>60</v>
      </c>
      <c r="D1463" s="1">
        <v>43325</v>
      </c>
      <c r="E1463" t="str">
        <f>"0990"</f>
        <v>0990</v>
      </c>
      <c r="F1463" t="str">
        <f>"BALANCE/PCT#2"</f>
        <v>BALANCE/PCT#2</v>
      </c>
      <c r="G1463" s="2">
        <v>60</v>
      </c>
      <c r="H1463" t="str">
        <f>"BALANCE/PCT#2"</f>
        <v>BALANCE/PCT#2</v>
      </c>
    </row>
    <row r="1464" spans="1:8" x14ac:dyDescent="0.25">
      <c r="A1464" t="s">
        <v>454</v>
      </c>
      <c r="B1464">
        <v>78349</v>
      </c>
      <c r="C1464" s="3">
        <v>212</v>
      </c>
      <c r="D1464" s="1">
        <v>43339</v>
      </c>
      <c r="E1464" t="str">
        <f>"1131"</f>
        <v>1131</v>
      </c>
      <c r="F1464" t="str">
        <f>"TIRES/PCT#2"</f>
        <v>TIRES/PCT#2</v>
      </c>
      <c r="G1464" s="2">
        <v>212</v>
      </c>
      <c r="H1464" t="str">
        <f>"TIRES/PCT#2"</f>
        <v>TIRES/PCT#2</v>
      </c>
    </row>
    <row r="1465" spans="1:8" x14ac:dyDescent="0.25">
      <c r="A1465" t="s">
        <v>455</v>
      </c>
      <c r="B1465">
        <v>999999</v>
      </c>
      <c r="C1465" s="3">
        <v>412</v>
      </c>
      <c r="D1465" s="1">
        <v>43326</v>
      </c>
      <c r="E1465" t="str">
        <f>"I012205"</f>
        <v>I012205</v>
      </c>
      <c r="F1465" t="str">
        <f>"ADHESIVE/PCT#3"</f>
        <v>ADHESIVE/PCT#3</v>
      </c>
      <c r="G1465" s="2">
        <v>37.5</v>
      </c>
      <c r="H1465" t="str">
        <f>"ADHESIVE/PCT#3"</f>
        <v>ADHESIVE/PCT#3</v>
      </c>
    </row>
    <row r="1466" spans="1:8" x14ac:dyDescent="0.25">
      <c r="E1466" t="str">
        <f>"I012244"</f>
        <v>I012244</v>
      </c>
      <c r="F1466" t="str">
        <f>"INV I012244 / UNIT 6539"</f>
        <v>INV I012244 / UNIT 6539</v>
      </c>
      <c r="G1466" s="2">
        <v>374.5</v>
      </c>
      <c r="H1466" t="str">
        <f>"INV I012244 / UNIT 6539"</f>
        <v>INV I012244 / UNIT 6539</v>
      </c>
    </row>
    <row r="1467" spans="1:8" x14ac:dyDescent="0.25">
      <c r="A1467" t="s">
        <v>456</v>
      </c>
      <c r="B1467">
        <v>999999</v>
      </c>
      <c r="C1467" s="3">
        <v>900</v>
      </c>
      <c r="D1467" s="1">
        <v>43326</v>
      </c>
      <c r="E1467" t="str">
        <f>"BCSOJUL18"</f>
        <v>BCSOJUL18</v>
      </c>
      <c r="F1467" t="str">
        <f>"INV BCSOJUL18"</f>
        <v>INV BCSOJUL18</v>
      </c>
      <c r="G1467" s="2">
        <v>900</v>
      </c>
      <c r="H1467" t="str">
        <f>"INV BCSOJUL18"</f>
        <v>INV BCSOJUL18</v>
      </c>
    </row>
    <row r="1468" spans="1:8" x14ac:dyDescent="0.25">
      <c r="A1468" t="s">
        <v>457</v>
      </c>
      <c r="B1468">
        <v>78082</v>
      </c>
      <c r="C1468" s="3">
        <v>70</v>
      </c>
      <c r="D1468" s="1">
        <v>43325</v>
      </c>
      <c r="E1468" t="str">
        <f>"201808082814"</f>
        <v>201808082814</v>
      </c>
      <c r="F1468" t="str">
        <f>"PER DIEM"</f>
        <v>PER DIEM</v>
      </c>
      <c r="G1468" s="2">
        <v>70</v>
      </c>
      <c r="H1468" t="str">
        <f>"PER DIEM"</f>
        <v>PER DIEM</v>
      </c>
    </row>
    <row r="1469" spans="1:8" x14ac:dyDescent="0.25">
      <c r="A1469" t="s">
        <v>458</v>
      </c>
      <c r="B1469">
        <v>78083</v>
      </c>
      <c r="C1469" s="3">
        <v>163.97</v>
      </c>
      <c r="D1469" s="1">
        <v>43325</v>
      </c>
      <c r="E1469" t="str">
        <f>"4350021"</f>
        <v>4350021</v>
      </c>
      <c r="F1469" t="str">
        <f>"INV 4350021"</f>
        <v>INV 4350021</v>
      </c>
      <c r="G1469" s="2">
        <v>109.59</v>
      </c>
      <c r="H1469" t="str">
        <f>"INV 4350021"</f>
        <v>INV 4350021</v>
      </c>
    </row>
    <row r="1470" spans="1:8" x14ac:dyDescent="0.25">
      <c r="E1470" t="str">
        <f>"4367170"</f>
        <v>4367170</v>
      </c>
      <c r="F1470" t="str">
        <f>"INV 4367170"</f>
        <v>INV 4367170</v>
      </c>
      <c r="G1470" s="2">
        <v>54.38</v>
      </c>
      <c r="H1470" t="str">
        <f>"INV 4367170"</f>
        <v>INV 4367170</v>
      </c>
    </row>
    <row r="1471" spans="1:8" x14ac:dyDescent="0.25">
      <c r="A1471" t="s">
        <v>458</v>
      </c>
      <c r="B1471">
        <v>78350</v>
      </c>
      <c r="C1471" s="3">
        <v>388.38</v>
      </c>
      <c r="D1471" s="1">
        <v>43339</v>
      </c>
      <c r="E1471" t="str">
        <f>"4376805"</f>
        <v>4376805</v>
      </c>
      <c r="F1471" t="str">
        <f>"INV 4376805"</f>
        <v>INV 4376805</v>
      </c>
      <c r="G1471" s="2">
        <v>388.38</v>
      </c>
      <c r="H1471" t="str">
        <f>"INV 4376805"</f>
        <v>INV 4376805</v>
      </c>
    </row>
    <row r="1472" spans="1:8" x14ac:dyDescent="0.25">
      <c r="A1472" t="s">
        <v>459</v>
      </c>
      <c r="B1472">
        <v>78351</v>
      </c>
      <c r="C1472" s="3">
        <v>115</v>
      </c>
      <c r="D1472" s="1">
        <v>43339</v>
      </c>
      <c r="E1472" t="str">
        <f>"180705-2"</f>
        <v>180705-2</v>
      </c>
      <c r="F1472" t="str">
        <f>"BCSO COMMUNICATION SHIRTS"</f>
        <v>BCSO COMMUNICATION SHIRTS</v>
      </c>
      <c r="G1472" s="2">
        <v>115</v>
      </c>
      <c r="H1472" t="str">
        <f>"BCSO COMMUNICATION SHIRTS"</f>
        <v>BCSO COMMUNICATION SHIRTS</v>
      </c>
    </row>
    <row r="1473" spans="1:8" x14ac:dyDescent="0.25">
      <c r="A1473" t="s">
        <v>460</v>
      </c>
      <c r="B1473">
        <v>999999</v>
      </c>
      <c r="C1473" s="3">
        <v>10250</v>
      </c>
      <c r="D1473" s="1">
        <v>43326</v>
      </c>
      <c r="E1473" t="str">
        <f>"1201828"</f>
        <v>1201828</v>
      </c>
      <c r="F1473" t="str">
        <f>"IT SERVICES/07/02-0715"</f>
        <v>IT SERVICES/07/02-0715</v>
      </c>
      <c r="G1473" s="2">
        <v>4000</v>
      </c>
      <c r="H1473" t="str">
        <f>"IT SERVICES/07/02-0715"</f>
        <v>IT SERVICES/07/02-0715</v>
      </c>
    </row>
    <row r="1474" spans="1:8" x14ac:dyDescent="0.25">
      <c r="E1474" t="str">
        <f>"1201829"</f>
        <v>1201829</v>
      </c>
      <c r="F1474" t="str">
        <f>"IT SERVICES 07/02-07/08"</f>
        <v>IT SERVICES 07/02-07/08</v>
      </c>
      <c r="G1474" s="2">
        <v>1875</v>
      </c>
      <c r="H1474" t="str">
        <f>"IT SERVICES 07/02-07/08"</f>
        <v>IT SERVICES 07/02-07/08</v>
      </c>
    </row>
    <row r="1475" spans="1:8" x14ac:dyDescent="0.25">
      <c r="E1475" t="str">
        <f>"1201830"</f>
        <v>1201830</v>
      </c>
      <c r="F1475" t="str">
        <f>"IT SERVICES JULY 23-29"</f>
        <v>IT SERVICES JULY 23-29</v>
      </c>
      <c r="G1475" s="2">
        <v>2500</v>
      </c>
      <c r="H1475" t="str">
        <f>"IT SERVICES"</f>
        <v>IT SERVICES</v>
      </c>
    </row>
    <row r="1476" spans="1:8" x14ac:dyDescent="0.25">
      <c r="E1476" t="str">
        <f>"1201831"</f>
        <v>1201831</v>
      </c>
      <c r="F1476" t="str">
        <f>"IT SVCS JULY 30-AUG 6"</f>
        <v>IT SVCS JULY 30-AUG 6</v>
      </c>
      <c r="G1476" s="2">
        <v>1875</v>
      </c>
      <c r="H1476" t="str">
        <f>"IT SVCS JULY 30-AUG 6"</f>
        <v>IT SVCS JULY 30-AUG 6</v>
      </c>
    </row>
    <row r="1477" spans="1:8" x14ac:dyDescent="0.25">
      <c r="A1477" t="s">
        <v>460</v>
      </c>
      <c r="B1477">
        <v>999999</v>
      </c>
      <c r="C1477" s="3">
        <v>4750</v>
      </c>
      <c r="D1477" s="1">
        <v>43340</v>
      </c>
      <c r="E1477" t="str">
        <f>"1201833"</f>
        <v>1201833</v>
      </c>
      <c r="F1477" t="str">
        <f>"IT SVCS 08/06-08-19"</f>
        <v>IT SVCS 08/06-08-19</v>
      </c>
      <c r="G1477" s="2">
        <v>4750</v>
      </c>
      <c r="H1477" t="str">
        <f>"IT SVCS 08/06-08-19"</f>
        <v>IT SVCS 08/06-08-19</v>
      </c>
    </row>
    <row r="1478" spans="1:8" x14ac:dyDescent="0.25">
      <c r="A1478" t="s">
        <v>461</v>
      </c>
      <c r="B1478">
        <v>78084</v>
      </c>
      <c r="C1478" s="3">
        <v>58</v>
      </c>
      <c r="D1478" s="1">
        <v>43325</v>
      </c>
      <c r="E1478" t="str">
        <f>"201808062620"</f>
        <v>201808062620</v>
      </c>
      <c r="F1478" t="str">
        <f>"LPHCP RECORDING FEES"</f>
        <v>LPHCP RECORDING FEES</v>
      </c>
      <c r="G1478" s="2">
        <v>58</v>
      </c>
      <c r="H1478" t="str">
        <f>"LPHCP RECORDING FEES"</f>
        <v>LPHCP RECORDING FEES</v>
      </c>
    </row>
    <row r="1479" spans="1:8" x14ac:dyDescent="0.25">
      <c r="A1479" t="s">
        <v>461</v>
      </c>
      <c r="B1479">
        <v>78085</v>
      </c>
      <c r="C1479" s="3">
        <v>244</v>
      </c>
      <c r="D1479" s="1">
        <v>43325</v>
      </c>
      <c r="E1479" t="str">
        <f>"201808072712"</f>
        <v>201808072712</v>
      </c>
      <c r="F1479" t="str">
        <f>"DEVELOPMENT SVCS RECORDING FEE"</f>
        <v>DEVELOPMENT SVCS RECORDING FEE</v>
      </c>
      <c r="G1479" s="2">
        <v>244</v>
      </c>
      <c r="H1479" t="str">
        <f>"DEVELOPMENT SVCS RECORDING FEE"</f>
        <v>DEVELOPMENT SVCS RECORDING FEE</v>
      </c>
    </row>
    <row r="1480" spans="1:8" x14ac:dyDescent="0.25">
      <c r="A1480" t="s">
        <v>461</v>
      </c>
      <c r="B1480">
        <v>78352</v>
      </c>
      <c r="C1480" s="3">
        <v>184</v>
      </c>
      <c r="D1480" s="1">
        <v>43339</v>
      </c>
      <c r="E1480" t="str">
        <f>"201808223009"</f>
        <v>201808223009</v>
      </c>
      <c r="F1480" t="str">
        <f>"LPHCP RECORDING FEES"</f>
        <v>LPHCP RECORDING FEES</v>
      </c>
      <c r="G1480" s="2">
        <v>184</v>
      </c>
      <c r="H1480" t="str">
        <f>"LPHCP RECORDING FEES"</f>
        <v>LPHCP RECORDING FEES</v>
      </c>
    </row>
    <row r="1481" spans="1:8" x14ac:dyDescent="0.25">
      <c r="A1481" t="s">
        <v>461</v>
      </c>
      <c r="B1481">
        <v>78353</v>
      </c>
      <c r="C1481" s="3">
        <v>122</v>
      </c>
      <c r="D1481" s="1">
        <v>43339</v>
      </c>
      <c r="E1481" t="str">
        <f>"201808243100"</f>
        <v>201808243100</v>
      </c>
      <c r="F1481" t="str">
        <f>"DEVELOPMENT SVCS RECORDING FEE"</f>
        <v>DEVELOPMENT SVCS RECORDING FEE</v>
      </c>
      <c r="G1481" s="2">
        <v>122</v>
      </c>
      <c r="H1481" t="str">
        <f>"DEVELOPMENT SVCS RECORDING FEE"</f>
        <v>DEVELOPMENT SVCS RECORDING FEE</v>
      </c>
    </row>
    <row r="1482" spans="1:8" x14ac:dyDescent="0.25">
      <c r="A1482" t="s">
        <v>462</v>
      </c>
      <c r="B1482">
        <v>78086</v>
      </c>
      <c r="C1482" s="3">
        <v>27.5</v>
      </c>
      <c r="D1482" s="1">
        <v>43325</v>
      </c>
      <c r="E1482" t="str">
        <f>"3011465083"</f>
        <v>3011465083</v>
      </c>
      <c r="F1482" t="str">
        <f>"CUST#109334/PCT#3"</f>
        <v>CUST#109334/PCT#3</v>
      </c>
      <c r="G1482" s="2">
        <v>27.5</v>
      </c>
      <c r="H1482" t="str">
        <f>"CUST#109334/PCT#3"</f>
        <v>CUST#109334/PCT#3</v>
      </c>
    </row>
    <row r="1483" spans="1:8" x14ac:dyDescent="0.25">
      <c r="A1483" t="s">
        <v>463</v>
      </c>
      <c r="B1483">
        <v>78087</v>
      </c>
      <c r="C1483" s="3">
        <v>35</v>
      </c>
      <c r="D1483" s="1">
        <v>43325</v>
      </c>
      <c r="E1483" t="str">
        <f>"201808082816"</f>
        <v>201808082816</v>
      </c>
      <c r="F1483" t="str">
        <f>"PER DIEM"</f>
        <v>PER DIEM</v>
      </c>
      <c r="G1483" s="2">
        <v>35</v>
      </c>
      <c r="H1483" t="str">
        <f>"PER DIEM"</f>
        <v>PER DIEM</v>
      </c>
    </row>
    <row r="1484" spans="1:8" x14ac:dyDescent="0.25">
      <c r="A1484" t="s">
        <v>464</v>
      </c>
      <c r="B1484">
        <v>78174</v>
      </c>
      <c r="C1484" s="3">
        <v>500</v>
      </c>
      <c r="D1484" s="1">
        <v>43329</v>
      </c>
      <c r="E1484" t="str">
        <f>"201808172950"</f>
        <v>201808172950</v>
      </c>
      <c r="F1484" t="str">
        <f>"UNIT PRICE ESTIMATE"</f>
        <v>UNIT PRICE ESTIMATE</v>
      </c>
      <c r="G1484" s="2">
        <v>500</v>
      </c>
      <c r="H1484" t="str">
        <f>"UNIT PRICE ESTIMATE"</f>
        <v>UNIT PRICE ESTIMATE</v>
      </c>
    </row>
    <row r="1485" spans="1:8" x14ac:dyDescent="0.25">
      <c r="A1485" t="s">
        <v>465</v>
      </c>
      <c r="B1485">
        <v>78088</v>
      </c>
      <c r="C1485" s="3">
        <v>327.93</v>
      </c>
      <c r="D1485" s="1">
        <v>43325</v>
      </c>
      <c r="E1485" t="str">
        <f>"04559-028100"</f>
        <v>04559-028100</v>
      </c>
      <c r="F1485" t="str">
        <f>"Inv# 04559-028100"</f>
        <v>Inv# 04559-028100</v>
      </c>
      <c r="G1485" s="2">
        <v>327.93</v>
      </c>
      <c r="H1485" t="str">
        <f>"Inv# 04559-028100"</f>
        <v>Inv# 04559-028100</v>
      </c>
    </row>
    <row r="1486" spans="1:8" x14ac:dyDescent="0.25">
      <c r="A1486" t="s">
        <v>466</v>
      </c>
      <c r="B1486">
        <v>78089</v>
      </c>
      <c r="C1486" s="3">
        <v>853</v>
      </c>
      <c r="D1486" s="1">
        <v>43325</v>
      </c>
      <c r="E1486" t="str">
        <f>"201808082848"</f>
        <v>201808082848</v>
      </c>
      <c r="F1486" t="str">
        <f>"SANE EXAM-CASE#18-S-00935 2/20"</f>
        <v>SANE EXAM-CASE#18-S-00935 2/20</v>
      </c>
      <c r="G1486" s="2">
        <v>853</v>
      </c>
      <c r="H1486" t="str">
        <f>"SANE EXAM-CASE#18-S-00935 2/20"</f>
        <v>SANE EXAM-CASE#18-S-00935 2/20</v>
      </c>
    </row>
    <row r="1487" spans="1:8" x14ac:dyDescent="0.25">
      <c r="A1487" t="s">
        <v>467</v>
      </c>
      <c r="B1487">
        <v>999999</v>
      </c>
      <c r="C1487" s="3">
        <v>317.73</v>
      </c>
      <c r="D1487" s="1">
        <v>43326</v>
      </c>
      <c r="E1487" t="str">
        <f>"201808082871"</f>
        <v>201808082871</v>
      </c>
      <c r="F1487" t="str">
        <f>"INDIGENT HEALTH"</f>
        <v>INDIGENT HEALTH</v>
      </c>
      <c r="G1487" s="2">
        <v>317.73</v>
      </c>
      <c r="H1487" t="str">
        <f>"INDIGENT HEALTH"</f>
        <v>INDIGENT HEALTH</v>
      </c>
    </row>
    <row r="1488" spans="1:8" x14ac:dyDescent="0.25">
      <c r="E1488" t="str">
        <f>""</f>
        <v/>
      </c>
      <c r="F1488" t="str">
        <f>""</f>
        <v/>
      </c>
      <c r="H1488" t="str">
        <f>"INDIGENT HEALTH"</f>
        <v>INDIGENT HEALTH</v>
      </c>
    </row>
    <row r="1489" spans="1:9" x14ac:dyDescent="0.25">
      <c r="A1489" t="s">
        <v>468</v>
      </c>
      <c r="B1489">
        <v>78354</v>
      </c>
      <c r="C1489" s="3">
        <v>455.4</v>
      </c>
      <c r="D1489" s="1">
        <v>43339</v>
      </c>
      <c r="E1489" t="str">
        <f>"201808223010"</f>
        <v>201808223010</v>
      </c>
      <c r="F1489" t="str">
        <f>"LODGING"</f>
        <v>LODGING</v>
      </c>
      <c r="G1489" s="2">
        <v>455.4</v>
      </c>
      <c r="H1489" t="str">
        <f>"LODGING"</f>
        <v>LODGING</v>
      </c>
    </row>
    <row r="1490" spans="1:9" x14ac:dyDescent="0.25">
      <c r="A1490" t="s">
        <v>469</v>
      </c>
      <c r="B1490">
        <v>78090</v>
      </c>
      <c r="C1490" s="3">
        <v>75</v>
      </c>
      <c r="D1490" s="1">
        <v>43325</v>
      </c>
      <c r="E1490" t="str">
        <f>"11633"</f>
        <v>11633</v>
      </c>
      <c r="F1490" t="str">
        <f>"SERVICE  06/29/18"</f>
        <v>SERVICE  06/29/18</v>
      </c>
      <c r="G1490" s="2">
        <v>75</v>
      </c>
      <c r="H1490" t="str">
        <f>"SERVICE  06/29/18"</f>
        <v>SERVICE  06/29/18</v>
      </c>
    </row>
    <row r="1491" spans="1:9" x14ac:dyDescent="0.25">
      <c r="A1491" t="s">
        <v>470</v>
      </c>
      <c r="B1491">
        <v>78091</v>
      </c>
      <c r="C1491" s="3">
        <v>450</v>
      </c>
      <c r="D1491" s="1">
        <v>43325</v>
      </c>
      <c r="E1491" t="str">
        <f>"1CO-1005-17"</f>
        <v>1CO-1005-17</v>
      </c>
      <c r="F1491" t="str">
        <f>"BOND RETURN"</f>
        <v>BOND RETURN</v>
      </c>
      <c r="G1491" s="2">
        <v>450</v>
      </c>
      <c r="H1491" t="str">
        <f>"BOND RETURN"</f>
        <v>BOND RETURN</v>
      </c>
    </row>
    <row r="1492" spans="1:9" x14ac:dyDescent="0.25">
      <c r="A1492" t="s">
        <v>471</v>
      </c>
      <c r="B1492">
        <v>78092</v>
      </c>
      <c r="C1492" s="3">
        <v>391.66</v>
      </c>
      <c r="D1492" s="1">
        <v>43325</v>
      </c>
      <c r="E1492" t="str">
        <f>"201808082872"</f>
        <v>201808082872</v>
      </c>
      <c r="F1492" t="str">
        <f>"INDIGENT HEALTH"</f>
        <v>INDIGENT HEALTH</v>
      </c>
      <c r="G1492" s="2">
        <v>391.66</v>
      </c>
      <c r="H1492" t="str">
        <f>"INDIGENT HEALTH"</f>
        <v>INDIGENT HEALTH</v>
      </c>
    </row>
    <row r="1493" spans="1:9" x14ac:dyDescent="0.25">
      <c r="E1493" t="str">
        <f>""</f>
        <v/>
      </c>
      <c r="F1493" t="str">
        <f>""</f>
        <v/>
      </c>
      <c r="H1493" t="str">
        <f>"INDIGENT HEALTH"</f>
        <v>INDIGENT HEALTH</v>
      </c>
    </row>
    <row r="1494" spans="1:9" x14ac:dyDescent="0.25">
      <c r="A1494" t="s">
        <v>472</v>
      </c>
      <c r="B1494">
        <v>78093</v>
      </c>
      <c r="C1494" s="3">
        <v>10641.26</v>
      </c>
      <c r="D1494" s="1">
        <v>43325</v>
      </c>
      <c r="E1494" t="str">
        <f>"201808082873"</f>
        <v>201808082873</v>
      </c>
      <c r="F1494" t="str">
        <f>"INDIGENT HEALTH"</f>
        <v>INDIGENT HEALTH</v>
      </c>
      <c r="G1494" s="2">
        <v>10641.26</v>
      </c>
      <c r="H1494" t="str">
        <f>"INDIGENT HEALTH"</f>
        <v>INDIGENT HEALTH</v>
      </c>
    </row>
    <row r="1495" spans="1:9" x14ac:dyDescent="0.25">
      <c r="E1495" t="str">
        <f>""</f>
        <v/>
      </c>
      <c r="F1495" t="str">
        <f>""</f>
        <v/>
      </c>
      <c r="H1495" t="str">
        <f>"INDIGENT HEALTH"</f>
        <v>INDIGENT HEALTH</v>
      </c>
    </row>
    <row r="1496" spans="1:9" x14ac:dyDescent="0.25">
      <c r="A1496" t="s">
        <v>473</v>
      </c>
      <c r="B1496">
        <v>999999</v>
      </c>
      <c r="C1496" s="3">
        <v>510</v>
      </c>
      <c r="D1496" s="1">
        <v>43340</v>
      </c>
      <c r="E1496" t="str">
        <f>"061981"</f>
        <v>061981</v>
      </c>
      <c r="F1496" t="str">
        <f>"SCOTT MERRIMAN INC"</f>
        <v>SCOTT MERRIMAN INC</v>
      </c>
      <c r="G1496" s="2">
        <v>510</v>
      </c>
      <c r="H1496" t="str">
        <f>"SW2 CASE BINDERS"</f>
        <v>SW2 CASE BINDERS</v>
      </c>
    </row>
    <row r="1497" spans="1:9" x14ac:dyDescent="0.25">
      <c r="E1497" t="str">
        <f>""</f>
        <v/>
      </c>
      <c r="F1497" t="str">
        <f>""</f>
        <v/>
      </c>
      <c r="H1497" t="str">
        <f>"SHIPPING"</f>
        <v>SHIPPING</v>
      </c>
    </row>
    <row r="1498" spans="1:9" x14ac:dyDescent="0.25">
      <c r="A1498" t="s">
        <v>474</v>
      </c>
      <c r="B1498">
        <v>999999</v>
      </c>
      <c r="C1498" s="3">
        <v>397</v>
      </c>
      <c r="D1498" s="1">
        <v>43326</v>
      </c>
      <c r="E1498" t="str">
        <f>"5933"</f>
        <v>5933</v>
      </c>
      <c r="F1498" t="str">
        <f>"Panic Buttons"</f>
        <v>Panic Buttons</v>
      </c>
      <c r="G1498" s="2">
        <v>397</v>
      </c>
      <c r="H1498" t="str">
        <f>"Panic Buttons"</f>
        <v>Panic Buttons</v>
      </c>
    </row>
    <row r="1499" spans="1:9" x14ac:dyDescent="0.25">
      <c r="E1499" t="str">
        <f>""</f>
        <v/>
      </c>
      <c r="F1499" t="str">
        <f>""</f>
        <v/>
      </c>
      <c r="H1499" t="str">
        <f>"Shipping"</f>
        <v>Shipping</v>
      </c>
    </row>
    <row r="1500" spans="1:9" x14ac:dyDescent="0.25">
      <c r="A1500" t="s">
        <v>474</v>
      </c>
      <c r="B1500">
        <v>999999</v>
      </c>
      <c r="C1500" s="3">
        <v>2339</v>
      </c>
      <c r="D1500" s="1">
        <v>43340</v>
      </c>
      <c r="E1500" t="str">
        <f>"PPDINV0010290"</f>
        <v>PPDINV0010290</v>
      </c>
      <c r="F1500" t="str">
        <f>"INV PPDINV0010290"</f>
        <v>INV PPDINV0010290</v>
      </c>
      <c r="G1500" s="2">
        <v>2339</v>
      </c>
      <c r="H1500" t="str">
        <f>"INV PPDINV0010290"</f>
        <v>INV PPDINV0010290</v>
      </c>
    </row>
    <row r="1501" spans="1:9" x14ac:dyDescent="0.25">
      <c r="A1501" t="s">
        <v>475</v>
      </c>
      <c r="B1501">
        <v>78094</v>
      </c>
      <c r="C1501" s="3">
        <v>135</v>
      </c>
      <c r="D1501" s="1">
        <v>43325</v>
      </c>
      <c r="E1501" t="str">
        <f>"0017318"</f>
        <v>0017318</v>
      </c>
      <c r="F1501" t="str">
        <f>"INV 0017318 / UNIT 80"</f>
        <v>INV 0017318 / UNIT 80</v>
      </c>
      <c r="G1501" s="2">
        <v>135</v>
      </c>
      <c r="H1501" t="str">
        <f>"INV 0017318"</f>
        <v>INV 0017318</v>
      </c>
    </row>
    <row r="1502" spans="1:9" x14ac:dyDescent="0.25">
      <c r="A1502" t="s">
        <v>476</v>
      </c>
      <c r="B1502">
        <v>78095</v>
      </c>
      <c r="C1502" s="3">
        <v>625.17999999999995</v>
      </c>
      <c r="D1502" s="1">
        <v>43325</v>
      </c>
      <c r="E1502" t="str">
        <f>"201808082874"</f>
        <v>201808082874</v>
      </c>
      <c r="F1502" t="str">
        <f>"INDIGENT HEALTH"</f>
        <v>INDIGENT HEALTH</v>
      </c>
      <c r="G1502" s="2">
        <v>625.17999999999995</v>
      </c>
      <c r="H1502" t="str">
        <f>"INDIGENT HEALTH"</f>
        <v>INDIGENT HEALTH</v>
      </c>
    </row>
    <row r="1503" spans="1:9" x14ac:dyDescent="0.25">
      <c r="A1503" t="s">
        <v>477</v>
      </c>
      <c r="B1503">
        <v>78096</v>
      </c>
      <c r="C1503" s="3">
        <v>1939.76</v>
      </c>
      <c r="D1503" s="1">
        <v>43325</v>
      </c>
      <c r="E1503" t="str">
        <f>"201808082875"</f>
        <v>201808082875</v>
      </c>
      <c r="F1503" t="str">
        <f>"INDIGENT HEALTH"</f>
        <v>INDIGENT HEALTH</v>
      </c>
      <c r="G1503" s="2">
        <v>1939.76</v>
      </c>
      <c r="H1503" t="str">
        <f>"INDIGENT HEALTH"</f>
        <v>INDIGENT HEALTH</v>
      </c>
    </row>
    <row r="1504" spans="1:9" x14ac:dyDescent="0.25">
      <c r="A1504" t="s">
        <v>478</v>
      </c>
      <c r="B1504">
        <v>78097</v>
      </c>
      <c r="C1504" s="3">
        <v>60</v>
      </c>
      <c r="D1504" s="1">
        <v>43325</v>
      </c>
      <c r="E1504" t="s">
        <v>205</v>
      </c>
      <c r="F1504" t="s">
        <v>479</v>
      </c>
      <c r="G1504" s="2" t="str">
        <f>"RESTITUTION-D. MCCOMB"</f>
        <v>RESTITUTION-D. MCCOMB</v>
      </c>
      <c r="H1504" t="str">
        <f>"210-0000"</f>
        <v>210-0000</v>
      </c>
      <c r="I1504" t="str">
        <f>""</f>
        <v/>
      </c>
    </row>
    <row r="1505" spans="1:8" x14ac:dyDescent="0.25">
      <c r="A1505" t="s">
        <v>480</v>
      </c>
      <c r="B1505">
        <v>78355</v>
      </c>
      <c r="C1505" s="3">
        <v>240</v>
      </c>
      <c r="D1505" s="1">
        <v>43339</v>
      </c>
      <c r="E1505" t="str">
        <f>"201808223012"</f>
        <v>201808223012</v>
      </c>
      <c r="F1505" t="str">
        <f>"PER DIEM"</f>
        <v>PER DIEM</v>
      </c>
      <c r="G1505" s="2">
        <v>240</v>
      </c>
      <c r="H1505" t="str">
        <f>"PER DIEM"</f>
        <v>PER DIEM</v>
      </c>
    </row>
    <row r="1506" spans="1:8" x14ac:dyDescent="0.25">
      <c r="A1506" t="s">
        <v>481</v>
      </c>
      <c r="B1506">
        <v>78098</v>
      </c>
      <c r="C1506" s="3">
        <v>23256.61</v>
      </c>
      <c r="D1506" s="1">
        <v>43325</v>
      </c>
      <c r="E1506" t="str">
        <f>"GB00281843"</f>
        <v>GB00281843</v>
      </c>
      <c r="F1506" t="str">
        <f>"SHI GOVERNMENT SOLUTIONS INC."</f>
        <v>SHI GOVERNMENT SOLUTIONS INC.</v>
      </c>
      <c r="G1506" s="2">
        <v>5990</v>
      </c>
      <c r="H1506" t="str">
        <f>"Part#: PN-L703B"</f>
        <v>Part#: PN-L703B</v>
      </c>
    </row>
    <row r="1507" spans="1:8" x14ac:dyDescent="0.25">
      <c r="E1507" t="str">
        <f>""</f>
        <v/>
      </c>
      <c r="F1507" t="str">
        <f>""</f>
        <v/>
      </c>
      <c r="H1507" t="str">
        <f>"Part#: PN-SR780M"</f>
        <v>Part#: PN-SR780M</v>
      </c>
    </row>
    <row r="1508" spans="1:8" x14ac:dyDescent="0.25">
      <c r="E1508" t="str">
        <f>""</f>
        <v/>
      </c>
      <c r="F1508" t="str">
        <f>""</f>
        <v/>
      </c>
      <c r="H1508" t="str">
        <f>"Part#: PN-SPCI5W7H"</f>
        <v>Part#: PN-SPCI5W7H</v>
      </c>
    </row>
    <row r="1509" spans="1:8" x14ac:dyDescent="0.25">
      <c r="E1509" t="str">
        <f>""</f>
        <v/>
      </c>
      <c r="F1509" t="str">
        <f>""</f>
        <v/>
      </c>
      <c r="H1509" t="str">
        <f>"Shipping"</f>
        <v>Shipping</v>
      </c>
    </row>
    <row r="1510" spans="1:8" x14ac:dyDescent="0.25">
      <c r="E1510" t="str">
        <f>"GB00290250"</f>
        <v>GB00290250</v>
      </c>
      <c r="F1510" t="str">
        <f>"Mounting kit for Axis Cam"</f>
        <v>Mounting kit for Axis Cam</v>
      </c>
      <c r="G1510" s="2">
        <v>116</v>
      </c>
      <c r="H1510" t="str">
        <f>"Part#: 5801-721"</f>
        <v>Part#: 5801-721</v>
      </c>
    </row>
    <row r="1511" spans="1:8" x14ac:dyDescent="0.25">
      <c r="E1511" t="str">
        <f>"GB00291213"</f>
        <v>GB00291213</v>
      </c>
      <c r="F1511" t="str">
        <f>"Annual Maintenance"</f>
        <v>Annual Maintenance</v>
      </c>
      <c r="G1511" s="2">
        <v>2310</v>
      </c>
      <c r="H1511" t="str">
        <f>"B300v Bomgar"</f>
        <v>B300v Bomgar</v>
      </c>
    </row>
    <row r="1512" spans="1:8" x14ac:dyDescent="0.25">
      <c r="E1512" t="str">
        <f>""</f>
        <v/>
      </c>
      <c r="F1512" t="str">
        <f>""</f>
        <v/>
      </c>
      <c r="H1512" t="str">
        <f>"License Bomgar"</f>
        <v>License Bomgar</v>
      </c>
    </row>
    <row r="1513" spans="1:8" x14ac:dyDescent="0.25">
      <c r="E1513" t="str">
        <f>"GB00292069"</f>
        <v>GB00292069</v>
      </c>
      <c r="F1513" t="str">
        <f>"Triton Web Filter"</f>
        <v>Triton Web Filter</v>
      </c>
      <c r="G1513" s="2">
        <v>14840.61</v>
      </c>
      <c r="H1513" t="str">
        <f>"WSPA-XCP12-R"</f>
        <v>WSPA-XCP12-R</v>
      </c>
    </row>
    <row r="1514" spans="1:8" x14ac:dyDescent="0.25">
      <c r="E1514" t="str">
        <f>""</f>
        <v/>
      </c>
      <c r="F1514" t="str">
        <f>""</f>
        <v/>
      </c>
      <c r="H1514" t="str">
        <f>"ESESPT-0-CP12"</f>
        <v>ESESPT-0-CP12</v>
      </c>
    </row>
    <row r="1515" spans="1:8" x14ac:dyDescent="0.25">
      <c r="E1515" t="str">
        <f>""</f>
        <v/>
      </c>
      <c r="F1515" t="str">
        <f>""</f>
        <v/>
      </c>
      <c r="H1515" t="str">
        <f>"V5KG4-0-XX00-X-N "</f>
        <v>V5KG4-0-XX00-X-N </v>
      </c>
    </row>
    <row r="1516" spans="1:8" x14ac:dyDescent="0.25">
      <c r="E1516" t="str">
        <f>""</f>
        <v/>
      </c>
      <c r="F1516" t="str">
        <f>""</f>
        <v/>
      </c>
      <c r="H1516" t="str">
        <f>"V5KG4W36-0-XX00-X-N"</f>
        <v>V5KG4W36-0-XX00-X-N</v>
      </c>
    </row>
    <row r="1517" spans="1:8" x14ac:dyDescent="0.25">
      <c r="E1517" t="str">
        <f>""</f>
        <v/>
      </c>
      <c r="F1517" t="str">
        <f>""</f>
        <v/>
      </c>
      <c r="H1517" t="str">
        <f>"RAILV5KG2-0-XX00-X-N"</f>
        <v>RAILV5KG2-0-XX00-X-N</v>
      </c>
    </row>
    <row r="1518" spans="1:8" x14ac:dyDescent="0.25">
      <c r="E1518" t="str">
        <f>""</f>
        <v/>
      </c>
      <c r="F1518" t="str">
        <f>""</f>
        <v/>
      </c>
      <c r="H1518" t="str">
        <f>"SH-0-XX00-X-N"</f>
        <v>SH-0-XX00-X-N</v>
      </c>
    </row>
    <row r="1519" spans="1:8" x14ac:dyDescent="0.25">
      <c r="A1519" t="s">
        <v>481</v>
      </c>
      <c r="B1519">
        <v>78356</v>
      </c>
      <c r="C1519" s="3">
        <v>2024</v>
      </c>
      <c r="D1519" s="1">
        <v>43339</v>
      </c>
      <c r="E1519" t="str">
        <f>"GB00294583"</f>
        <v>GB00294583</v>
      </c>
      <c r="F1519" t="str">
        <f>"NetMotion Diagnostics"</f>
        <v>NetMotion Diagnostics</v>
      </c>
      <c r="G1519" s="2">
        <v>1125</v>
      </c>
      <c r="H1519" t="str">
        <f>"Part# 04NDXP25"</f>
        <v>Part# 04NDXP25</v>
      </c>
    </row>
    <row r="1520" spans="1:8" x14ac:dyDescent="0.25">
      <c r="E1520" t="str">
        <f>"GB00294782/294444"</f>
        <v>GB00294782/294444</v>
      </c>
      <c r="F1520" t="str">
        <f>"Items For Security System"</f>
        <v>Items For Security System</v>
      </c>
      <c r="G1520" s="2">
        <v>899</v>
      </c>
      <c r="H1520" t="str">
        <f>"Part# 0892-004"</f>
        <v>Part# 0892-004</v>
      </c>
    </row>
    <row r="1521" spans="1:8" x14ac:dyDescent="0.25">
      <c r="E1521" t="str">
        <f>""</f>
        <v/>
      </c>
      <c r="F1521" t="str">
        <f>""</f>
        <v/>
      </c>
      <c r="H1521" t="str">
        <f>"Part# 01035-004"</f>
        <v>Part# 01035-004</v>
      </c>
    </row>
    <row r="1522" spans="1:8" x14ac:dyDescent="0.25">
      <c r="E1522" t="str">
        <f>""</f>
        <v/>
      </c>
      <c r="F1522" t="str">
        <f>""</f>
        <v/>
      </c>
      <c r="H1522" t="str">
        <f>"Part# 0959-001"</f>
        <v>Part# 0959-001</v>
      </c>
    </row>
    <row r="1523" spans="1:8" x14ac:dyDescent="0.25">
      <c r="A1523" t="s">
        <v>482</v>
      </c>
      <c r="B1523">
        <v>78099</v>
      </c>
      <c r="C1523" s="3">
        <v>941.93</v>
      </c>
      <c r="D1523" s="1">
        <v>43325</v>
      </c>
      <c r="E1523" t="str">
        <f>"855757"</f>
        <v>855757</v>
      </c>
      <c r="F1523" t="str">
        <f>"ACCT#550615/PCT#4"</f>
        <v>ACCT#550615/PCT#4</v>
      </c>
      <c r="G1523" s="2">
        <v>941.93</v>
      </c>
      <c r="H1523" t="str">
        <f>"ACCT#550615/PCT#4"</f>
        <v>ACCT#550615/PCT#4</v>
      </c>
    </row>
    <row r="1524" spans="1:8" x14ac:dyDescent="0.25">
      <c r="A1524" t="s">
        <v>482</v>
      </c>
      <c r="B1524">
        <v>78357</v>
      </c>
      <c r="C1524" s="3">
        <v>235.57</v>
      </c>
      <c r="D1524" s="1">
        <v>43339</v>
      </c>
      <c r="E1524" t="str">
        <f>"870773"</f>
        <v>870773</v>
      </c>
      <c r="F1524" t="str">
        <f>"ACCT#550615/GEN SVCS"</f>
        <v>ACCT#550615/GEN SVCS</v>
      </c>
      <c r="G1524" s="2">
        <v>193.79</v>
      </c>
      <c r="H1524" t="str">
        <f>"ACCT#550615/GEN SVCS"</f>
        <v>ACCT#550615/GEN SVCS</v>
      </c>
    </row>
    <row r="1525" spans="1:8" x14ac:dyDescent="0.25">
      <c r="E1525" t="str">
        <f>"872417"</f>
        <v>872417</v>
      </c>
      <c r="F1525" t="str">
        <f>"ACCT#550615/GEN SVCS"</f>
        <v>ACCT#550615/GEN SVCS</v>
      </c>
      <c r="G1525" s="2">
        <v>41.78</v>
      </c>
      <c r="H1525" t="str">
        <f>"ACCT#550615/GEN SVCS"</f>
        <v>ACCT#550615/GEN SVCS</v>
      </c>
    </row>
    <row r="1526" spans="1:8" x14ac:dyDescent="0.25">
      <c r="A1526" t="s">
        <v>483</v>
      </c>
      <c r="B1526">
        <v>78100</v>
      </c>
      <c r="C1526" s="3">
        <v>159.05000000000001</v>
      </c>
      <c r="D1526" s="1">
        <v>43325</v>
      </c>
      <c r="E1526" t="str">
        <f>"8125321325"</f>
        <v>8125321325</v>
      </c>
      <c r="F1526" t="str">
        <f>"CUST#16155373/SHREDDING SVCS"</f>
        <v>CUST#16155373/SHREDDING SVCS</v>
      </c>
      <c r="G1526" s="2">
        <v>159.05000000000001</v>
      </c>
      <c r="H1526" t="str">
        <f t="shared" ref="H1526:H1531" si="7">"CUST#16155373/SHREDDING SVCS"</f>
        <v>CUST#16155373/SHREDDING SVCS</v>
      </c>
    </row>
    <row r="1527" spans="1:8" x14ac:dyDescent="0.25">
      <c r="E1527" t="str">
        <f>""</f>
        <v/>
      </c>
      <c r="F1527" t="str">
        <f>""</f>
        <v/>
      </c>
      <c r="H1527" t="str">
        <f t="shared" si="7"/>
        <v>CUST#16155373/SHREDDING SVCS</v>
      </c>
    </row>
    <row r="1528" spans="1:8" x14ac:dyDescent="0.25">
      <c r="E1528" t="str">
        <f>""</f>
        <v/>
      </c>
      <c r="F1528" t="str">
        <f>""</f>
        <v/>
      </c>
      <c r="H1528" t="str">
        <f t="shared" si="7"/>
        <v>CUST#16155373/SHREDDING SVCS</v>
      </c>
    </row>
    <row r="1529" spans="1:8" x14ac:dyDescent="0.25">
      <c r="E1529" t="str">
        <f>""</f>
        <v/>
      </c>
      <c r="F1529" t="str">
        <f>""</f>
        <v/>
      </c>
      <c r="H1529" t="str">
        <f t="shared" si="7"/>
        <v>CUST#16155373/SHREDDING SVCS</v>
      </c>
    </row>
    <row r="1530" spans="1:8" x14ac:dyDescent="0.25">
      <c r="E1530" t="str">
        <f>""</f>
        <v/>
      </c>
      <c r="F1530" t="str">
        <f>""</f>
        <v/>
      </c>
      <c r="H1530" t="str">
        <f t="shared" si="7"/>
        <v>CUST#16155373/SHREDDING SVCS</v>
      </c>
    </row>
    <row r="1531" spans="1:8" x14ac:dyDescent="0.25">
      <c r="E1531" t="str">
        <f>""</f>
        <v/>
      </c>
      <c r="F1531" t="str">
        <f>""</f>
        <v/>
      </c>
      <c r="H1531" t="str">
        <f t="shared" si="7"/>
        <v>CUST#16155373/SHREDDING SVCS</v>
      </c>
    </row>
    <row r="1532" spans="1:8" x14ac:dyDescent="0.25">
      <c r="A1532" t="s">
        <v>484</v>
      </c>
      <c r="B1532">
        <v>78101</v>
      </c>
      <c r="C1532" s="3">
        <v>431.87</v>
      </c>
      <c r="D1532" s="1">
        <v>43325</v>
      </c>
      <c r="E1532" t="str">
        <f>"201808082876"</f>
        <v>201808082876</v>
      </c>
      <c r="F1532" t="str">
        <f>"INDIGENT HEALTH"</f>
        <v>INDIGENT HEALTH</v>
      </c>
      <c r="G1532" s="2">
        <v>431.87</v>
      </c>
      <c r="H1532" t="str">
        <f>"INDIGENT HEALTH"</f>
        <v>INDIGENT HEALTH</v>
      </c>
    </row>
    <row r="1533" spans="1:8" x14ac:dyDescent="0.25">
      <c r="A1533" t="s">
        <v>485</v>
      </c>
      <c r="B1533">
        <v>999999</v>
      </c>
      <c r="C1533" s="3">
        <v>155</v>
      </c>
      <c r="D1533" s="1">
        <v>43340</v>
      </c>
      <c r="E1533" t="str">
        <f>"72167"</f>
        <v>72167</v>
      </c>
      <c r="F1533" t="str">
        <f>"INV 72167"</f>
        <v>INV 72167</v>
      </c>
      <c r="G1533" s="2">
        <v>155</v>
      </c>
      <c r="H1533" t="str">
        <f>"INV 72167"</f>
        <v>INV 72167</v>
      </c>
    </row>
    <row r="1534" spans="1:8" x14ac:dyDescent="0.25">
      <c r="A1534" t="s">
        <v>486</v>
      </c>
      <c r="B1534">
        <v>78102</v>
      </c>
      <c r="C1534" s="3">
        <v>279.70999999999998</v>
      </c>
      <c r="D1534" s="1">
        <v>43325</v>
      </c>
      <c r="E1534" t="str">
        <f>"201808072720"</f>
        <v>201808072720</v>
      </c>
      <c r="F1534" t="str">
        <f>"STATEMENT#28035/PCT#2"</f>
        <v>STATEMENT#28035/PCT#2</v>
      </c>
      <c r="G1534" s="2">
        <v>235.16</v>
      </c>
      <c r="H1534" t="str">
        <f>"STATEMENT#28035/PCT#2"</f>
        <v>STATEMENT#28035/PCT#2</v>
      </c>
    </row>
    <row r="1535" spans="1:8" x14ac:dyDescent="0.25">
      <c r="E1535" t="str">
        <f>"391253 &amp; 391631"</f>
        <v>391253 &amp; 391631</v>
      </c>
      <c r="F1535" t="str">
        <f>"STATEMENT#28274/GEN SVCS"</f>
        <v>STATEMENT#28274/GEN SVCS</v>
      </c>
      <c r="G1535" s="2">
        <v>44.55</v>
      </c>
      <c r="H1535" t="str">
        <f>"STATEMENT#28274/GEN SVCS"</f>
        <v>STATEMENT#28274/GEN SVCS</v>
      </c>
    </row>
    <row r="1536" spans="1:8" x14ac:dyDescent="0.25">
      <c r="E1536" t="str">
        <f>""</f>
        <v/>
      </c>
      <c r="F1536" t="str">
        <f>""</f>
        <v/>
      </c>
      <c r="H1536" t="str">
        <f>"STATEMENT#28274/GEN SVCS"</f>
        <v>STATEMENT#28274/GEN SVCS</v>
      </c>
    </row>
    <row r="1537" spans="1:8" x14ac:dyDescent="0.25">
      <c r="A1537" t="s">
        <v>487</v>
      </c>
      <c r="B1537">
        <v>78358</v>
      </c>
      <c r="C1537" s="3">
        <v>15000</v>
      </c>
      <c r="D1537" s="1">
        <v>43339</v>
      </c>
      <c r="E1537" t="str">
        <f>"201808172949"</f>
        <v>201808172949</v>
      </c>
      <c r="F1537" t="str">
        <f>"PER BUDGET FY 17-18 FUNDS"</f>
        <v>PER BUDGET FY 17-18 FUNDS</v>
      </c>
      <c r="G1537" s="2">
        <v>15000</v>
      </c>
      <c r="H1537" t="str">
        <f>"PER BUDGET FY 17-18 FUNDS"</f>
        <v>PER BUDGET FY 17-18 FUNDS</v>
      </c>
    </row>
    <row r="1538" spans="1:8" x14ac:dyDescent="0.25">
      <c r="A1538" t="s">
        <v>488</v>
      </c>
      <c r="B1538">
        <v>78103</v>
      </c>
      <c r="C1538" s="3">
        <v>936.71</v>
      </c>
      <c r="D1538" s="1">
        <v>43325</v>
      </c>
      <c r="E1538" t="str">
        <f>"201808072717"</f>
        <v>201808072717</v>
      </c>
      <c r="F1538" t="str">
        <f>"ACCT#260/PCT#2"</f>
        <v>ACCT#260/PCT#2</v>
      </c>
      <c r="G1538" s="2">
        <v>936.71</v>
      </c>
      <c r="H1538" t="str">
        <f>"ACCT#260/PCT#2"</f>
        <v>ACCT#260/PCT#2</v>
      </c>
    </row>
    <row r="1539" spans="1:8" x14ac:dyDescent="0.25">
      <c r="A1539" t="s">
        <v>489</v>
      </c>
      <c r="B1539">
        <v>78104</v>
      </c>
      <c r="C1539" s="3">
        <v>6170</v>
      </c>
      <c r="D1539" s="1">
        <v>43325</v>
      </c>
      <c r="E1539" t="str">
        <f>"7211"</f>
        <v>7211</v>
      </c>
      <c r="F1539" t="str">
        <f>"Desk"</f>
        <v>Desk</v>
      </c>
      <c r="G1539" s="2">
        <v>3085</v>
      </c>
      <c r="H1539" t="str">
        <f>"#LD3066"</f>
        <v>#LD3066</v>
      </c>
    </row>
    <row r="1540" spans="1:8" x14ac:dyDescent="0.25">
      <c r="E1540" t="str">
        <f>""</f>
        <v/>
      </c>
      <c r="F1540" t="str">
        <f>""</f>
        <v/>
      </c>
      <c r="H1540" t="str">
        <f>"Freight"</f>
        <v>Freight</v>
      </c>
    </row>
    <row r="1541" spans="1:8" x14ac:dyDescent="0.25">
      <c r="E1541" t="str">
        <f>"7254"</f>
        <v>7254</v>
      </c>
      <c r="F1541" t="str">
        <f>"LAVACA COUNTY OFFICE SUPPLY  I"</f>
        <v>LAVACA COUNTY OFFICE SUPPLY  I</v>
      </c>
      <c r="G1541" s="2">
        <v>3085</v>
      </c>
      <c r="H1541" t="str">
        <f>"Executive Desk"</f>
        <v>Executive Desk</v>
      </c>
    </row>
    <row r="1542" spans="1:8" x14ac:dyDescent="0.25">
      <c r="E1542" t="str">
        <f>""</f>
        <v/>
      </c>
      <c r="F1542" t="str">
        <f>""</f>
        <v/>
      </c>
      <c r="H1542" t="str">
        <f>"Shipping"</f>
        <v>Shipping</v>
      </c>
    </row>
    <row r="1543" spans="1:8" x14ac:dyDescent="0.25">
      <c r="A1543" t="s">
        <v>490</v>
      </c>
      <c r="B1543">
        <v>78105</v>
      </c>
      <c r="C1543" s="3">
        <v>87</v>
      </c>
      <c r="D1543" s="1">
        <v>43325</v>
      </c>
      <c r="E1543" t="str">
        <f>"85396-1"</f>
        <v>85396-1</v>
      </c>
      <c r="F1543" t="str">
        <f>"LABELS/COUNTY CLERK"</f>
        <v>LABELS/COUNTY CLERK</v>
      </c>
      <c r="G1543" s="2">
        <v>87</v>
      </c>
      <c r="H1543" t="str">
        <f>"LABELS/COUNTY CLERK"</f>
        <v>LABELS/COUNTY CLERK</v>
      </c>
    </row>
    <row r="1544" spans="1:8" x14ac:dyDescent="0.25">
      <c r="A1544" t="s">
        <v>491</v>
      </c>
      <c r="B1544">
        <v>78106</v>
      </c>
      <c r="C1544" s="3">
        <v>34.119999999999997</v>
      </c>
      <c r="D1544" s="1">
        <v>43325</v>
      </c>
      <c r="E1544" t="str">
        <f>"9604456 071918"</f>
        <v>9604456 071918</v>
      </c>
      <c r="F1544" t="str">
        <f>"ACCT#46668439604456/JP#2"</f>
        <v>ACCT#46668439604456/JP#2</v>
      </c>
      <c r="G1544" s="2">
        <v>34.119999999999997</v>
      </c>
      <c r="H1544" t="str">
        <f>"ACCT#46668439604456/JP#2"</f>
        <v>ACCT#46668439604456/JP#2</v>
      </c>
    </row>
    <row r="1545" spans="1:8" x14ac:dyDescent="0.25">
      <c r="A1545" t="s">
        <v>493</v>
      </c>
      <c r="B1545">
        <v>78107</v>
      </c>
      <c r="C1545" s="3">
        <v>69.180000000000007</v>
      </c>
      <c r="D1545" s="1">
        <v>43325</v>
      </c>
      <c r="E1545" t="str">
        <f>"201808082880"</f>
        <v>201808082880</v>
      </c>
      <c r="F1545" t="str">
        <f>"INDIGENT HEALTH"</f>
        <v>INDIGENT HEALTH</v>
      </c>
      <c r="G1545" s="2">
        <v>69.180000000000007</v>
      </c>
      <c r="H1545" t="str">
        <f>"INDIGENT HEALTH"</f>
        <v>INDIGENT HEALTH</v>
      </c>
    </row>
    <row r="1546" spans="1:8" x14ac:dyDescent="0.25">
      <c r="A1546" t="s">
        <v>494</v>
      </c>
      <c r="B1546">
        <v>78108</v>
      </c>
      <c r="C1546" s="3">
        <v>27336.04</v>
      </c>
      <c r="D1546" s="1">
        <v>43325</v>
      </c>
      <c r="E1546" t="str">
        <f>"201808082878"</f>
        <v>201808082878</v>
      </c>
      <c r="F1546" t="str">
        <f>"INDIGENT HEALTH"</f>
        <v>INDIGENT HEALTH</v>
      </c>
      <c r="G1546" s="2">
        <v>25608.67</v>
      </c>
      <c r="H1546" t="str">
        <f>"INDIGENT HEALTH"</f>
        <v>INDIGENT HEALTH</v>
      </c>
    </row>
    <row r="1547" spans="1:8" x14ac:dyDescent="0.25">
      <c r="E1547" t="str">
        <f>"201808082879"</f>
        <v>201808082879</v>
      </c>
      <c r="F1547" t="str">
        <f>"INDIGENT HEALTH"</f>
        <v>INDIGENT HEALTH</v>
      </c>
      <c r="G1547" s="2">
        <v>1727.37</v>
      </c>
      <c r="H1547" t="str">
        <f>"INDIGENT HEALTH"</f>
        <v>INDIGENT HEALTH</v>
      </c>
    </row>
    <row r="1548" spans="1:8" x14ac:dyDescent="0.25">
      <c r="A1548" t="s">
        <v>495</v>
      </c>
      <c r="B1548">
        <v>78109</v>
      </c>
      <c r="C1548" s="3">
        <v>1395.72</v>
      </c>
      <c r="D1548" s="1">
        <v>43325</v>
      </c>
      <c r="E1548" t="str">
        <f>"201808082877"</f>
        <v>201808082877</v>
      </c>
      <c r="F1548" t="str">
        <f>"INDIGENT HEALTH"</f>
        <v>INDIGENT HEALTH</v>
      </c>
      <c r="G1548" s="2">
        <v>1395.72</v>
      </c>
      <c r="H1548" t="str">
        <f>"INDIGENT HEALTH"</f>
        <v>INDIGENT HEALTH</v>
      </c>
    </row>
    <row r="1549" spans="1:8" x14ac:dyDescent="0.25">
      <c r="E1549" t="str">
        <f>""</f>
        <v/>
      </c>
      <c r="F1549" t="str">
        <f>""</f>
        <v/>
      </c>
      <c r="H1549" t="str">
        <f>"INDIGENT HEALTH"</f>
        <v>INDIGENT HEALTH</v>
      </c>
    </row>
    <row r="1550" spans="1:8" x14ac:dyDescent="0.25">
      <c r="A1550" t="s">
        <v>492</v>
      </c>
      <c r="B1550">
        <v>78110</v>
      </c>
      <c r="C1550" s="3">
        <v>112.03</v>
      </c>
      <c r="D1550" s="1">
        <v>43325</v>
      </c>
      <c r="E1550" t="str">
        <f>"181996511007"</f>
        <v>181996511007</v>
      </c>
      <c r="F1550" t="str">
        <f>"ACCT#556850411969495/DA'S OFF"</f>
        <v>ACCT#556850411969495/DA'S OFF</v>
      </c>
      <c r="G1550" s="2">
        <v>112.03</v>
      </c>
      <c r="H1550" t="str">
        <f>"ACCT#556850411969495/DA'S OFF"</f>
        <v>ACCT#556850411969495/DA'S OFF</v>
      </c>
    </row>
    <row r="1551" spans="1:8" x14ac:dyDescent="0.25">
      <c r="A1551" t="s">
        <v>496</v>
      </c>
      <c r="B1551">
        <v>78111</v>
      </c>
      <c r="C1551" s="3">
        <v>3450.97</v>
      </c>
      <c r="D1551" s="1">
        <v>43325</v>
      </c>
      <c r="E1551" t="str">
        <f>"8050665454"</f>
        <v>8050665454</v>
      </c>
      <c r="F1551" t="str">
        <f>"Sum Inv# 8050665454"</f>
        <v>Sum Inv# 8050665454</v>
      </c>
      <c r="G1551" s="2">
        <v>3450.97</v>
      </c>
      <c r="H1551" t="str">
        <f>"Inv# 3384082561"</f>
        <v>Inv# 3384082561</v>
      </c>
    </row>
    <row r="1552" spans="1:8" x14ac:dyDescent="0.25">
      <c r="E1552" t="str">
        <f>""</f>
        <v/>
      </c>
      <c r="F1552" t="str">
        <f>""</f>
        <v/>
      </c>
      <c r="H1552" t="str">
        <f>"Inv# 3384082561"</f>
        <v>Inv# 3384082561</v>
      </c>
    </row>
    <row r="1553" spans="5:8" x14ac:dyDescent="0.25">
      <c r="E1553" t="str">
        <f>""</f>
        <v/>
      </c>
      <c r="F1553" t="str">
        <f>""</f>
        <v/>
      </c>
      <c r="H1553" t="str">
        <f>"Inv# 3384082559"</f>
        <v>Inv# 3384082559</v>
      </c>
    </row>
    <row r="1554" spans="5:8" x14ac:dyDescent="0.25">
      <c r="E1554" t="str">
        <f>""</f>
        <v/>
      </c>
      <c r="F1554" t="str">
        <f>""</f>
        <v/>
      </c>
      <c r="H1554" t="str">
        <f>"Inv# 3384082560"</f>
        <v>Inv# 3384082560</v>
      </c>
    </row>
    <row r="1555" spans="5:8" x14ac:dyDescent="0.25">
      <c r="E1555" t="str">
        <f>""</f>
        <v/>
      </c>
      <c r="F1555" t="str">
        <f>""</f>
        <v/>
      </c>
      <c r="H1555" t="str">
        <f>"Inv# 3384082550"</f>
        <v>Inv# 3384082550</v>
      </c>
    </row>
    <row r="1556" spans="5:8" x14ac:dyDescent="0.25">
      <c r="E1556" t="str">
        <f>""</f>
        <v/>
      </c>
      <c r="F1556" t="str">
        <f>""</f>
        <v/>
      </c>
      <c r="H1556" t="str">
        <f>"Inv# 3384082565"</f>
        <v>Inv# 3384082565</v>
      </c>
    </row>
    <row r="1557" spans="5:8" x14ac:dyDescent="0.25">
      <c r="E1557" t="str">
        <f>""</f>
        <v/>
      </c>
      <c r="F1557" t="str">
        <f>""</f>
        <v/>
      </c>
      <c r="H1557" t="str">
        <f>"Inv# 3384082563"</f>
        <v>Inv# 3384082563</v>
      </c>
    </row>
    <row r="1558" spans="5:8" x14ac:dyDescent="0.25">
      <c r="E1558" t="str">
        <f>""</f>
        <v/>
      </c>
      <c r="F1558" t="str">
        <f>""</f>
        <v/>
      </c>
      <c r="H1558" t="str">
        <f>"Inv# 3384082556"</f>
        <v>Inv# 3384082556</v>
      </c>
    </row>
    <row r="1559" spans="5:8" x14ac:dyDescent="0.25">
      <c r="E1559" t="str">
        <f>""</f>
        <v/>
      </c>
      <c r="F1559" t="str">
        <f>""</f>
        <v/>
      </c>
      <c r="H1559" t="str">
        <f>"Inv# 3384082557"</f>
        <v>Inv# 3384082557</v>
      </c>
    </row>
    <row r="1560" spans="5:8" x14ac:dyDescent="0.25">
      <c r="E1560" t="str">
        <f>""</f>
        <v/>
      </c>
      <c r="F1560" t="str">
        <f>""</f>
        <v/>
      </c>
      <c r="H1560" t="str">
        <f>"Inv# 3384082558"</f>
        <v>Inv# 3384082558</v>
      </c>
    </row>
    <row r="1561" spans="5:8" x14ac:dyDescent="0.25">
      <c r="E1561" t="str">
        <f>""</f>
        <v/>
      </c>
      <c r="F1561" t="str">
        <f>""</f>
        <v/>
      </c>
      <c r="H1561" t="str">
        <f>"Inv# 3384082569"</f>
        <v>Inv# 3384082569</v>
      </c>
    </row>
    <row r="1562" spans="5:8" x14ac:dyDescent="0.25">
      <c r="E1562" t="str">
        <f>""</f>
        <v/>
      </c>
      <c r="F1562" t="str">
        <f>""</f>
        <v/>
      </c>
      <c r="H1562" t="str">
        <f>"Inv# 3384082568"</f>
        <v>Inv# 3384082568</v>
      </c>
    </row>
    <row r="1563" spans="5:8" x14ac:dyDescent="0.25">
      <c r="E1563" t="str">
        <f>""</f>
        <v/>
      </c>
      <c r="F1563" t="str">
        <f>""</f>
        <v/>
      </c>
      <c r="H1563" t="str">
        <f>"Inv# 3384082567"</f>
        <v>Inv# 3384082567</v>
      </c>
    </row>
    <row r="1564" spans="5:8" x14ac:dyDescent="0.25">
      <c r="E1564" t="str">
        <f>""</f>
        <v/>
      </c>
      <c r="F1564" t="str">
        <f>""</f>
        <v/>
      </c>
      <c r="H1564" t="str">
        <f>"Inv# 3384082564"</f>
        <v>Inv# 3384082564</v>
      </c>
    </row>
    <row r="1565" spans="5:8" x14ac:dyDescent="0.25">
      <c r="E1565" t="str">
        <f>""</f>
        <v/>
      </c>
      <c r="F1565" t="str">
        <f>""</f>
        <v/>
      </c>
      <c r="H1565" t="str">
        <f>"Inv# 3384082566"</f>
        <v>Inv# 3384082566</v>
      </c>
    </row>
    <row r="1566" spans="5:8" x14ac:dyDescent="0.25">
      <c r="E1566" t="str">
        <f>""</f>
        <v/>
      </c>
      <c r="F1566" t="str">
        <f>""</f>
        <v/>
      </c>
      <c r="H1566" t="str">
        <f>"Inv# 3384082562"</f>
        <v>Inv# 3384082562</v>
      </c>
    </row>
    <row r="1567" spans="5:8" x14ac:dyDescent="0.25">
      <c r="E1567" t="str">
        <f>""</f>
        <v/>
      </c>
      <c r="F1567" t="str">
        <f>""</f>
        <v/>
      </c>
      <c r="H1567" t="str">
        <f>"Inv# 3384082551"</f>
        <v>Inv# 3384082551</v>
      </c>
    </row>
    <row r="1568" spans="5:8" x14ac:dyDescent="0.25">
      <c r="E1568" t="str">
        <f>""</f>
        <v/>
      </c>
      <c r="F1568" t="str">
        <f>""</f>
        <v/>
      </c>
      <c r="H1568" t="str">
        <f>"Inv# 3384082552"</f>
        <v>Inv# 3384082552</v>
      </c>
    </row>
    <row r="1569" spans="1:8" x14ac:dyDescent="0.25">
      <c r="E1569" t="str">
        <f>""</f>
        <v/>
      </c>
      <c r="F1569" t="str">
        <f>""</f>
        <v/>
      </c>
      <c r="H1569" t="str">
        <f>"Inv# 3384082554"</f>
        <v>Inv# 3384082554</v>
      </c>
    </row>
    <row r="1570" spans="1:8" x14ac:dyDescent="0.25">
      <c r="E1570" t="str">
        <f>""</f>
        <v/>
      </c>
      <c r="F1570" t="str">
        <f>""</f>
        <v/>
      </c>
      <c r="H1570" t="str">
        <f>"Inv# 3384082555"</f>
        <v>Inv# 3384082555</v>
      </c>
    </row>
    <row r="1571" spans="1:8" x14ac:dyDescent="0.25">
      <c r="A1571" t="s">
        <v>496</v>
      </c>
      <c r="B1571">
        <v>78359</v>
      </c>
      <c r="C1571" s="3">
        <v>5549.7</v>
      </c>
      <c r="D1571" s="1">
        <v>43339</v>
      </c>
      <c r="E1571" t="str">
        <f>"8050844167"</f>
        <v>8050844167</v>
      </c>
      <c r="F1571" t="str">
        <f>"Sum Inv# 8050844167"</f>
        <v>Sum Inv# 8050844167</v>
      </c>
      <c r="G1571" s="2">
        <v>5549.7</v>
      </c>
      <c r="H1571" t="str">
        <f>"Inv# 3385595869"</f>
        <v>Inv# 3385595869</v>
      </c>
    </row>
    <row r="1572" spans="1:8" x14ac:dyDescent="0.25">
      <c r="E1572" t="str">
        <f>""</f>
        <v/>
      </c>
      <c r="F1572" t="str">
        <f>""</f>
        <v/>
      </c>
      <c r="H1572" t="str">
        <f>"Inv# 3385595851"</f>
        <v>Inv# 3385595851</v>
      </c>
    </row>
    <row r="1573" spans="1:8" x14ac:dyDescent="0.25">
      <c r="E1573" t="str">
        <f>""</f>
        <v/>
      </c>
      <c r="F1573" t="str">
        <f>""</f>
        <v/>
      </c>
      <c r="H1573" t="str">
        <f>"Inv# 3385595855"</f>
        <v>Inv# 3385595855</v>
      </c>
    </row>
    <row r="1574" spans="1:8" x14ac:dyDescent="0.25">
      <c r="E1574" t="str">
        <f>""</f>
        <v/>
      </c>
      <c r="F1574" t="str">
        <f>""</f>
        <v/>
      </c>
      <c r="H1574" t="str">
        <f>"Inv# 3385595857"</f>
        <v>Inv# 3385595857</v>
      </c>
    </row>
    <row r="1575" spans="1:8" x14ac:dyDescent="0.25">
      <c r="E1575" t="str">
        <f>""</f>
        <v/>
      </c>
      <c r="F1575" t="str">
        <f>""</f>
        <v/>
      </c>
      <c r="H1575" t="str">
        <f>"Inv# 3385595859"</f>
        <v>Inv# 3385595859</v>
      </c>
    </row>
    <row r="1576" spans="1:8" x14ac:dyDescent="0.25">
      <c r="E1576" t="str">
        <f>""</f>
        <v/>
      </c>
      <c r="F1576" t="str">
        <f>""</f>
        <v/>
      </c>
      <c r="H1576" t="str">
        <f>"Inv# 3385595871"</f>
        <v>Inv# 3385595871</v>
      </c>
    </row>
    <row r="1577" spans="1:8" x14ac:dyDescent="0.25">
      <c r="E1577" t="str">
        <f>""</f>
        <v/>
      </c>
      <c r="F1577" t="str">
        <f>""</f>
        <v/>
      </c>
      <c r="H1577" t="str">
        <f>"Inv# 3385595861"</f>
        <v>Inv# 3385595861</v>
      </c>
    </row>
    <row r="1578" spans="1:8" x14ac:dyDescent="0.25">
      <c r="E1578" t="str">
        <f>""</f>
        <v/>
      </c>
      <c r="F1578" t="str">
        <f>""</f>
        <v/>
      </c>
      <c r="H1578" t="str">
        <f>"Inv# 3385595863"</f>
        <v>Inv# 3385595863</v>
      </c>
    </row>
    <row r="1579" spans="1:8" x14ac:dyDescent="0.25">
      <c r="E1579" t="str">
        <f>""</f>
        <v/>
      </c>
      <c r="F1579" t="str">
        <f>""</f>
        <v/>
      </c>
      <c r="H1579" t="str">
        <f>"Inv# 3385595865"</f>
        <v>Inv# 3385595865</v>
      </c>
    </row>
    <row r="1580" spans="1:8" x14ac:dyDescent="0.25">
      <c r="E1580" t="str">
        <f>""</f>
        <v/>
      </c>
      <c r="F1580" t="str">
        <f>""</f>
        <v/>
      </c>
      <c r="H1580" t="str">
        <f>"Inv# 3385595849"</f>
        <v>Inv# 3385595849</v>
      </c>
    </row>
    <row r="1581" spans="1:8" x14ac:dyDescent="0.25">
      <c r="E1581" t="str">
        <f>""</f>
        <v/>
      </c>
      <c r="F1581" t="str">
        <f>""</f>
        <v/>
      </c>
      <c r="H1581" t="str">
        <f>"Inv# 3385595882"</f>
        <v>Inv# 3385595882</v>
      </c>
    </row>
    <row r="1582" spans="1:8" x14ac:dyDescent="0.25">
      <c r="E1582" t="str">
        <f>""</f>
        <v/>
      </c>
      <c r="F1582" t="str">
        <f>""</f>
        <v/>
      </c>
      <c r="H1582" t="str">
        <f>"Inv# 3385595884"</f>
        <v>Inv# 3385595884</v>
      </c>
    </row>
    <row r="1583" spans="1:8" x14ac:dyDescent="0.25">
      <c r="E1583" t="str">
        <f>""</f>
        <v/>
      </c>
      <c r="F1583" t="str">
        <f>""</f>
        <v/>
      </c>
      <c r="H1583" t="str">
        <f>"Inv# 3385595882"</f>
        <v>Inv# 3385595882</v>
      </c>
    </row>
    <row r="1584" spans="1:8" x14ac:dyDescent="0.25">
      <c r="E1584" t="str">
        <f>""</f>
        <v/>
      </c>
      <c r="F1584" t="str">
        <f>""</f>
        <v/>
      </c>
      <c r="H1584" t="str">
        <f>"Inv# 3385595875"</f>
        <v>Inv# 3385595875</v>
      </c>
    </row>
    <row r="1585" spans="1:8" x14ac:dyDescent="0.25">
      <c r="E1585" t="str">
        <f>""</f>
        <v/>
      </c>
      <c r="F1585" t="str">
        <f>""</f>
        <v/>
      </c>
      <c r="H1585" t="str">
        <f>"Inv# 3385595878"</f>
        <v>Inv# 3385595878</v>
      </c>
    </row>
    <row r="1586" spans="1:8" x14ac:dyDescent="0.25">
      <c r="E1586" t="str">
        <f>""</f>
        <v/>
      </c>
      <c r="F1586" t="str">
        <f>""</f>
        <v/>
      </c>
      <c r="H1586" t="str">
        <f>"Inv# 3385595886"</f>
        <v>Inv# 3385595886</v>
      </c>
    </row>
    <row r="1587" spans="1:8" x14ac:dyDescent="0.25">
      <c r="E1587" t="str">
        <f>""</f>
        <v/>
      </c>
      <c r="F1587" t="str">
        <f>""</f>
        <v/>
      </c>
      <c r="H1587" t="str">
        <f>"Inv# 3385595873"</f>
        <v>Inv# 3385595873</v>
      </c>
    </row>
    <row r="1588" spans="1:8" x14ac:dyDescent="0.25">
      <c r="E1588" t="str">
        <f>""</f>
        <v/>
      </c>
      <c r="F1588" t="str">
        <f>""</f>
        <v/>
      </c>
      <c r="H1588" t="str">
        <f>"Inv# 3385595880"</f>
        <v>Inv# 3385595880</v>
      </c>
    </row>
    <row r="1589" spans="1:8" x14ac:dyDescent="0.25">
      <c r="E1589" t="str">
        <f>""</f>
        <v/>
      </c>
      <c r="F1589" t="str">
        <f>""</f>
        <v/>
      </c>
      <c r="H1589" t="str">
        <f>"Inv# 3385595842"</f>
        <v>Inv# 3385595842</v>
      </c>
    </row>
    <row r="1590" spans="1:8" x14ac:dyDescent="0.25">
      <c r="E1590" t="str">
        <f>""</f>
        <v/>
      </c>
      <c r="F1590" t="str">
        <f>""</f>
        <v/>
      </c>
      <c r="H1590" t="str">
        <f>"Inv# 3385595847"</f>
        <v>Inv# 3385595847</v>
      </c>
    </row>
    <row r="1591" spans="1:8" x14ac:dyDescent="0.25">
      <c r="A1591" t="s">
        <v>497</v>
      </c>
      <c r="B1591">
        <v>78112</v>
      </c>
      <c r="C1591" s="3">
        <v>105</v>
      </c>
      <c r="D1591" s="1">
        <v>43325</v>
      </c>
      <c r="E1591" t="str">
        <f>"SALES0000000335610"</f>
        <v>SALES0000000335610</v>
      </c>
      <c r="F1591" t="str">
        <f>"ITEM#6671/FAMILY CODE"</f>
        <v>ITEM#6671/FAMILY CODE</v>
      </c>
      <c r="G1591" s="2">
        <v>105</v>
      </c>
      <c r="H1591" t="str">
        <f>"ITEM#6671/FAMILY CODE"</f>
        <v>ITEM#6671/FAMILY CODE</v>
      </c>
    </row>
    <row r="1592" spans="1:8" x14ac:dyDescent="0.25">
      <c r="A1592" t="s">
        <v>498</v>
      </c>
      <c r="B1592">
        <v>78113</v>
      </c>
      <c r="C1592" s="3">
        <v>666.09</v>
      </c>
      <c r="D1592" s="1">
        <v>43325</v>
      </c>
      <c r="E1592" t="str">
        <f>"201808072699"</f>
        <v>201808072699</v>
      </c>
      <c r="F1592" t="str">
        <f>"JULY 2018"</f>
        <v>JULY 2018</v>
      </c>
      <c r="G1592" s="2">
        <v>666.09</v>
      </c>
      <c r="H1592" t="str">
        <f>"JULY 2018"</f>
        <v>JULY 2018</v>
      </c>
    </row>
    <row r="1593" spans="1:8" x14ac:dyDescent="0.25">
      <c r="A1593" t="s">
        <v>499</v>
      </c>
      <c r="B1593">
        <v>78114</v>
      </c>
      <c r="C1593" s="3">
        <v>1517.44</v>
      </c>
      <c r="D1593" s="1">
        <v>43325</v>
      </c>
      <c r="E1593" t="str">
        <f>"4007917093/979690"</f>
        <v>4007917093/979690</v>
      </c>
      <c r="F1593" t="str">
        <f>"INV 4007917093/4007979690"</f>
        <v>INV 4007917093/4007979690</v>
      </c>
      <c r="G1593" s="2">
        <v>1517.44</v>
      </c>
      <c r="H1593" t="str">
        <f>"INV 4007917093"</f>
        <v>INV 4007917093</v>
      </c>
    </row>
    <row r="1594" spans="1:8" x14ac:dyDescent="0.25">
      <c r="E1594" t="str">
        <f>""</f>
        <v/>
      </c>
      <c r="F1594" t="str">
        <f>""</f>
        <v/>
      </c>
      <c r="H1594" t="str">
        <f>"INV 4007979690"</f>
        <v>INV 4007979690</v>
      </c>
    </row>
    <row r="1595" spans="1:8" x14ac:dyDescent="0.25">
      <c r="A1595" t="s">
        <v>500</v>
      </c>
      <c r="B1595">
        <v>78115</v>
      </c>
      <c r="C1595" s="3">
        <v>663</v>
      </c>
      <c r="D1595" s="1">
        <v>43325</v>
      </c>
      <c r="E1595" t="str">
        <f>"201808072703"</f>
        <v>201808072703</v>
      </c>
      <c r="F1595" t="str">
        <f>"TRASH REMOVAL 08/02-08/10/P4"</f>
        <v>TRASH REMOVAL 08/02-08/10/P4</v>
      </c>
      <c r="G1595" s="2">
        <v>286</v>
      </c>
      <c r="H1595" t="str">
        <f>"TRASH REMOVAL 08/02-08/10/P4"</f>
        <v>TRASH REMOVAL 08/02-08/10/P4</v>
      </c>
    </row>
    <row r="1596" spans="1:8" x14ac:dyDescent="0.25">
      <c r="E1596" t="str">
        <f>"201808072704"</f>
        <v>201808072704</v>
      </c>
      <c r="F1596" t="str">
        <f>"TRASH REMOVAL 07/23-07/31/P4"</f>
        <v>TRASH REMOVAL 07/23-07/31/P4</v>
      </c>
      <c r="G1596" s="2">
        <v>377</v>
      </c>
      <c r="H1596" t="str">
        <f>"TRASH REMOVAL 07/23-07/31/P4"</f>
        <v>TRASH REMOVAL 07/23-07/31/P4</v>
      </c>
    </row>
    <row r="1597" spans="1:8" x14ac:dyDescent="0.25">
      <c r="A1597" t="s">
        <v>500</v>
      </c>
      <c r="B1597">
        <v>78360</v>
      </c>
      <c r="C1597" s="3">
        <v>442</v>
      </c>
      <c r="D1597" s="1">
        <v>43339</v>
      </c>
      <c r="E1597" t="str">
        <f>"201808212958"</f>
        <v>201808212958</v>
      </c>
      <c r="F1597" t="str">
        <f>"TRASH REMOVAL 8/13-8/24/PCT#4"</f>
        <v>TRASH REMOVAL 8/13-8/24/PCT#4</v>
      </c>
      <c r="G1597" s="2">
        <v>442</v>
      </c>
      <c r="H1597" t="str">
        <f>"TRASH REMOVAL 8/13-8/24/PCT#4"</f>
        <v>TRASH REMOVAL 8/13-8/24/PCT#4</v>
      </c>
    </row>
    <row r="1598" spans="1:8" x14ac:dyDescent="0.25">
      <c r="A1598" t="s">
        <v>501</v>
      </c>
      <c r="B1598">
        <v>999999</v>
      </c>
      <c r="C1598" s="3">
        <v>11520</v>
      </c>
      <c r="D1598" s="1">
        <v>43326</v>
      </c>
      <c r="E1598" t="str">
        <f>"218"</f>
        <v>218</v>
      </c>
      <c r="F1598" t="str">
        <f>"SHREDDING/MOWING/PCT#2"</f>
        <v>SHREDDING/MOWING/PCT#2</v>
      </c>
      <c r="G1598" s="2">
        <v>11520</v>
      </c>
      <c r="H1598" t="str">
        <f>"SHREDDING/MOWING/PCT#2"</f>
        <v>SHREDDING/MOWING/PCT#2</v>
      </c>
    </row>
    <row r="1599" spans="1:8" x14ac:dyDescent="0.25">
      <c r="A1599" t="s">
        <v>501</v>
      </c>
      <c r="B1599">
        <v>999999</v>
      </c>
      <c r="C1599" s="3">
        <v>14640</v>
      </c>
      <c r="D1599" s="1">
        <v>43340</v>
      </c>
      <c r="E1599" t="str">
        <f>"221"</f>
        <v>221</v>
      </c>
      <c r="F1599" t="str">
        <f>"SHREDDING/MOWING AUG 2018"</f>
        <v>SHREDDING/MOWING AUG 2018</v>
      </c>
      <c r="G1599" s="2">
        <v>14640</v>
      </c>
      <c r="H1599" t="str">
        <f>"SHREDDING/MOWING AUG 2018"</f>
        <v>SHREDDING/MOWING AUG 2018</v>
      </c>
    </row>
    <row r="1600" spans="1:8" x14ac:dyDescent="0.25">
      <c r="A1600" t="s">
        <v>502</v>
      </c>
      <c r="B1600">
        <v>999999</v>
      </c>
      <c r="C1600" s="3">
        <v>26943.31</v>
      </c>
      <c r="D1600" s="1">
        <v>43340</v>
      </c>
      <c r="E1600" t="str">
        <f>"94869244"</f>
        <v>94869244</v>
      </c>
      <c r="F1600" t="str">
        <f>"ACCT#10187930/PCT#2"</f>
        <v>ACCT#10187930/PCT#2</v>
      </c>
      <c r="G1600" s="2">
        <v>3412.3</v>
      </c>
      <c r="H1600" t="str">
        <f>"ACCT#10187930/PCT#2"</f>
        <v>ACCT#10187930/PCT#2</v>
      </c>
    </row>
    <row r="1601" spans="1:8" x14ac:dyDescent="0.25">
      <c r="E1601" t="str">
        <f>"94878086"</f>
        <v>94878086</v>
      </c>
      <c r="F1601" t="str">
        <f>"ACCT#10187718/PCT#2"</f>
        <v>ACCT#10187718/PCT#2</v>
      </c>
      <c r="G1601" s="2">
        <v>3784.95</v>
      </c>
      <c r="H1601" t="str">
        <f>"ACCT#10187718/PCT#2"</f>
        <v>ACCT#10187718/PCT#2</v>
      </c>
    </row>
    <row r="1602" spans="1:8" x14ac:dyDescent="0.25">
      <c r="E1602" t="str">
        <f>"94892849"</f>
        <v>94892849</v>
      </c>
      <c r="F1602" t="str">
        <f>"ACCT#10187718/PCT#2"</f>
        <v>ACCT#10187718/PCT#2</v>
      </c>
      <c r="G1602" s="2">
        <v>3361.74</v>
      </c>
      <c r="H1602" t="str">
        <f>"ACCT#10187718/PCT#2"</f>
        <v>ACCT#10187718/PCT#2</v>
      </c>
    </row>
    <row r="1603" spans="1:8" x14ac:dyDescent="0.25">
      <c r="E1603" t="str">
        <f>"94903579"</f>
        <v>94903579</v>
      </c>
      <c r="F1603" t="str">
        <f>"ACCT#10187718/PCT#2"</f>
        <v>ACCT#10187718/PCT#2</v>
      </c>
      <c r="G1603" s="2">
        <v>3557.49</v>
      </c>
      <c r="H1603" t="str">
        <f>"ACCT#10187718/PCT#2"</f>
        <v>ACCT#10187718/PCT#2</v>
      </c>
    </row>
    <row r="1604" spans="1:8" x14ac:dyDescent="0.25">
      <c r="E1604" t="str">
        <f>"94919101"</f>
        <v>94919101</v>
      </c>
      <c r="F1604" t="str">
        <f>"ACCT#10187930/PCT#2"</f>
        <v>ACCT#10187930/PCT#2</v>
      </c>
      <c r="G1604" s="2">
        <v>3981.66</v>
      </c>
      <c r="H1604" t="str">
        <f>"ACCT#10187930/PCT#2"</f>
        <v>ACCT#10187930/PCT#2</v>
      </c>
    </row>
    <row r="1605" spans="1:8" x14ac:dyDescent="0.25">
      <c r="E1605" t="str">
        <f>"94935862"</f>
        <v>94935862</v>
      </c>
      <c r="F1605" t="str">
        <f>"ACCT#10187718/PCT#2"</f>
        <v>ACCT#10187718/PCT#2</v>
      </c>
      <c r="G1605" s="2">
        <v>3906.78</v>
      </c>
      <c r="H1605" t="str">
        <f>"ACCT#10187718/PCT#2"</f>
        <v>ACCT#10187718/PCT#2</v>
      </c>
    </row>
    <row r="1606" spans="1:8" x14ac:dyDescent="0.25">
      <c r="E1606" t="str">
        <f>"94949966"</f>
        <v>94949966</v>
      </c>
      <c r="F1606" t="str">
        <f>"ACCT#10187718/PCT#2"</f>
        <v>ACCT#10187718/PCT#2</v>
      </c>
      <c r="G1606" s="2">
        <v>4938.3900000000003</v>
      </c>
      <c r="H1606" t="str">
        <f>"ACCT#10187718/PCT#2"</f>
        <v>ACCT#10187718/PCT#2</v>
      </c>
    </row>
    <row r="1607" spans="1:8" x14ac:dyDescent="0.25">
      <c r="A1607" t="s">
        <v>503</v>
      </c>
      <c r="B1607">
        <v>78116</v>
      </c>
      <c r="C1607" s="3">
        <v>2509.83</v>
      </c>
      <c r="D1607" s="1">
        <v>43325</v>
      </c>
      <c r="E1607" t="str">
        <f>"INV9646"</f>
        <v>INV9646</v>
      </c>
      <c r="F1607" t="str">
        <f>"3 Ultrafire Security Came"</f>
        <v>3 Ultrafire Security Came</v>
      </c>
      <c r="G1607" s="2">
        <v>2509.83</v>
      </c>
      <c r="H1607" t="str">
        <f>"XS8"</f>
        <v>XS8</v>
      </c>
    </row>
    <row r="1608" spans="1:8" x14ac:dyDescent="0.25">
      <c r="E1608" t="str">
        <f>""</f>
        <v/>
      </c>
      <c r="F1608" t="str">
        <f>""</f>
        <v/>
      </c>
      <c r="H1608" t="str">
        <f>"PYTHONCAB"</f>
        <v>PYTHONCAB</v>
      </c>
    </row>
    <row r="1609" spans="1:8" x14ac:dyDescent="0.25">
      <c r="E1609" t="str">
        <f>""</f>
        <v/>
      </c>
      <c r="F1609" t="str">
        <f>""</f>
        <v/>
      </c>
      <c r="H1609" t="str">
        <f>"32GBSD"</f>
        <v>32GBSD</v>
      </c>
    </row>
    <row r="1610" spans="1:8" x14ac:dyDescent="0.25">
      <c r="E1610" t="str">
        <f>""</f>
        <v/>
      </c>
      <c r="F1610" t="str">
        <f>""</f>
        <v/>
      </c>
      <c r="H1610" t="str">
        <f>"UFSE"</f>
        <v>UFSE</v>
      </c>
    </row>
    <row r="1611" spans="1:8" x14ac:dyDescent="0.25">
      <c r="A1611" t="s">
        <v>504</v>
      </c>
      <c r="B1611">
        <v>78361</v>
      </c>
      <c r="C1611" s="3">
        <v>305</v>
      </c>
      <c r="D1611" s="1">
        <v>43339</v>
      </c>
      <c r="E1611" t="str">
        <f>"24137"</f>
        <v>24137</v>
      </c>
      <c r="F1611" t="str">
        <f>"DUES-J.SCHANALS/K.FOSTER/L.HAR"</f>
        <v>DUES-J.SCHANALS/K.FOSTER/L.HAR</v>
      </c>
      <c r="G1611" s="2">
        <v>305</v>
      </c>
      <c r="H1611" t="str">
        <f>"DUES-J.SCHANALS/K.FOSTER/L.HAR"</f>
        <v>DUES-J.SCHANALS/K.FOSTER/L.HAR</v>
      </c>
    </row>
    <row r="1612" spans="1:8" x14ac:dyDescent="0.25">
      <c r="A1612" t="s">
        <v>505</v>
      </c>
      <c r="B1612">
        <v>78117</v>
      </c>
      <c r="C1612" s="3">
        <v>75</v>
      </c>
      <c r="D1612" s="1">
        <v>43325</v>
      </c>
      <c r="E1612" t="str">
        <f>"12952"</f>
        <v>12952</v>
      </c>
      <c r="F1612" t="str">
        <f>"SERVICE  06/26/18"</f>
        <v>SERVICE  06/26/18</v>
      </c>
      <c r="G1612" s="2">
        <v>75</v>
      </c>
      <c r="H1612" t="str">
        <f>"SERVICE  06/26/18"</f>
        <v>SERVICE  06/26/18</v>
      </c>
    </row>
    <row r="1613" spans="1:8" x14ac:dyDescent="0.25">
      <c r="A1613" t="s">
        <v>506</v>
      </c>
      <c r="B1613">
        <v>78362</v>
      </c>
      <c r="C1613" s="3">
        <v>225</v>
      </c>
      <c r="D1613" s="1">
        <v>43339</v>
      </c>
      <c r="E1613" t="str">
        <f>"12484"</f>
        <v>12484</v>
      </c>
      <c r="F1613" t="str">
        <f>"SERVICE  06/27/18"</f>
        <v>SERVICE  06/27/18</v>
      </c>
      <c r="G1613" s="2">
        <v>225</v>
      </c>
      <c r="H1613" t="str">
        <f>"SERVICE  06/27/18"</f>
        <v>SERVICE  06/27/18</v>
      </c>
    </row>
    <row r="1614" spans="1:8" x14ac:dyDescent="0.25">
      <c r="A1614" t="s">
        <v>507</v>
      </c>
      <c r="B1614">
        <v>999999</v>
      </c>
      <c r="C1614" s="3">
        <v>67.12</v>
      </c>
      <c r="D1614" s="1">
        <v>43326</v>
      </c>
      <c r="E1614" t="str">
        <f>"18080103"</f>
        <v>18080103</v>
      </c>
      <c r="F1614" t="str">
        <f>"SVC CONTRACT"</f>
        <v>SVC CONTRACT</v>
      </c>
      <c r="G1614" s="2">
        <v>67.12</v>
      </c>
      <c r="H1614" t="str">
        <f>"SVC CONTRACT"</f>
        <v>SVC CONTRACT</v>
      </c>
    </row>
    <row r="1615" spans="1:8" x14ac:dyDescent="0.25">
      <c r="A1615" t="s">
        <v>508</v>
      </c>
      <c r="B1615">
        <v>78363</v>
      </c>
      <c r="C1615" s="3">
        <v>2450</v>
      </c>
      <c r="D1615" s="1">
        <v>43339</v>
      </c>
      <c r="E1615" t="str">
        <f>"142919"</f>
        <v>142919</v>
      </c>
      <c r="F1615" t="str">
        <f>"DAVID LEWIS-CONF REGISTRATION"</f>
        <v>DAVID LEWIS-CONF REGISTRATION</v>
      </c>
      <c r="G1615" s="2">
        <v>350</v>
      </c>
      <c r="H1615" t="str">
        <f>"DAVID LEWIS-CONF REGISTRATION"</f>
        <v>DAVID LEWIS-CONF REGISTRATION</v>
      </c>
    </row>
    <row r="1616" spans="1:8" x14ac:dyDescent="0.25">
      <c r="E1616" t="str">
        <f>"143043"</f>
        <v>143043</v>
      </c>
      <c r="F1616" t="str">
        <f>"KRISTIN BURNS-CONF REGISTRATIO"</f>
        <v>KRISTIN BURNS-CONF REGISTRATIO</v>
      </c>
      <c r="G1616" s="2">
        <v>350</v>
      </c>
      <c r="H1616" t="str">
        <f>"KRISTIN BURNS-CONF REGISTRATIO"</f>
        <v>KRISTIN BURNS-CONF REGISTRATIO</v>
      </c>
    </row>
    <row r="1617" spans="1:8" x14ac:dyDescent="0.25">
      <c r="E1617" t="str">
        <f>"143065"</f>
        <v>143065</v>
      </c>
      <c r="F1617" t="str">
        <f>"VALERIE BULLOCK-CONF REGISTRAT"</f>
        <v>VALERIE BULLOCK-CONF REGISTRAT</v>
      </c>
      <c r="G1617" s="2">
        <v>350</v>
      </c>
      <c r="H1617" t="str">
        <f>"'18 CRIM &amp; CIV LAW-V.BULLOCK"</f>
        <v>'18 CRIM &amp; CIV LAW-V.BULLOCK</v>
      </c>
    </row>
    <row r="1618" spans="1:8" x14ac:dyDescent="0.25">
      <c r="E1618" t="str">
        <f>"143411"</f>
        <v>143411</v>
      </c>
      <c r="F1618" t="str">
        <f>"PHILIP HALL-CONF REGISTRATION"</f>
        <v>PHILIP HALL-CONF REGISTRATION</v>
      </c>
      <c r="G1618" s="2">
        <v>350</v>
      </c>
      <c r="H1618" t="str">
        <f>"PHILIP HALL-CONF REGISTRATION"</f>
        <v>PHILIP HALL-CONF REGISTRATION</v>
      </c>
    </row>
    <row r="1619" spans="1:8" x14ac:dyDescent="0.25">
      <c r="E1619" t="str">
        <f>"143495"</f>
        <v>143495</v>
      </c>
      <c r="F1619" t="str">
        <f>"MARIO GINTELLA-CONF REGISTRAT"</f>
        <v>MARIO GINTELLA-CONF REGISTRAT</v>
      </c>
      <c r="G1619" s="2">
        <v>350</v>
      </c>
      <c r="H1619" t="str">
        <f>"MARIO GINTELLA-CONF REGISTRAT"</f>
        <v>MARIO GINTELLA-CONF REGISTRAT</v>
      </c>
    </row>
    <row r="1620" spans="1:8" x14ac:dyDescent="0.25">
      <c r="E1620" t="str">
        <f>"143821"</f>
        <v>143821</v>
      </c>
      <c r="F1620" t="str">
        <f>"BRYAN GOERTZ-CONF REGISTRATION"</f>
        <v>BRYAN GOERTZ-CONF REGISTRATION</v>
      </c>
      <c r="G1620" s="2">
        <v>350</v>
      </c>
      <c r="H1620" t="str">
        <f>"BRYAN GOERTZ-CONF REGISTRATION"</f>
        <v>BRYAN GOERTZ-CONF REGISTRATION</v>
      </c>
    </row>
    <row r="1621" spans="1:8" x14ac:dyDescent="0.25">
      <c r="E1621" t="str">
        <f>"143823"</f>
        <v>143823</v>
      </c>
      <c r="F1621" t="str">
        <f>"LINDSEY SIMMONS-CONF REGISTRAT"</f>
        <v>LINDSEY SIMMONS-CONF REGISTRAT</v>
      </c>
      <c r="G1621" s="2">
        <v>350</v>
      </c>
      <c r="H1621" t="str">
        <f>"LINDSEY SIMMONS-CONF REGISTRAT"</f>
        <v>LINDSEY SIMMONS-CONF REGISTRAT</v>
      </c>
    </row>
    <row r="1622" spans="1:8" x14ac:dyDescent="0.25">
      <c r="A1622" t="s">
        <v>509</v>
      </c>
      <c r="B1622">
        <v>78118</v>
      </c>
      <c r="C1622" s="3">
        <v>1550</v>
      </c>
      <c r="D1622" s="1">
        <v>43325</v>
      </c>
      <c r="E1622" t="str">
        <f>"UI 435966"</f>
        <v>UI 435966</v>
      </c>
      <c r="F1622" t="str">
        <f>"Trash Can for Annex"</f>
        <v>Trash Can for Annex</v>
      </c>
      <c r="G1622" s="2">
        <v>1550</v>
      </c>
      <c r="H1622" t="str">
        <f>"Trash Can for Annex"</f>
        <v>Trash Can for Annex</v>
      </c>
    </row>
    <row r="1623" spans="1:8" x14ac:dyDescent="0.25">
      <c r="E1623" t="str">
        <f>""</f>
        <v/>
      </c>
      <c r="F1623" t="str">
        <f>""</f>
        <v/>
      </c>
      <c r="H1623" t="str">
        <f>"Freight"</f>
        <v>Freight</v>
      </c>
    </row>
    <row r="1624" spans="1:8" x14ac:dyDescent="0.25">
      <c r="A1624" t="s">
        <v>510</v>
      </c>
      <c r="B1624">
        <v>999999</v>
      </c>
      <c r="C1624" s="3">
        <v>201</v>
      </c>
      <c r="D1624" s="1">
        <v>43340</v>
      </c>
      <c r="E1624" t="str">
        <f>"1809058"</f>
        <v>1809058</v>
      </c>
      <c r="F1624" t="str">
        <f>"MONTHLY CONTRACT BILLING"</f>
        <v>MONTHLY CONTRACT BILLING</v>
      </c>
      <c r="G1624" s="2">
        <v>201</v>
      </c>
      <c r="H1624" t="str">
        <f>"MONTHLY CONTRACT BILLING"</f>
        <v>MONTHLY CONTRACT BILLING</v>
      </c>
    </row>
    <row r="1625" spans="1:8" x14ac:dyDescent="0.25">
      <c r="A1625" t="s">
        <v>511</v>
      </c>
      <c r="B1625">
        <v>999999</v>
      </c>
      <c r="C1625" s="3">
        <v>24500</v>
      </c>
      <c r="D1625" s="1">
        <v>43327</v>
      </c>
      <c r="E1625" t="str">
        <f>"31"</f>
        <v>31</v>
      </c>
      <c r="F1625" t="str">
        <f>"P2 / CONCRETE CONCSTRUCTION"</f>
        <v>P2 / CONCRETE CONCSTRUCTION</v>
      </c>
      <c r="G1625" s="2">
        <v>24500</v>
      </c>
      <c r="H1625" t="str">
        <f>"P2 / CONCRETE CONCSTRUCTION"</f>
        <v>P2 / CONCRETE CONCSTRUCTION</v>
      </c>
    </row>
    <row r="1626" spans="1:8" x14ac:dyDescent="0.25">
      <c r="A1626" t="s">
        <v>512</v>
      </c>
      <c r="B1626">
        <v>78119</v>
      </c>
      <c r="C1626" s="3">
        <v>432.77</v>
      </c>
      <c r="D1626" s="1">
        <v>43325</v>
      </c>
      <c r="E1626" t="str">
        <f>"201807242393"</f>
        <v>201807242393</v>
      </c>
      <c r="F1626" t="str">
        <f>"CN 16403"</f>
        <v>CN 16403</v>
      </c>
      <c r="G1626" s="2">
        <v>432.77</v>
      </c>
      <c r="H1626" t="str">
        <f>"CN 16403"</f>
        <v>CN 16403</v>
      </c>
    </row>
    <row r="1627" spans="1:8" x14ac:dyDescent="0.25">
      <c r="A1627" t="s">
        <v>513</v>
      </c>
      <c r="B1627">
        <v>78364</v>
      </c>
      <c r="C1627" s="3">
        <v>65.400000000000006</v>
      </c>
      <c r="D1627" s="1">
        <v>43339</v>
      </c>
      <c r="E1627" t="str">
        <f>"201808152888"</f>
        <v>201808152888</v>
      </c>
      <c r="F1627" t="str">
        <f>"MILEAGE REIMBURSEMENT"</f>
        <v>MILEAGE REIMBURSEMENT</v>
      </c>
      <c r="G1627" s="2">
        <v>65.400000000000006</v>
      </c>
      <c r="H1627" t="str">
        <f>"MILEAGE REIMBURSEMENT"</f>
        <v>MILEAGE REIMBURSEMENT</v>
      </c>
    </row>
    <row r="1628" spans="1:8" x14ac:dyDescent="0.25">
      <c r="A1628" t="s">
        <v>514</v>
      </c>
      <c r="B1628">
        <v>78365</v>
      </c>
      <c r="C1628" s="3">
        <v>784.95</v>
      </c>
      <c r="D1628" s="1">
        <v>43339</v>
      </c>
      <c r="E1628" t="str">
        <f>"322141"</f>
        <v>322141</v>
      </c>
      <c r="F1628" t="str">
        <f>"INV 322141"</f>
        <v>INV 322141</v>
      </c>
      <c r="G1628" s="2">
        <v>784.95</v>
      </c>
      <c r="H1628" t="str">
        <f>"INV 322141"</f>
        <v>INV 322141</v>
      </c>
    </row>
    <row r="1629" spans="1:8" x14ac:dyDescent="0.25">
      <c r="A1629" t="s">
        <v>515</v>
      </c>
      <c r="B1629">
        <v>999999</v>
      </c>
      <c r="C1629" s="3">
        <v>190.58</v>
      </c>
      <c r="D1629" s="1">
        <v>43326</v>
      </c>
      <c r="E1629" t="str">
        <f>"0077358"</f>
        <v>0077358</v>
      </c>
      <c r="F1629" t="str">
        <f>"ACCT#63275/PCT#3"</f>
        <v>ACCT#63275/PCT#3</v>
      </c>
      <c r="G1629" s="2">
        <v>108.8</v>
      </c>
      <c r="H1629" t="str">
        <f>"ACCT#63275/PCT#3"</f>
        <v>ACCT#63275/PCT#3</v>
      </c>
    </row>
    <row r="1630" spans="1:8" x14ac:dyDescent="0.25">
      <c r="E1630" t="str">
        <f>"0077411"</f>
        <v>0077411</v>
      </c>
      <c r="F1630" t="str">
        <f>"ACCT#63275/CUSTID:BASCO1/PCT#2"</f>
        <v>ACCT#63275/CUSTID:BASCO1/PCT#2</v>
      </c>
      <c r="G1630" s="2">
        <v>81.78</v>
      </c>
      <c r="H1630" t="str">
        <f>"ACCT#63275/CUSTID:BASCO1/PCT#2"</f>
        <v>ACCT#63275/CUSTID:BASCO1/PCT#2</v>
      </c>
    </row>
    <row r="1631" spans="1:8" x14ac:dyDescent="0.25">
      <c r="A1631" t="s">
        <v>516</v>
      </c>
      <c r="B1631">
        <v>78120</v>
      </c>
      <c r="C1631" s="3">
        <v>21114.59</v>
      </c>
      <c r="D1631" s="1">
        <v>43325</v>
      </c>
      <c r="E1631" t="str">
        <f>"0766796-IN"</f>
        <v>0766796-IN</v>
      </c>
      <c r="F1631" t="str">
        <f>"ACCT#01-0112917/BOL#278099/P3"</f>
        <v>ACCT#01-0112917/BOL#278099/P3</v>
      </c>
      <c r="G1631" s="2">
        <v>4780.59</v>
      </c>
      <c r="H1631" t="str">
        <f>"ACCT#01-0112917/BOL#278099/P3"</f>
        <v>ACCT#01-0112917/BOL#278099/P3</v>
      </c>
    </row>
    <row r="1632" spans="1:8" x14ac:dyDescent="0.25">
      <c r="E1632" t="str">
        <f>"0768976-IN"</f>
        <v>0768976-IN</v>
      </c>
      <c r="F1632" t="str">
        <f>"ACCT#01-0112917/FUEL/PCT#1"</f>
        <v>ACCT#01-0112917/FUEL/PCT#1</v>
      </c>
      <c r="G1632" s="2">
        <v>5978.63</v>
      </c>
      <c r="H1632" t="str">
        <f>"ACCT#01-0112917/FUEL/PCT#1"</f>
        <v>ACCT#01-0112917/FUEL/PCT#1</v>
      </c>
    </row>
    <row r="1633" spans="1:8" x14ac:dyDescent="0.25">
      <c r="E1633" t="str">
        <f>"0769513-IN"</f>
        <v>0769513-IN</v>
      </c>
      <c r="F1633" t="str">
        <f>"ACCT#01-0112917/PCT#4"</f>
        <v>ACCT#01-0112917/PCT#4</v>
      </c>
      <c r="G1633" s="2">
        <v>1770</v>
      </c>
      <c r="H1633" t="str">
        <f>"ACCT#01-0112917/PCT#4"</f>
        <v>ACCT#01-0112917/PCT#4</v>
      </c>
    </row>
    <row r="1634" spans="1:8" x14ac:dyDescent="0.25">
      <c r="E1634" t="str">
        <f>"0770155-IN"</f>
        <v>0770155-IN</v>
      </c>
      <c r="F1634" t="str">
        <f>"ACCT#01-0112917/BOL#279314/P3"</f>
        <v>ACCT#01-0112917/BOL#279314/P3</v>
      </c>
      <c r="G1634" s="2">
        <v>3641.93</v>
      </c>
      <c r="H1634" t="str">
        <f>"ACCT#01-0112917/BOL#279314/P3"</f>
        <v>ACCT#01-0112917/BOL#279314/P3</v>
      </c>
    </row>
    <row r="1635" spans="1:8" x14ac:dyDescent="0.25">
      <c r="E1635" t="str">
        <f>"0773492-IN"</f>
        <v>0773492-IN</v>
      </c>
      <c r="F1635" t="str">
        <f>"ACCT#01-0112917/FUEL/PCT#3"</f>
        <v>ACCT#01-0112917/FUEL/PCT#3</v>
      </c>
      <c r="G1635" s="2">
        <v>4943.4399999999996</v>
      </c>
      <c r="H1635" t="str">
        <f>"ACCT#01-0112917/FUEL/PCT#3"</f>
        <v>ACCT#01-0112917/FUEL/PCT#3</v>
      </c>
    </row>
    <row r="1636" spans="1:8" x14ac:dyDescent="0.25">
      <c r="A1636" t="s">
        <v>516</v>
      </c>
      <c r="B1636">
        <v>78366</v>
      </c>
      <c r="C1636" s="3">
        <v>2694.95</v>
      </c>
      <c r="D1636" s="1">
        <v>43339</v>
      </c>
      <c r="E1636" t="str">
        <f>"0774300-IN"</f>
        <v>0774300-IN</v>
      </c>
      <c r="F1636" t="str">
        <f>"ACCT#01-0112917/DIESEL/PCT#1"</f>
        <v>ACCT#01-0112917/DIESEL/PCT#1</v>
      </c>
      <c r="G1636" s="2">
        <v>132</v>
      </c>
      <c r="H1636" t="str">
        <f>"ACCT#01-0112917/DIESEL/PCT#1"</f>
        <v>ACCT#01-0112917/DIESEL/PCT#1</v>
      </c>
    </row>
    <row r="1637" spans="1:8" x14ac:dyDescent="0.25">
      <c r="E1637" t="str">
        <f>"0775689-IN"</f>
        <v>0775689-IN</v>
      </c>
      <c r="F1637" t="str">
        <f>"ACCT#01-0112917/BOL#281182/P4"</f>
        <v>ACCT#01-0112917/BOL#281182/P4</v>
      </c>
      <c r="G1637" s="2">
        <v>2562.9499999999998</v>
      </c>
      <c r="H1637" t="str">
        <f>"ACCT#01-0112917/BOL#281182/P4"</f>
        <v>ACCT#01-0112917/BOL#281182/P4</v>
      </c>
    </row>
    <row r="1638" spans="1:8" x14ac:dyDescent="0.25">
      <c r="A1638" t="s">
        <v>517</v>
      </c>
      <c r="B1638">
        <v>78367</v>
      </c>
      <c r="C1638" s="3">
        <v>115</v>
      </c>
      <c r="D1638" s="1">
        <v>43339</v>
      </c>
      <c r="E1638" t="str">
        <f>"201808212967"</f>
        <v>201808212967</v>
      </c>
      <c r="F1638" t="str">
        <f>"CONF REGISTRATION-HILLARY LONG"</f>
        <v>CONF REGISTRATION-HILLARY LONG</v>
      </c>
      <c r="G1638" s="2">
        <v>115</v>
      </c>
      <c r="H1638" t="str">
        <f>"CONF REGISTRATION-HILLARY LONG"</f>
        <v>CONF REGISTRATION-HILLARY LONG</v>
      </c>
    </row>
    <row r="1639" spans="1:8" x14ac:dyDescent="0.25">
      <c r="A1639" t="s">
        <v>518</v>
      </c>
      <c r="B1639">
        <v>999999</v>
      </c>
      <c r="C1639" s="3">
        <v>312.7</v>
      </c>
      <c r="D1639" s="1">
        <v>43326</v>
      </c>
      <c r="E1639" t="str">
        <f>"95829"</f>
        <v>95829</v>
      </c>
      <c r="F1639" t="str">
        <f>"TICKET#1088901/BEDDING SAND/P1"</f>
        <v>TICKET#1088901/BEDDING SAND/P1</v>
      </c>
      <c r="G1639" s="2">
        <v>161.69999999999999</v>
      </c>
      <c r="H1639" t="str">
        <f>"TICKET#1088901/BEDDING SAND/P1"</f>
        <v>TICKET#1088901/BEDDING SAND/P1</v>
      </c>
    </row>
    <row r="1640" spans="1:8" x14ac:dyDescent="0.25">
      <c r="E1640" t="str">
        <f>"96083"</f>
        <v>96083</v>
      </c>
      <c r="F1640" t="str">
        <f>"TICKET#1090640/SAND/PCT#1"</f>
        <v>TICKET#1090640/SAND/PCT#1</v>
      </c>
      <c r="G1640" s="2">
        <v>151</v>
      </c>
      <c r="H1640" t="str">
        <f>"TICKET#1090640/SAND/PCT#1"</f>
        <v>TICKET#1090640/SAND/PCT#1</v>
      </c>
    </row>
    <row r="1641" spans="1:8" x14ac:dyDescent="0.25">
      <c r="A1641" t="s">
        <v>519</v>
      </c>
      <c r="B1641">
        <v>78121</v>
      </c>
      <c r="C1641" s="3">
        <v>300</v>
      </c>
      <c r="D1641" s="1">
        <v>43325</v>
      </c>
      <c r="E1641" t="str">
        <f>"1635"</f>
        <v>1635</v>
      </c>
      <c r="F1641" t="str">
        <f>"INV 1635"</f>
        <v>INV 1635</v>
      </c>
      <c r="G1641" s="2">
        <v>50</v>
      </c>
      <c r="H1641" t="str">
        <f>"INV 1635"</f>
        <v>INV 1635</v>
      </c>
    </row>
    <row r="1642" spans="1:8" x14ac:dyDescent="0.25">
      <c r="E1642" t="str">
        <f>"201808082818"</f>
        <v>201808082818</v>
      </c>
      <c r="F1642" t="str">
        <f>"INV FOR AUGUST RENEWAL"</f>
        <v>INV FOR AUGUST RENEWAL</v>
      </c>
      <c r="G1642" s="2">
        <v>250</v>
      </c>
      <c r="H1642" t="str">
        <f>"INV FOR AUGUST RENEWAL"</f>
        <v>INV FOR AUGUST RENEWAL</v>
      </c>
    </row>
    <row r="1643" spans="1:8" x14ac:dyDescent="0.25">
      <c r="A1643" t="s">
        <v>520</v>
      </c>
      <c r="B1643">
        <v>78122</v>
      </c>
      <c r="C1643" s="3">
        <v>350</v>
      </c>
      <c r="D1643" s="1">
        <v>43325</v>
      </c>
      <c r="E1643" t="str">
        <f>"00198"</f>
        <v>00198</v>
      </c>
      <c r="F1643" t="str">
        <f>"CONF REG-DEBORAH SHIROCKY"</f>
        <v>CONF REG-DEBORAH SHIROCKY</v>
      </c>
      <c r="G1643" s="2">
        <v>350</v>
      </c>
      <c r="H1643" t="str">
        <f>"CONF REG-DEBORAH SHIROCKY"</f>
        <v>CONF REG-DEBORAH SHIROCKY</v>
      </c>
    </row>
    <row r="1644" spans="1:8" x14ac:dyDescent="0.25">
      <c r="A1644" t="s">
        <v>521</v>
      </c>
      <c r="B1644">
        <v>78123</v>
      </c>
      <c r="C1644" s="3">
        <v>180</v>
      </c>
      <c r="D1644" s="1">
        <v>43325</v>
      </c>
      <c r="E1644" t="str">
        <f>"277306"</f>
        <v>277306</v>
      </c>
      <c r="F1644" t="str">
        <f>"MEMB ID:244950/ETTA WILEY/CONF"</f>
        <v>MEMB ID:244950/ETTA WILEY/CONF</v>
      </c>
      <c r="G1644" s="2">
        <v>180</v>
      </c>
      <c r="H1644" t="str">
        <f>"MEMB ID:244950/ETTA WILEY/CONF"</f>
        <v>MEMB ID:244950/ETTA WILEY/CONF</v>
      </c>
    </row>
    <row r="1645" spans="1:8" x14ac:dyDescent="0.25">
      <c r="A1645" t="s">
        <v>521</v>
      </c>
      <c r="B1645">
        <v>78124</v>
      </c>
      <c r="C1645" s="3">
        <v>180</v>
      </c>
      <c r="D1645" s="1">
        <v>43325</v>
      </c>
      <c r="E1645" t="str">
        <f>"277307"</f>
        <v>277307</v>
      </c>
      <c r="F1645" t="str">
        <f>"MEMB ID:247078/LAUREN OTT/CONF"</f>
        <v>MEMB ID:247078/LAUREN OTT/CONF</v>
      </c>
      <c r="G1645" s="2">
        <v>180</v>
      </c>
      <c r="H1645" t="str">
        <f>"MEMB ID:247078/LAUREN OTT/CONF"</f>
        <v>MEMB ID:247078/LAUREN OTT/CONF</v>
      </c>
    </row>
    <row r="1646" spans="1:8" x14ac:dyDescent="0.25">
      <c r="A1646" t="s">
        <v>521</v>
      </c>
      <c r="B1646">
        <v>78368</v>
      </c>
      <c r="C1646" s="3">
        <v>275</v>
      </c>
      <c r="D1646" s="1">
        <v>43339</v>
      </c>
      <c r="E1646" t="str">
        <f>"277711"</f>
        <v>277711</v>
      </c>
      <c r="F1646" t="str">
        <f>"MEMBER#:203296/CONF-L. SMITH"</f>
        <v>MEMBER#:203296/CONF-L. SMITH</v>
      </c>
      <c r="G1646" s="2">
        <v>275</v>
      </c>
      <c r="H1646" t="str">
        <f>"MEMBER#:203296/CONF-L. SMITH"</f>
        <v>MEMBER#:203296/CONF-L. SMITH</v>
      </c>
    </row>
    <row r="1647" spans="1:8" x14ac:dyDescent="0.25">
      <c r="A1647" t="s">
        <v>522</v>
      </c>
      <c r="B1647">
        <v>999999</v>
      </c>
      <c r="C1647" s="3">
        <v>1230.69</v>
      </c>
      <c r="D1647" s="1">
        <v>43326</v>
      </c>
      <c r="E1647" t="str">
        <f>"201808062652"</f>
        <v>201808062652</v>
      </c>
      <c r="F1647" t="str">
        <f>"CUST#0005/PCT#4"</f>
        <v>CUST#0005/PCT#4</v>
      </c>
      <c r="G1647" s="2">
        <v>1230.69</v>
      </c>
      <c r="H1647" t="str">
        <f>"CUST#0005/PCT#4"</f>
        <v>CUST#0005/PCT#4</v>
      </c>
    </row>
    <row r="1648" spans="1:8" x14ac:dyDescent="0.25">
      <c r="A1648" t="s">
        <v>523</v>
      </c>
      <c r="B1648">
        <v>78125</v>
      </c>
      <c r="C1648" s="3">
        <v>250</v>
      </c>
      <c r="D1648" s="1">
        <v>43325</v>
      </c>
      <c r="E1648" t="str">
        <f>"201808082822"</f>
        <v>201808082822</v>
      </c>
      <c r="F1648" t="str">
        <f>"TRAINING"</f>
        <v>TRAINING</v>
      </c>
      <c r="G1648" s="2">
        <v>250</v>
      </c>
      <c r="H1648" t="str">
        <f>"TRAINING"</f>
        <v>TRAINING</v>
      </c>
    </row>
    <row r="1649" spans="1:9" x14ac:dyDescent="0.25">
      <c r="A1649" t="s">
        <v>524</v>
      </c>
      <c r="B1649">
        <v>78126</v>
      </c>
      <c r="C1649" s="3">
        <v>500</v>
      </c>
      <c r="D1649" s="1">
        <v>43325</v>
      </c>
      <c r="E1649" t="str">
        <f>"01596296"</f>
        <v>01596296</v>
      </c>
      <c r="F1649" t="str">
        <f>"CLIENT#00511884/LICENSE RENEWA"</f>
        <v>CLIENT#00511884/LICENSE RENEWA</v>
      </c>
      <c r="G1649" s="2">
        <v>500</v>
      </c>
      <c r="H1649" t="str">
        <f>"CLIENT#00511884/LICENSE RENEWA"</f>
        <v>CLIENT#00511884/LICENSE RENEWA</v>
      </c>
    </row>
    <row r="1650" spans="1:9" x14ac:dyDescent="0.25">
      <c r="A1650" t="s">
        <v>525</v>
      </c>
      <c r="B1650">
        <v>78127</v>
      </c>
      <c r="C1650" s="3">
        <v>18</v>
      </c>
      <c r="D1650" s="1">
        <v>43325</v>
      </c>
      <c r="E1650" t="str">
        <f>"CRS-201806-148400"</f>
        <v>CRS-201806-148400</v>
      </c>
      <c r="F1650" t="str">
        <f>"SECURE SITE CCH NAME SEARCH"</f>
        <v>SECURE SITE CCH NAME SEARCH</v>
      </c>
      <c r="G1650" s="2">
        <v>18</v>
      </c>
      <c r="H1650" t="str">
        <f>"SECURE SITE CCH NAME SEARCH"</f>
        <v>SECURE SITE CCH NAME SEARCH</v>
      </c>
    </row>
    <row r="1651" spans="1:9" x14ac:dyDescent="0.25">
      <c r="A1651" t="s">
        <v>525</v>
      </c>
      <c r="B1651">
        <v>78128</v>
      </c>
      <c r="C1651" s="3">
        <v>209</v>
      </c>
      <c r="D1651" s="1">
        <v>43325</v>
      </c>
      <c r="E1651" t="s">
        <v>97</v>
      </c>
      <c r="F1651" t="s">
        <v>526</v>
      </c>
      <c r="G1651" s="2" t="str">
        <f>"RESTITUTION-B. HAYWOOD 06/28/1"</f>
        <v>RESTITUTION-B. HAYWOOD 06/28/1</v>
      </c>
      <c r="H1651" t="str">
        <f>"210-0000"</f>
        <v>210-0000</v>
      </c>
      <c r="I1651" t="str">
        <f>""</f>
        <v/>
      </c>
    </row>
    <row r="1652" spans="1:9" x14ac:dyDescent="0.25">
      <c r="E1652" t="s">
        <v>211</v>
      </c>
      <c r="F1652" t="s">
        <v>527</v>
      </c>
      <c r="G1652" s="2" t="str">
        <f>"RESTITUTION-A. BERNAL"</f>
        <v>RESTITUTION-A. BERNAL</v>
      </c>
      <c r="H1652" t="str">
        <f>"210-0000"</f>
        <v>210-0000</v>
      </c>
      <c r="I1652" t="str">
        <f>""</f>
        <v/>
      </c>
    </row>
    <row r="1653" spans="1:9" x14ac:dyDescent="0.25">
      <c r="E1653" t="s">
        <v>93</v>
      </c>
      <c r="F1653" t="s">
        <v>528</v>
      </c>
      <c r="G1653" s="2" t="str">
        <f>"RESTITUTION-J. SHARPE 06/26/18"</f>
        <v>RESTITUTION-J. SHARPE 06/26/18</v>
      </c>
      <c r="H1653" t="str">
        <f>"210-0000"</f>
        <v>210-0000</v>
      </c>
      <c r="I1653" t="str">
        <f>""</f>
        <v/>
      </c>
    </row>
    <row r="1654" spans="1:9" x14ac:dyDescent="0.25">
      <c r="A1654" t="s">
        <v>529</v>
      </c>
      <c r="B1654">
        <v>78129</v>
      </c>
      <c r="C1654" s="3">
        <v>475</v>
      </c>
      <c r="D1654" s="1">
        <v>43325</v>
      </c>
      <c r="E1654" t="str">
        <f>"11540"</f>
        <v>11540</v>
      </c>
      <c r="F1654" t="str">
        <f>"EXHIBITOR/PACKET CONTRIB/ELECT"</f>
        <v>EXHIBITOR/PACKET CONTRIB/ELECT</v>
      </c>
      <c r="G1654" s="2">
        <v>475</v>
      </c>
      <c r="H1654" t="str">
        <f>"EXHIBITOR/PACKET CONTRIB/ELECT"</f>
        <v>EXHIBITOR/PACKET CONTRIB/ELECT</v>
      </c>
    </row>
    <row r="1655" spans="1:9" x14ac:dyDescent="0.25">
      <c r="A1655" t="s">
        <v>530</v>
      </c>
      <c r="B1655">
        <v>78130</v>
      </c>
      <c r="C1655" s="3">
        <v>500</v>
      </c>
      <c r="D1655" s="1">
        <v>43325</v>
      </c>
      <c r="E1655" t="str">
        <f>"8681"</f>
        <v>8681</v>
      </c>
      <c r="F1655" t="str">
        <f>"2018 ANNUAL CONFERENCE-A LEWIS"</f>
        <v>2018 ANNUAL CONFERENCE-A LEWIS</v>
      </c>
      <c r="G1655" s="2">
        <v>500</v>
      </c>
      <c r="H1655" t="str">
        <f>"2018 ANNUAL CONFERENCE-A LEWIS"</f>
        <v>2018 ANNUAL CONFERENCE-A LEWIS</v>
      </c>
    </row>
    <row r="1656" spans="1:9" x14ac:dyDescent="0.25">
      <c r="A1656" t="s">
        <v>531</v>
      </c>
      <c r="B1656">
        <v>78131</v>
      </c>
      <c r="C1656" s="3">
        <v>590</v>
      </c>
      <c r="D1656" s="1">
        <v>43325</v>
      </c>
      <c r="E1656" t="str">
        <f>"2916"</f>
        <v>2916</v>
      </c>
      <c r="F1656" t="str">
        <f>"TRAINING"</f>
        <v>TRAINING</v>
      </c>
      <c r="G1656" s="2">
        <v>590</v>
      </c>
      <c r="H1656" t="str">
        <f>"TRAINING - R. CARVIN"</f>
        <v>TRAINING - R. CARVIN</v>
      </c>
    </row>
    <row r="1657" spans="1:9" x14ac:dyDescent="0.25">
      <c r="E1657" t="str">
        <f>""</f>
        <v/>
      </c>
      <c r="F1657" t="str">
        <f>""</f>
        <v/>
      </c>
      <c r="H1657" t="str">
        <f>"TRAINING - J. MILLER"</f>
        <v>TRAINING - J. MILLER</v>
      </c>
    </row>
    <row r="1658" spans="1:9" x14ac:dyDescent="0.25">
      <c r="A1658" t="s">
        <v>532</v>
      </c>
      <c r="B1658">
        <v>78369</v>
      </c>
      <c r="C1658" s="3">
        <v>275</v>
      </c>
      <c r="D1658" s="1">
        <v>43339</v>
      </c>
      <c r="E1658" t="str">
        <f>"201808162929"</f>
        <v>201808162929</v>
      </c>
      <c r="F1658" t="str">
        <f>"TML CONF REG-ADENA LEWIS"</f>
        <v>TML CONF REG-ADENA LEWIS</v>
      </c>
      <c r="G1658" s="2">
        <v>275</v>
      </c>
      <c r="H1658" t="str">
        <f>"TML CONF REG-ADENA LEWIS"</f>
        <v>TML CONF REG-ADENA LEWIS</v>
      </c>
    </row>
    <row r="1659" spans="1:9" x14ac:dyDescent="0.25">
      <c r="A1659" t="s">
        <v>533</v>
      </c>
      <c r="B1659">
        <v>78132</v>
      </c>
      <c r="C1659" s="3">
        <v>601.5</v>
      </c>
      <c r="D1659" s="1">
        <v>43325</v>
      </c>
      <c r="E1659" t="str">
        <f>"1CO-0304-18"</f>
        <v>1CO-0304-18</v>
      </c>
      <c r="F1659" t="str">
        <f>"A8243958 - G.A. MYERS"</f>
        <v>A8243958 - G.A. MYERS</v>
      </c>
      <c r="G1659" s="2">
        <v>27.75</v>
      </c>
      <c r="H1659" t="str">
        <f>"A8243958 - G.A. MYERS"</f>
        <v>A8243958 - G.A. MYERS</v>
      </c>
    </row>
    <row r="1660" spans="1:9" x14ac:dyDescent="0.25">
      <c r="E1660" t="str">
        <f>"1CO-2107-12"</f>
        <v>1CO-2107-12</v>
      </c>
      <c r="F1660" t="str">
        <f>"A8041018 - D. LUNA"</f>
        <v>A8041018 - D. LUNA</v>
      </c>
      <c r="G1660" s="2">
        <v>114.75</v>
      </c>
      <c r="H1660" t="str">
        <f>"A8041018 - D. LUNA"</f>
        <v>A8041018 - D. LUNA</v>
      </c>
    </row>
    <row r="1661" spans="1:9" x14ac:dyDescent="0.25">
      <c r="E1661" t="str">
        <f>"3CO-2861-18"</f>
        <v>3CO-2861-18</v>
      </c>
      <c r="F1661" t="str">
        <f>"A8243968 - W.A. ROSS JR."</f>
        <v>A8243968 - W.A. ROSS JR.</v>
      </c>
      <c r="G1661" s="2">
        <v>114.75</v>
      </c>
      <c r="H1661" t="str">
        <f>"A8243968 - W.A. ROSS JR."</f>
        <v>A8243968 - W.A. ROSS JR.</v>
      </c>
    </row>
    <row r="1662" spans="1:9" x14ac:dyDescent="0.25">
      <c r="E1662" t="str">
        <f>"J2-56367"</f>
        <v>J2-56367</v>
      </c>
      <c r="F1662" t="str">
        <f>"A13290 - C. F. GUNN"</f>
        <v>A13290 - C. F. GUNN</v>
      </c>
      <c r="G1662" s="2">
        <v>114.75</v>
      </c>
      <c r="H1662" t="str">
        <f>"A13290 - C. F. GUNN"</f>
        <v>A13290 - C. F. GUNN</v>
      </c>
    </row>
    <row r="1663" spans="1:9" x14ac:dyDescent="0.25">
      <c r="E1663" t="str">
        <f>"J2-57385"</f>
        <v>J2-57385</v>
      </c>
      <c r="F1663" t="str">
        <f>"A8270988 - J. GERARDO"</f>
        <v>A8270988 - J. GERARDO</v>
      </c>
      <c r="G1663" s="2">
        <v>114.75</v>
      </c>
      <c r="H1663" t="str">
        <f>"A8270988 - J. GERARDO"</f>
        <v>A8270988 - J. GERARDO</v>
      </c>
    </row>
    <row r="1664" spans="1:9" x14ac:dyDescent="0.25">
      <c r="E1664" t="str">
        <f>"J2-57916"</f>
        <v>J2-57916</v>
      </c>
      <c r="F1664" t="str">
        <f>"A8270995 - M. BOLES"</f>
        <v>A8270995 - M. BOLES</v>
      </c>
      <c r="G1664" s="2">
        <v>114.75</v>
      </c>
      <c r="H1664" t="str">
        <f>"A8270995 - M. BOLES"</f>
        <v>A8270995 - M. BOLES</v>
      </c>
    </row>
    <row r="1665" spans="1:8" x14ac:dyDescent="0.25">
      <c r="A1665" t="s">
        <v>533</v>
      </c>
      <c r="B1665">
        <v>78370</v>
      </c>
      <c r="C1665" s="3">
        <v>1542.75</v>
      </c>
      <c r="D1665" s="1">
        <v>43339</v>
      </c>
      <c r="E1665" t="str">
        <f>"17-3367J4"</f>
        <v>17-3367J4</v>
      </c>
      <c r="F1665" t="str">
        <f>"A8210949 - C.A. RUTHVEN"</f>
        <v>A8210949 - C.A. RUTHVEN</v>
      </c>
      <c r="G1665" s="2">
        <v>425</v>
      </c>
      <c r="H1665" t="str">
        <f>"A8210949 - C.A. RUTHVEN"</f>
        <v>A8210949 - C.A. RUTHVEN</v>
      </c>
    </row>
    <row r="1666" spans="1:8" x14ac:dyDescent="0.25">
      <c r="E1666" t="str">
        <f>"A8270641"</f>
        <v>A8270641</v>
      </c>
      <c r="F1666" t="str">
        <f>"J2-59416 - M.N. REDMOND"</f>
        <v>J2-59416 - M.N. REDMOND</v>
      </c>
      <c r="G1666" s="2">
        <v>114.75</v>
      </c>
      <c r="H1666" t="str">
        <f>"J2-59416 - M.N. REDMOND"</f>
        <v>J2-59416 - M.N. REDMOND</v>
      </c>
    </row>
    <row r="1667" spans="1:8" x14ac:dyDescent="0.25">
      <c r="E1667" t="str">
        <f>"J2-38274"</f>
        <v>J2-38274</v>
      </c>
      <c r="F1667" t="str">
        <f>"A8101647 - N .M. BARRIENTOS"</f>
        <v>A8101647 - N .M. BARRIENTOS</v>
      </c>
      <c r="G1667" s="2">
        <v>157.25</v>
      </c>
      <c r="H1667" t="str">
        <f>"A8101647 - N .M. BARRIENTOS"</f>
        <v>A8101647 - N .M. BARRIENTOS</v>
      </c>
    </row>
    <row r="1668" spans="1:8" x14ac:dyDescent="0.25">
      <c r="E1668" t="str">
        <f>"J2-38341"</f>
        <v>J2-38341</v>
      </c>
      <c r="F1668" t="str">
        <f>"A8101650 - P. MAYO"</f>
        <v>A8101650 - P. MAYO</v>
      </c>
      <c r="G1668" s="2">
        <v>114.75</v>
      </c>
      <c r="H1668" t="str">
        <f>"A8101650 - P. MAYO"</f>
        <v>A8101650 - P. MAYO</v>
      </c>
    </row>
    <row r="1669" spans="1:8" x14ac:dyDescent="0.25">
      <c r="E1669" t="str">
        <f>"J2-40431"</f>
        <v>J2-40431</v>
      </c>
      <c r="F1669" t="str">
        <f>"A8167346 - J.W. LITTLE"</f>
        <v>A8167346 - J.W. LITTLE</v>
      </c>
      <c r="G1669" s="2">
        <v>114.75</v>
      </c>
      <c r="H1669" t="str">
        <f>"A8167346 - J.W. LITTLE"</f>
        <v>A8167346 - J.W. LITTLE</v>
      </c>
    </row>
    <row r="1670" spans="1:8" x14ac:dyDescent="0.25">
      <c r="E1670" t="str">
        <f>"J2-54071"</f>
        <v>J2-54071</v>
      </c>
      <c r="F1670" t="str">
        <f>"A8243946 - A.V.  MOSCO"</f>
        <v>A8243946 - A.V.  MOSCO</v>
      </c>
      <c r="G1670" s="2">
        <v>114.75</v>
      </c>
      <c r="H1670" t="str">
        <f>"A8243946 - A.V.  MOSCO"</f>
        <v>A8243946 - A.V.  MOSCO</v>
      </c>
    </row>
    <row r="1671" spans="1:8" x14ac:dyDescent="0.25">
      <c r="E1671" t="str">
        <f>"J2-54072"</f>
        <v>J2-54072</v>
      </c>
      <c r="F1671" t="str">
        <f>"A8243945 - J. TIJERINA"</f>
        <v>A8243945 - J. TIJERINA</v>
      </c>
      <c r="G1671" s="2">
        <v>114.75</v>
      </c>
      <c r="H1671" t="str">
        <f>"A8243945 - J. TIJERINA"</f>
        <v>A8243945 - J. TIJERINA</v>
      </c>
    </row>
    <row r="1672" spans="1:8" x14ac:dyDescent="0.25">
      <c r="E1672" t="str">
        <f>"J2-54158"</f>
        <v>J2-54158</v>
      </c>
      <c r="F1672" t="str">
        <f>"A8210962 - T.L. ARMSTRONG"</f>
        <v>A8210962 - T.L. ARMSTRONG</v>
      </c>
      <c r="G1672" s="2">
        <v>114.75</v>
      </c>
      <c r="H1672" t="str">
        <f>"A8210962 - T.L. ARMSTRONG"</f>
        <v>A8210962 - T.L. ARMSTRONG</v>
      </c>
    </row>
    <row r="1673" spans="1:8" x14ac:dyDescent="0.25">
      <c r="E1673" t="str">
        <f>"J2-55062"</f>
        <v>J2-55062</v>
      </c>
      <c r="F1673" t="str">
        <f>"A8210967 - E. VELASCO-SALAZAR"</f>
        <v>A8210967 - E. VELASCO-SALAZAR</v>
      </c>
      <c r="G1673" s="2">
        <v>114.75</v>
      </c>
      <c r="H1673" t="str">
        <f>"A8210967 - E. VELASCO-SALAZAR"</f>
        <v>A8210967 - E. VELASCO-SALAZAR</v>
      </c>
    </row>
    <row r="1674" spans="1:8" x14ac:dyDescent="0.25">
      <c r="E1674" t="str">
        <f>"J2-57605"</f>
        <v>J2-57605</v>
      </c>
      <c r="F1674" t="str">
        <f>"A8243973 - C. RICHTER"</f>
        <v>A8243973 - C. RICHTER</v>
      </c>
      <c r="G1674" s="2">
        <v>157.25</v>
      </c>
      <c r="H1674" t="str">
        <f>"A8243973 - C. RICHTER"</f>
        <v>A8243973 - C. RICHTER</v>
      </c>
    </row>
    <row r="1675" spans="1:8" x14ac:dyDescent="0.25">
      <c r="A1675" t="s">
        <v>534</v>
      </c>
      <c r="B1675">
        <v>78133</v>
      </c>
      <c r="C1675" s="3">
        <v>958</v>
      </c>
      <c r="D1675" s="1">
        <v>43325</v>
      </c>
      <c r="E1675" t="str">
        <f>"8414"</f>
        <v>8414</v>
      </c>
      <c r="F1675" t="str">
        <f>"INV 8414"</f>
        <v>INV 8414</v>
      </c>
      <c r="G1675" s="2">
        <v>283</v>
      </c>
      <c r="H1675" t="str">
        <f>"INV 8414"</f>
        <v>INV 8414</v>
      </c>
    </row>
    <row r="1676" spans="1:8" x14ac:dyDescent="0.25">
      <c r="E1676" t="str">
        <f>"8502"</f>
        <v>8502</v>
      </c>
      <c r="F1676" t="str">
        <f>"INV 8502"</f>
        <v>INV 8502</v>
      </c>
      <c r="G1676" s="2">
        <v>253</v>
      </c>
      <c r="H1676" t="str">
        <f>"INV 8502"</f>
        <v>INV 8502</v>
      </c>
    </row>
    <row r="1677" spans="1:8" x14ac:dyDescent="0.25">
      <c r="E1677" t="str">
        <f>"8624"</f>
        <v>8624</v>
      </c>
      <c r="F1677" t="str">
        <f>"INV 8624"</f>
        <v>INV 8624</v>
      </c>
      <c r="G1677" s="2">
        <v>422</v>
      </c>
      <c r="H1677" t="str">
        <f>"INV 8624"</f>
        <v>INV 8624</v>
      </c>
    </row>
    <row r="1678" spans="1:8" x14ac:dyDescent="0.25">
      <c r="A1678" t="s">
        <v>535</v>
      </c>
      <c r="B1678">
        <v>78134</v>
      </c>
      <c r="C1678" s="3">
        <v>199</v>
      </c>
      <c r="D1678" s="1">
        <v>43325</v>
      </c>
      <c r="E1678" t="str">
        <f>"TRC18-062018-3604"</f>
        <v>TRC18-062018-3604</v>
      </c>
      <c r="F1678" t="str">
        <f>"CONF#H3NWWHTKWYZ-JULIA CLEARY"</f>
        <v>CONF#H3NWWHTKWYZ-JULIA CLEARY</v>
      </c>
      <c r="G1678" s="2">
        <v>199</v>
      </c>
      <c r="H1678" t="str">
        <f>"CONF#H3NWWHTKWYZ-JULIA CLEARY"</f>
        <v>CONF#H3NWWHTKWYZ-JULIA CLEARY</v>
      </c>
    </row>
    <row r="1679" spans="1:8" x14ac:dyDescent="0.25">
      <c r="A1679" t="s">
        <v>536</v>
      </c>
      <c r="B1679">
        <v>78135</v>
      </c>
      <c r="C1679" s="3">
        <v>1255</v>
      </c>
      <c r="D1679" s="1">
        <v>43325</v>
      </c>
      <c r="E1679" t="str">
        <f>"67099"</f>
        <v>67099</v>
      </c>
      <c r="F1679" t="str">
        <f>"ACCT#188757/RD &amp; BRIDGE/SIGN"</f>
        <v>ACCT#188757/RD &amp; BRIDGE/SIGN</v>
      </c>
      <c r="G1679" s="2">
        <v>95</v>
      </c>
      <c r="H1679" t="str">
        <f>"ACCT#188757/RD &amp; BRIDGE/SIGN"</f>
        <v>ACCT#188757/RD &amp; BRIDGE/SIGN</v>
      </c>
    </row>
    <row r="1680" spans="1:8" x14ac:dyDescent="0.25">
      <c r="E1680" t="str">
        <f>"67100"</f>
        <v>67100</v>
      </c>
      <c r="F1680" t="str">
        <f>"ACCT#188757/JUVENILE BOOT CAMP"</f>
        <v>ACCT#188757/JUVENILE BOOT CAMP</v>
      </c>
      <c r="G1680" s="2">
        <v>118.5</v>
      </c>
      <c r="H1680" t="str">
        <f>"ACCT#188757/JUVENILE BOOT CAMP"</f>
        <v>ACCT#188757/JUVENILE BOOT CAMP</v>
      </c>
    </row>
    <row r="1681" spans="1:8" x14ac:dyDescent="0.25">
      <c r="E1681" t="str">
        <f>"67225"</f>
        <v>67225</v>
      </c>
      <c r="F1681" t="str">
        <f>"ACCT#67225/MIKE FISHER BLDG"</f>
        <v>ACCT#67225/MIKE FISHER BLDG</v>
      </c>
      <c r="G1681" s="2">
        <v>112</v>
      </c>
      <c r="H1681" t="str">
        <f>"ACCT#67225/MIKE FISHER BLDG"</f>
        <v>ACCT#67225/MIKE FISHER BLDG</v>
      </c>
    </row>
    <row r="1682" spans="1:8" x14ac:dyDescent="0.25">
      <c r="E1682" t="str">
        <f>"67302"</f>
        <v>67302</v>
      </c>
      <c r="F1682" t="str">
        <f>"ACCT#188757/JP4/TAX OFFICE"</f>
        <v>ACCT#188757/JP4/TAX OFFICE</v>
      </c>
      <c r="G1682" s="2">
        <v>95</v>
      </c>
      <c r="H1682" t="str">
        <f>"ACCT#188757/JP4/TAX OFFICE"</f>
        <v>ACCT#188757/JP4/TAX OFFICE</v>
      </c>
    </row>
    <row r="1683" spans="1:8" x14ac:dyDescent="0.25">
      <c r="E1683" t="str">
        <f>"67508"</f>
        <v>67508</v>
      </c>
      <c r="F1683" t="str">
        <f>"ACCT#188757/JP3/TAX OFFICE"</f>
        <v>ACCT#188757/JP3/TAX OFFICE</v>
      </c>
      <c r="G1683" s="2">
        <v>95</v>
      </c>
      <c r="H1683" t="str">
        <f>"ACCT#188757/JP3/TAX OFFICE"</f>
        <v>ACCT#188757/JP3/TAX OFFICE</v>
      </c>
    </row>
    <row r="1684" spans="1:8" x14ac:dyDescent="0.25">
      <c r="E1684" t="str">
        <f>"67738"</f>
        <v>67738</v>
      </c>
      <c r="F1684" t="str">
        <f>"ACCT#188757/TAX OFFICE"</f>
        <v>ACCT#188757/TAX OFFICE</v>
      </c>
      <c r="G1684" s="2">
        <v>102</v>
      </c>
      <c r="H1684" t="str">
        <f>"ACCT#188757/TAX OFFICE"</f>
        <v>ACCT#188757/TAX OFFICE</v>
      </c>
    </row>
    <row r="1685" spans="1:8" x14ac:dyDescent="0.25">
      <c r="E1685" t="str">
        <f>"67755"</f>
        <v>67755</v>
      </c>
      <c r="F1685" t="str">
        <f>"ACCT#188757/JUVENILE PROBATION"</f>
        <v>ACCT#188757/JUVENILE PROBATION</v>
      </c>
      <c r="G1685" s="2">
        <v>132</v>
      </c>
      <c r="H1685" t="str">
        <f>"ACCT#188757/JUVENILE PROBATION"</f>
        <v>ACCT#188757/JUVENILE PROBATION</v>
      </c>
    </row>
    <row r="1686" spans="1:8" x14ac:dyDescent="0.25">
      <c r="E1686" t="str">
        <f>"67780"</f>
        <v>67780</v>
      </c>
      <c r="F1686" t="str">
        <f>"ACCT#188757/DPS/TDL"</f>
        <v>ACCT#188757/DPS/TDL</v>
      </c>
      <c r="G1686" s="2">
        <v>76</v>
      </c>
      <c r="H1686" t="str">
        <f>"ACCT#188757/DPS/TDL"</f>
        <v>ACCT#188757/DPS/TDL</v>
      </c>
    </row>
    <row r="1687" spans="1:8" x14ac:dyDescent="0.25">
      <c r="E1687" t="str">
        <f>"68072"</f>
        <v>68072</v>
      </c>
      <c r="F1687" t="str">
        <f>"ACCT#188757/PCT#4 RD &amp; BRIDGE"</f>
        <v>ACCT#188757/PCT#4 RD &amp; BRIDGE</v>
      </c>
      <c r="G1687" s="2">
        <v>95.5</v>
      </c>
      <c r="H1687" t="str">
        <f>"ACCT#188757/PCT#4 RD &amp; BRIDGE"</f>
        <v>ACCT#188757/PCT#4 RD &amp; BRIDGE</v>
      </c>
    </row>
    <row r="1688" spans="1:8" x14ac:dyDescent="0.25">
      <c r="E1688" t="str">
        <f>"68076"</f>
        <v>68076</v>
      </c>
      <c r="F1688" t="str">
        <f>"ACCT#188757/LOST PINES PARK"</f>
        <v>ACCT#188757/LOST PINES PARK</v>
      </c>
      <c r="G1688" s="2">
        <v>75</v>
      </c>
      <c r="H1688" t="str">
        <f>"ACCT#188757/LOST PINES PARK"</f>
        <v>ACCT#188757/LOST PINES PARK</v>
      </c>
    </row>
    <row r="1689" spans="1:8" x14ac:dyDescent="0.25">
      <c r="E1689" t="str">
        <f>"68083"</f>
        <v>68083</v>
      </c>
      <c r="F1689" t="str">
        <f>"ACCT#188757/LBJ BLDG/HLTH DEPT"</f>
        <v>ACCT#188757/LBJ BLDG/HLTH DEPT</v>
      </c>
      <c r="G1689" s="2">
        <v>69</v>
      </c>
      <c r="H1689" t="str">
        <f>"ACCT#188757/LBJ BLDG/HLTH DEPT"</f>
        <v>ACCT#188757/LBJ BLDG/HLTH DEPT</v>
      </c>
    </row>
    <row r="1690" spans="1:8" x14ac:dyDescent="0.25">
      <c r="E1690" t="str">
        <f>"68263"</f>
        <v>68263</v>
      </c>
      <c r="F1690" t="str">
        <f>"ACCT#188757/PCT#2 BARN"</f>
        <v>ACCT#188757/PCT#2 BARN</v>
      </c>
      <c r="G1690" s="2">
        <v>95</v>
      </c>
      <c r="H1690" t="str">
        <f>"ACCT#188757/PCT#2 BARN"</f>
        <v>ACCT#188757/PCT#2 BARN</v>
      </c>
    </row>
    <row r="1691" spans="1:8" x14ac:dyDescent="0.25">
      <c r="E1691" t="str">
        <f>"68421"</f>
        <v>68421</v>
      </c>
      <c r="F1691" t="str">
        <f>"ACCT#188757/JP2 ANNEX BLDG"</f>
        <v>ACCT#188757/JP2 ANNEX BLDG</v>
      </c>
      <c r="G1691" s="2">
        <v>95</v>
      </c>
      <c r="H1691" t="str">
        <f>"ACCT#188757/JP2 ANNEX BLDG"</f>
        <v>ACCT#188757/JP2 ANNEX BLDG</v>
      </c>
    </row>
    <row r="1692" spans="1:8" x14ac:dyDescent="0.25">
      <c r="A1692" t="s">
        <v>536</v>
      </c>
      <c r="B1692">
        <v>78371</v>
      </c>
      <c r="C1692" s="3">
        <v>792</v>
      </c>
      <c r="D1692" s="1">
        <v>43339</v>
      </c>
      <c r="E1692" t="str">
        <f>"67877"</f>
        <v>67877</v>
      </c>
      <c r="F1692" t="str">
        <f>"ACCT#188757/HISTORIC JAIL"</f>
        <v>ACCT#188757/HISTORIC JAIL</v>
      </c>
      <c r="G1692" s="2">
        <v>76</v>
      </c>
      <c r="H1692" t="str">
        <f>"ACCT#188757/HISTORIC JAIL"</f>
        <v>ACCT#188757/HISTORIC JAIL</v>
      </c>
    </row>
    <row r="1693" spans="1:8" x14ac:dyDescent="0.25">
      <c r="E1693" t="str">
        <f>"68768"</f>
        <v>68768</v>
      </c>
      <c r="F1693" t="str">
        <f>"ACCT#188757-CEDAR CREEK PARK"</f>
        <v>ACCT#188757-CEDAR CREEK PARK</v>
      </c>
      <c r="G1693" s="2">
        <v>125</v>
      </c>
      <c r="H1693" t="str">
        <f>"ACCT#188757-CEDAR CREEK PARK"</f>
        <v>ACCT#188757-CEDAR CREEK PARK</v>
      </c>
    </row>
    <row r="1694" spans="1:8" x14ac:dyDescent="0.25">
      <c r="E1694" t="str">
        <f>"68777"</f>
        <v>68777</v>
      </c>
      <c r="F1694" t="str">
        <f>"ACCT#188757-CC PARKS &amp; REC BLD"</f>
        <v>ACCT#188757-CC PARKS &amp; REC BLD</v>
      </c>
      <c r="G1694" s="2">
        <v>69</v>
      </c>
      <c r="H1694" t="str">
        <f>"ACCT#188757-CC PARKS &amp; REC BLD"</f>
        <v>ACCT#188757-CC PARKS &amp; REC BLD</v>
      </c>
    </row>
    <row r="1695" spans="1:8" x14ac:dyDescent="0.25">
      <c r="E1695" t="str">
        <f>"68789"</f>
        <v>68789</v>
      </c>
      <c r="F1695" t="str">
        <f>"ACCT#188757/STONY POINT PARK"</f>
        <v>ACCT#188757/STONY POINT PARK</v>
      </c>
      <c r="G1695" s="2">
        <v>95</v>
      </c>
      <c r="H1695" t="str">
        <f>"ACCT#188757/STONY POINT PARK"</f>
        <v>ACCT#188757/STONY POINT PARK</v>
      </c>
    </row>
    <row r="1696" spans="1:8" x14ac:dyDescent="0.25">
      <c r="E1696" t="str">
        <f>"68851"</f>
        <v>68851</v>
      </c>
      <c r="F1696" t="str">
        <f>"ACCT#188757-CTHOUSE/MAIN&amp;ANNEX"</f>
        <v>ACCT#188757-CTHOUSE/MAIN&amp;ANNEX</v>
      </c>
      <c r="G1696" s="2">
        <v>137</v>
      </c>
      <c r="H1696" t="str">
        <f>"ACCT#188757-CTHOUSE/MAIN&amp;ANNEX"</f>
        <v>ACCT#188757-CTHOUSE/MAIN&amp;ANNEX</v>
      </c>
    </row>
    <row r="1697" spans="1:8" x14ac:dyDescent="0.25">
      <c r="E1697" t="str">
        <f>"68869"</f>
        <v>68869</v>
      </c>
      <c r="F1697" t="str">
        <f>"ACCT#188757/ANIMAL SHELTER"</f>
        <v>ACCT#188757/ANIMAL SHELTER</v>
      </c>
      <c r="G1697" s="2">
        <v>290</v>
      </c>
      <c r="H1697" t="str">
        <f>"ACCT#188757/ANIMAL SHELTER"</f>
        <v>ACCT#188757/ANIMAL SHELTER</v>
      </c>
    </row>
    <row r="1698" spans="1:8" x14ac:dyDescent="0.25">
      <c r="A1698" t="s">
        <v>537</v>
      </c>
      <c r="B1698">
        <v>78136</v>
      </c>
      <c r="C1698" s="3">
        <v>498</v>
      </c>
      <c r="D1698" s="1">
        <v>43325</v>
      </c>
      <c r="E1698" t="str">
        <f>"201808062657"</f>
        <v>201808062657</v>
      </c>
      <c r="F1698" t="str">
        <f>"JOB#810007/BOOTH 1703"</f>
        <v>JOB#810007/BOOTH 1703</v>
      </c>
      <c r="G1698" s="2">
        <v>498</v>
      </c>
      <c r="H1698" t="str">
        <f>"JOB#810007/BOOTH 1703"</f>
        <v>JOB#810007/BOOTH 1703</v>
      </c>
    </row>
    <row r="1699" spans="1:8" x14ac:dyDescent="0.25">
      <c r="A1699" t="s">
        <v>538</v>
      </c>
      <c r="B1699">
        <v>999999</v>
      </c>
      <c r="C1699" s="3">
        <v>1950</v>
      </c>
      <c r="D1699" s="1">
        <v>43326</v>
      </c>
      <c r="E1699" t="str">
        <f>"201807242381"</f>
        <v>201807242381</v>
      </c>
      <c r="F1699" t="str">
        <f>"1JP5318-A"</f>
        <v>1JP5318-A</v>
      </c>
      <c r="G1699" s="2">
        <v>100</v>
      </c>
      <c r="H1699" t="str">
        <f>"1JP5318-A"</f>
        <v>1JP5318-A</v>
      </c>
    </row>
    <row r="1700" spans="1:8" x14ac:dyDescent="0.25">
      <c r="E1700" t="str">
        <f>"201807242382"</f>
        <v>201807242382</v>
      </c>
      <c r="F1700" t="str">
        <f>"1JP4201817-A"</f>
        <v>1JP4201817-A</v>
      </c>
      <c r="G1700" s="2">
        <v>100</v>
      </c>
      <c r="H1700" t="str">
        <f>"1JP4201817-A"</f>
        <v>1JP4201817-A</v>
      </c>
    </row>
    <row r="1701" spans="1:8" x14ac:dyDescent="0.25">
      <c r="E1701" t="str">
        <f>"201808062666"</f>
        <v>201808062666</v>
      </c>
      <c r="F1701" t="str">
        <f>"18-18825"</f>
        <v>18-18825</v>
      </c>
      <c r="G1701" s="2">
        <v>100</v>
      </c>
      <c r="H1701" t="str">
        <f>"18-18825"</f>
        <v>18-18825</v>
      </c>
    </row>
    <row r="1702" spans="1:8" x14ac:dyDescent="0.25">
      <c r="E1702" t="str">
        <f>"201808062667"</f>
        <v>201808062667</v>
      </c>
      <c r="F1702" t="str">
        <f>"17-18643"</f>
        <v>17-18643</v>
      </c>
      <c r="G1702" s="2">
        <v>175</v>
      </c>
      <c r="H1702" t="str">
        <f>"17-18643"</f>
        <v>17-18643</v>
      </c>
    </row>
    <row r="1703" spans="1:8" x14ac:dyDescent="0.25">
      <c r="E1703" t="str">
        <f>"201808062668"</f>
        <v>201808062668</v>
      </c>
      <c r="F1703" t="str">
        <f>"17-18269"</f>
        <v>17-18269</v>
      </c>
      <c r="G1703" s="2">
        <v>325</v>
      </c>
      <c r="H1703" t="str">
        <f>"17-18269"</f>
        <v>17-18269</v>
      </c>
    </row>
    <row r="1704" spans="1:8" x14ac:dyDescent="0.25">
      <c r="E1704" t="str">
        <f>"201808062682"</f>
        <v>201808062682</v>
      </c>
      <c r="F1704" t="str">
        <f>"18-19144"</f>
        <v>18-19144</v>
      </c>
      <c r="G1704" s="2">
        <v>100</v>
      </c>
      <c r="H1704" t="str">
        <f>"18-19144"</f>
        <v>18-19144</v>
      </c>
    </row>
    <row r="1705" spans="1:8" x14ac:dyDescent="0.25">
      <c r="E1705" t="str">
        <f>"201808082736"</f>
        <v>201808082736</v>
      </c>
      <c r="F1705" t="str">
        <f>"18-19093"</f>
        <v>18-19093</v>
      </c>
      <c r="G1705" s="2">
        <v>325</v>
      </c>
      <c r="H1705" t="str">
        <f>"18-19093"</f>
        <v>18-19093</v>
      </c>
    </row>
    <row r="1706" spans="1:8" x14ac:dyDescent="0.25">
      <c r="E1706" t="str">
        <f>"201808082737"</f>
        <v>201808082737</v>
      </c>
      <c r="F1706" t="str">
        <f>"1JP51318 B"</f>
        <v>1JP51318 B</v>
      </c>
      <c r="G1706" s="2">
        <v>100</v>
      </c>
      <c r="H1706" t="str">
        <f>"1JP51318 B"</f>
        <v>1JP51318 B</v>
      </c>
    </row>
    <row r="1707" spans="1:8" x14ac:dyDescent="0.25">
      <c r="E1707" t="str">
        <f>"201808082738"</f>
        <v>201808082738</v>
      </c>
      <c r="F1707" t="str">
        <f>"56 327"</f>
        <v>56 327</v>
      </c>
      <c r="G1707" s="2">
        <v>250</v>
      </c>
      <c r="H1707" t="str">
        <f>"56 327"</f>
        <v>56 327</v>
      </c>
    </row>
    <row r="1708" spans="1:8" x14ac:dyDescent="0.25">
      <c r="E1708" t="str">
        <f>"201808082739"</f>
        <v>201808082739</v>
      </c>
      <c r="F1708" t="str">
        <f>"CH 20151222-A CH 2015122-B"</f>
        <v>CH 20151222-A CH 2015122-B</v>
      </c>
      <c r="G1708" s="2">
        <v>375</v>
      </c>
      <c r="H1708" t="str">
        <f>"CH 20151222-A CH 2015122-B"</f>
        <v>CH 20151222-A CH 2015122-B</v>
      </c>
    </row>
    <row r="1709" spans="1:8" x14ac:dyDescent="0.25">
      <c r="A1709" t="s">
        <v>538</v>
      </c>
      <c r="B1709">
        <v>999999</v>
      </c>
      <c r="C1709" s="3">
        <v>1900</v>
      </c>
      <c r="D1709" s="1">
        <v>43340</v>
      </c>
      <c r="E1709" t="str">
        <f>"201808152899"</f>
        <v>201808152899</v>
      </c>
      <c r="F1709" t="str">
        <f>"15 715  15 716"</f>
        <v>15 715  15 716</v>
      </c>
      <c r="G1709" s="2">
        <v>600</v>
      </c>
      <c r="H1709" t="str">
        <f>"15 715  15 716"</f>
        <v>15 715  15 716</v>
      </c>
    </row>
    <row r="1710" spans="1:8" x14ac:dyDescent="0.25">
      <c r="E1710" t="str">
        <f>"201808162919"</f>
        <v>201808162919</v>
      </c>
      <c r="F1710" t="str">
        <f>"411047-9"</f>
        <v>411047-9</v>
      </c>
      <c r="G1710" s="2">
        <v>400</v>
      </c>
      <c r="H1710" t="str">
        <f>"411047-9"</f>
        <v>411047-9</v>
      </c>
    </row>
    <row r="1711" spans="1:8" x14ac:dyDescent="0.25">
      <c r="E1711" t="str">
        <f>"201808162920"</f>
        <v>201808162920</v>
      </c>
      <c r="F1711" t="str">
        <f>"16 592"</f>
        <v>16 592</v>
      </c>
      <c r="G1711" s="2">
        <v>400</v>
      </c>
      <c r="H1711" t="str">
        <f>"16 592"</f>
        <v>16 592</v>
      </c>
    </row>
    <row r="1712" spans="1:8" x14ac:dyDescent="0.25">
      <c r="E1712" t="str">
        <f>"201808213000"</f>
        <v>201808213000</v>
      </c>
      <c r="F1712" t="str">
        <f>"AC2018-0506B"</f>
        <v>AC2018-0506B</v>
      </c>
      <c r="G1712" s="2">
        <v>250</v>
      </c>
      <c r="H1712" t="str">
        <f>"AC2018-0506B"</f>
        <v>AC2018-0506B</v>
      </c>
    </row>
    <row r="1713" spans="1:8" x14ac:dyDescent="0.25">
      <c r="E1713" t="str">
        <f>"201808213001"</f>
        <v>201808213001</v>
      </c>
      <c r="F1713" t="str">
        <f>"310012017B"</f>
        <v>310012017B</v>
      </c>
      <c r="G1713" s="2">
        <v>250</v>
      </c>
      <c r="H1713" t="str">
        <f>"310012017B"</f>
        <v>310012017B</v>
      </c>
    </row>
    <row r="1714" spans="1:8" x14ac:dyDescent="0.25">
      <c r="A1714" t="s">
        <v>539</v>
      </c>
      <c r="B1714">
        <v>999999</v>
      </c>
      <c r="C1714" s="3">
        <v>168</v>
      </c>
      <c r="D1714" s="1">
        <v>43340</v>
      </c>
      <c r="E1714" t="str">
        <f>"230469"</f>
        <v>230469</v>
      </c>
      <c r="F1714" t="str">
        <f>"CLIENT:BASTRCOU/ORD#1*170883"</f>
        <v>CLIENT:BASTRCOU/ORD#1*170883</v>
      </c>
      <c r="G1714" s="2">
        <v>23</v>
      </c>
      <c r="H1714" t="str">
        <f>"CLIENT:BASTRCOU/ORD#1*170883"</f>
        <v>CLIENT:BASTRCOU/ORD#1*170883</v>
      </c>
    </row>
    <row r="1715" spans="1:8" x14ac:dyDescent="0.25">
      <c r="E1715" t="str">
        <f>"230473"</f>
        <v>230473</v>
      </c>
      <c r="F1715" t="str">
        <f>"CLIENT:BASTRCOU/ORD#1*170889"</f>
        <v>CLIENT:BASTRCOU/ORD#1*170889</v>
      </c>
      <c r="G1715" s="2">
        <v>63</v>
      </c>
      <c r="H1715" t="str">
        <f>"CLIENT:BASTRCOU/ORD#1*170889"</f>
        <v>CLIENT:BASTRCOU/ORD#1*170889</v>
      </c>
    </row>
    <row r="1716" spans="1:8" x14ac:dyDescent="0.25">
      <c r="E1716" t="str">
        <f>"230475"</f>
        <v>230475</v>
      </c>
      <c r="F1716" t="str">
        <f>"CLIENT:BASTRCOU/ORD#1*170890"</f>
        <v>CLIENT:BASTRCOU/ORD#1*170890</v>
      </c>
      <c r="G1716" s="2">
        <v>82</v>
      </c>
      <c r="H1716" t="str">
        <f>"CLIENT:BASTRCOU/ORD#1*170890"</f>
        <v>CLIENT:BASTRCOU/ORD#1*170890</v>
      </c>
    </row>
    <row r="1717" spans="1:8" x14ac:dyDescent="0.25">
      <c r="A1717" t="s">
        <v>540</v>
      </c>
      <c r="B1717">
        <v>78372</v>
      </c>
      <c r="C1717" s="3">
        <v>739.2</v>
      </c>
      <c r="D1717" s="1">
        <v>43339</v>
      </c>
      <c r="E1717" t="str">
        <f>"000542425"</f>
        <v>000542425</v>
      </c>
      <c r="F1717" t="str">
        <f>"ACCT#4812W1083/POLICY#15R29980"</f>
        <v>ACCT#4812W1083/POLICY#15R29980</v>
      </c>
      <c r="G1717" s="2">
        <v>739.2</v>
      </c>
      <c r="H1717" t="str">
        <f>"ACCT#4812W1083/POLICY#15R29980"</f>
        <v>ACCT#4812W1083/POLICY#15R29980</v>
      </c>
    </row>
    <row r="1718" spans="1:8" x14ac:dyDescent="0.25">
      <c r="A1718" t="s">
        <v>541</v>
      </c>
      <c r="B1718">
        <v>78373</v>
      </c>
      <c r="C1718" s="3">
        <v>1163</v>
      </c>
      <c r="D1718" s="1">
        <v>43339</v>
      </c>
      <c r="E1718" t="str">
        <f>"6122843829"</f>
        <v>6122843829</v>
      </c>
      <c r="F1718" t="str">
        <f>"ACCT#1000648597/ESTATE CODE"</f>
        <v>ACCT#1000648597/ESTATE CODE</v>
      </c>
      <c r="G1718" s="2">
        <v>171</v>
      </c>
      <c r="H1718" t="str">
        <f>"ACCT#1000648597/ESTATE CODE"</f>
        <v>ACCT#1000648597/ESTATE CODE</v>
      </c>
    </row>
    <row r="1719" spans="1:8" x14ac:dyDescent="0.25">
      <c r="E1719" t="str">
        <f>"838644139"</f>
        <v>838644139</v>
      </c>
      <c r="F1719" t="str">
        <f>"ACCT#1005022937/WEST INFO CHGS"</f>
        <v>ACCT#1005022937/WEST INFO CHGS</v>
      </c>
      <c r="G1719" s="2">
        <v>850</v>
      </c>
      <c r="H1719" t="str">
        <f>"ACCT#1005022937/WEST INFO CHGS"</f>
        <v>ACCT#1005022937/WEST INFO CHGS</v>
      </c>
    </row>
    <row r="1720" spans="1:8" x14ac:dyDescent="0.25">
      <c r="E1720" t="str">
        <f>"838740542"</f>
        <v>838740542</v>
      </c>
      <c r="F1720" t="str">
        <f>"ACCT#1000536366/SUBSCRIPTION"</f>
        <v>ACCT#1000536366/SUBSCRIPTION</v>
      </c>
      <c r="G1720" s="2">
        <v>142</v>
      </c>
      <c r="H1720" t="str">
        <f>"ACCT#1000536366/SUBSCRIPTION"</f>
        <v>ACCT#1000536366/SUBSCRIPTION</v>
      </c>
    </row>
    <row r="1721" spans="1:8" x14ac:dyDescent="0.25">
      <c r="A1721" t="s">
        <v>542</v>
      </c>
      <c r="B1721">
        <v>78374</v>
      </c>
      <c r="C1721" s="3">
        <v>1215</v>
      </c>
      <c r="D1721" s="1">
        <v>43339</v>
      </c>
      <c r="E1721" t="str">
        <f>"11306"</f>
        <v>11306</v>
      </c>
      <c r="F1721" t="str">
        <f>"423-2327"</f>
        <v>423-2327</v>
      </c>
      <c r="G1721" s="2">
        <v>1215</v>
      </c>
      <c r="H1721" t="str">
        <f>"423-2327"</f>
        <v>423-2327</v>
      </c>
    </row>
    <row r="1722" spans="1:8" x14ac:dyDescent="0.25">
      <c r="A1722" t="s">
        <v>543</v>
      </c>
      <c r="B1722">
        <v>78137</v>
      </c>
      <c r="C1722" s="3">
        <v>10142.290000000001</v>
      </c>
      <c r="D1722" s="1">
        <v>43325</v>
      </c>
      <c r="E1722" t="str">
        <f>"201808062621"</f>
        <v>201808062621</v>
      </c>
      <c r="F1722" t="str">
        <f>"ACCT#8260163000003669"</f>
        <v>ACCT#8260163000003669</v>
      </c>
      <c r="G1722" s="2">
        <v>10142.290000000001</v>
      </c>
      <c r="H1722" t="str">
        <f>"ACCT#8260163000003669"</f>
        <v>ACCT#8260163000003669</v>
      </c>
    </row>
    <row r="1723" spans="1:8" x14ac:dyDescent="0.25">
      <c r="E1723" t="str">
        <f>""</f>
        <v/>
      </c>
      <c r="F1723" t="str">
        <f>""</f>
        <v/>
      </c>
      <c r="H1723" t="str">
        <f>"ACCT#8260163000003669"</f>
        <v>ACCT#8260163000003669</v>
      </c>
    </row>
    <row r="1724" spans="1:8" x14ac:dyDescent="0.25">
      <c r="E1724" t="str">
        <f>""</f>
        <v/>
      </c>
      <c r="F1724" t="str">
        <f>""</f>
        <v/>
      </c>
      <c r="H1724" t="str">
        <f>"ACCT#8260163000003669"</f>
        <v>ACCT#8260163000003669</v>
      </c>
    </row>
    <row r="1725" spans="1:8" x14ac:dyDescent="0.25">
      <c r="A1725" t="s">
        <v>544</v>
      </c>
      <c r="B1725">
        <v>78138</v>
      </c>
      <c r="C1725" s="3">
        <v>3431.01</v>
      </c>
      <c r="D1725" s="1">
        <v>43325</v>
      </c>
      <c r="E1725" t="str">
        <f>"300476014 +"</f>
        <v>300476014 +</v>
      </c>
      <c r="F1725" t="str">
        <f>"Acct# 6035301200160982"</f>
        <v>Acct# 6035301200160982</v>
      </c>
      <c r="G1725" s="2">
        <v>3431.01</v>
      </c>
      <c r="H1725" t="str">
        <f>"Inv# 30477079"</f>
        <v>Inv# 30477079</v>
      </c>
    </row>
    <row r="1726" spans="1:8" x14ac:dyDescent="0.25">
      <c r="E1726" t="str">
        <f>""</f>
        <v/>
      </c>
      <c r="F1726" t="str">
        <f>""</f>
        <v/>
      </c>
      <c r="H1726" t="str">
        <f>"Inv# 300477544"</f>
        <v>Inv# 300477544</v>
      </c>
    </row>
    <row r="1727" spans="1:8" x14ac:dyDescent="0.25">
      <c r="E1727" t="str">
        <f>""</f>
        <v/>
      </c>
      <c r="F1727" t="str">
        <f>""</f>
        <v/>
      </c>
      <c r="H1727" t="str">
        <f>"Inv# 300477211"</f>
        <v>Inv# 300477211</v>
      </c>
    </row>
    <row r="1728" spans="1:8" x14ac:dyDescent="0.25">
      <c r="E1728" t="str">
        <f>""</f>
        <v/>
      </c>
      <c r="F1728" t="str">
        <f>""</f>
        <v/>
      </c>
      <c r="H1728" t="str">
        <f>"Inv# 300471726"</f>
        <v>Inv# 300471726</v>
      </c>
    </row>
    <row r="1729" spans="1:9" x14ac:dyDescent="0.25">
      <c r="E1729" t="str">
        <f>""</f>
        <v/>
      </c>
      <c r="F1729" t="str">
        <f>""</f>
        <v/>
      </c>
      <c r="H1729" t="str">
        <f>"Inv# 200507022"</f>
        <v>Inv# 200507022</v>
      </c>
    </row>
    <row r="1730" spans="1:9" x14ac:dyDescent="0.25">
      <c r="E1730" t="str">
        <f>""</f>
        <v/>
      </c>
      <c r="F1730" t="str">
        <f>""</f>
        <v/>
      </c>
      <c r="H1730" t="str">
        <f>"Inv# 300477373"</f>
        <v>Inv# 300477373</v>
      </c>
    </row>
    <row r="1731" spans="1:9" x14ac:dyDescent="0.25">
      <c r="E1731" t="str">
        <f>""</f>
        <v/>
      </c>
      <c r="F1731" t="str">
        <f>""</f>
        <v/>
      </c>
      <c r="H1731" t="str">
        <f>"Inv# 200503027"</f>
        <v>Inv# 200503027</v>
      </c>
    </row>
    <row r="1732" spans="1:9" x14ac:dyDescent="0.25">
      <c r="E1732" t="str">
        <f>""</f>
        <v/>
      </c>
      <c r="F1732" t="str">
        <f>""</f>
        <v/>
      </c>
      <c r="H1732" t="str">
        <f>"Inv# 300475392"</f>
        <v>Inv# 300475392</v>
      </c>
    </row>
    <row r="1733" spans="1:9" x14ac:dyDescent="0.25">
      <c r="E1733" t="str">
        <f>""</f>
        <v/>
      </c>
      <c r="F1733" t="str">
        <f>""</f>
        <v/>
      </c>
      <c r="H1733" t="str">
        <f>"Inv# 200503460"</f>
        <v>Inv# 200503460</v>
      </c>
    </row>
    <row r="1734" spans="1:9" x14ac:dyDescent="0.25">
      <c r="E1734" t="str">
        <f>""</f>
        <v/>
      </c>
      <c r="F1734" t="str">
        <f>""</f>
        <v/>
      </c>
      <c r="H1734" t="str">
        <f>"Inv# 200504475"</f>
        <v>Inv# 200504475</v>
      </c>
    </row>
    <row r="1735" spans="1:9" x14ac:dyDescent="0.25">
      <c r="E1735" t="str">
        <f>""</f>
        <v/>
      </c>
      <c r="F1735" t="str">
        <f>""</f>
        <v/>
      </c>
      <c r="H1735" t="str">
        <f>"Inv# 300472508"</f>
        <v>Inv# 300472508</v>
      </c>
    </row>
    <row r="1736" spans="1:9" x14ac:dyDescent="0.25">
      <c r="E1736" t="str">
        <f>""</f>
        <v/>
      </c>
      <c r="F1736" t="str">
        <f>""</f>
        <v/>
      </c>
      <c r="H1736" t="str">
        <f>"Inv# 300476014"</f>
        <v>Inv# 300476014</v>
      </c>
    </row>
    <row r="1737" spans="1:9" x14ac:dyDescent="0.25">
      <c r="E1737" t="str">
        <f>""</f>
        <v/>
      </c>
      <c r="F1737" t="str">
        <f>""</f>
        <v/>
      </c>
      <c r="H1737" t="str">
        <f>"Inv# 300476014"</f>
        <v>Inv# 300476014</v>
      </c>
    </row>
    <row r="1738" spans="1:9" x14ac:dyDescent="0.25">
      <c r="E1738" t="str">
        <f>""</f>
        <v/>
      </c>
      <c r="F1738" t="str">
        <f>""</f>
        <v/>
      </c>
      <c r="H1738" t="str">
        <f>"Inv# 100038455"</f>
        <v>Inv# 100038455</v>
      </c>
    </row>
    <row r="1739" spans="1:9" x14ac:dyDescent="0.25">
      <c r="E1739" t="str">
        <f>""</f>
        <v/>
      </c>
      <c r="F1739" t="str">
        <f>""</f>
        <v/>
      </c>
      <c r="H1739" t="str">
        <f>"Inv# 100041166"</f>
        <v>Inv# 100041166</v>
      </c>
    </row>
    <row r="1740" spans="1:9" x14ac:dyDescent="0.25">
      <c r="A1740" t="s">
        <v>545</v>
      </c>
      <c r="B1740">
        <v>78139</v>
      </c>
      <c r="C1740" s="3">
        <v>1900</v>
      </c>
      <c r="D1740" s="1">
        <v>43325</v>
      </c>
      <c r="E1740" t="s">
        <v>87</v>
      </c>
      <c r="F1740" t="s">
        <v>88</v>
      </c>
      <c r="G1740" s="2" t="str">
        <f>"SERVICE  06/04/18"</f>
        <v>SERVICE  06/04/18</v>
      </c>
      <c r="H1740" t="str">
        <f>"995-4110"</f>
        <v>995-4110</v>
      </c>
      <c r="I1740" t="str">
        <f>""</f>
        <v/>
      </c>
    </row>
    <row r="1741" spans="1:9" x14ac:dyDescent="0.25">
      <c r="E1741" t="str">
        <f>"12436"</f>
        <v>12436</v>
      </c>
      <c r="F1741" t="str">
        <f>"SERVICE  05/29/18"</f>
        <v>SERVICE  05/29/18</v>
      </c>
      <c r="G1741" s="2">
        <v>150</v>
      </c>
      <c r="H1741" t="str">
        <f>"SERVICE  05/29/18"</f>
        <v>SERVICE  05/29/18</v>
      </c>
    </row>
    <row r="1742" spans="1:9" x14ac:dyDescent="0.25">
      <c r="E1742" t="str">
        <f>"12785"</f>
        <v>12785</v>
      </c>
      <c r="F1742" t="str">
        <f>"SERVICE  06/20/18"</f>
        <v>SERVICE  06/20/18</v>
      </c>
      <c r="G1742" s="2">
        <v>150</v>
      </c>
      <c r="H1742" t="str">
        <f>"SERVICE  06/20/18"</f>
        <v>SERVICE  06/20/18</v>
      </c>
    </row>
    <row r="1743" spans="1:9" x14ac:dyDescent="0.25">
      <c r="E1743" t="str">
        <f>"12793"</f>
        <v>12793</v>
      </c>
      <c r="F1743" t="str">
        <f>"SERVICE  03/20/18"</f>
        <v>SERVICE  03/20/18</v>
      </c>
      <c r="G1743" s="2">
        <v>75</v>
      </c>
      <c r="H1743" t="str">
        <f>"SERVICE  03/20/18"</f>
        <v>SERVICE  03/20/18</v>
      </c>
    </row>
    <row r="1744" spans="1:9" x14ac:dyDescent="0.25">
      <c r="E1744" t="str">
        <f>"12797"</f>
        <v>12797</v>
      </c>
      <c r="F1744" t="str">
        <f>"SERVICE  06/04/18"</f>
        <v>SERVICE  06/04/18</v>
      </c>
      <c r="G1744" s="2">
        <v>75</v>
      </c>
      <c r="H1744" t="str">
        <f>"SERVICE  06/04/18"</f>
        <v>SERVICE  06/04/18</v>
      </c>
    </row>
    <row r="1745" spans="1:8" x14ac:dyDescent="0.25">
      <c r="E1745" t="str">
        <f>"12875"</f>
        <v>12875</v>
      </c>
      <c r="F1745" t="str">
        <f>"SERVICE  06/19/18"</f>
        <v>SERVICE  06/19/18</v>
      </c>
      <c r="G1745" s="2">
        <v>150</v>
      </c>
      <c r="H1745" t="str">
        <f>"SERVICE  06/19/18"</f>
        <v>SERVICE  06/19/18</v>
      </c>
    </row>
    <row r="1746" spans="1:8" x14ac:dyDescent="0.25">
      <c r="E1746" t="str">
        <f>"12916"</f>
        <v>12916</v>
      </c>
      <c r="F1746" t="str">
        <f>"SERVICE  06/18/18"</f>
        <v>SERVICE  06/18/18</v>
      </c>
      <c r="G1746" s="2">
        <v>300</v>
      </c>
      <c r="H1746" t="str">
        <f>"SERVICE  06/18/18"</f>
        <v>SERVICE  06/18/18</v>
      </c>
    </row>
    <row r="1747" spans="1:8" x14ac:dyDescent="0.25">
      <c r="E1747" t="str">
        <f>"12931"</f>
        <v>12931</v>
      </c>
      <c r="F1747" t="str">
        <f>"SERVICE"</f>
        <v>SERVICE</v>
      </c>
      <c r="G1747" s="2">
        <v>75</v>
      </c>
      <c r="H1747" t="str">
        <f>"SERVICE"</f>
        <v>SERVICE</v>
      </c>
    </row>
    <row r="1748" spans="1:8" x14ac:dyDescent="0.25">
      <c r="E1748" t="str">
        <f>"12953"</f>
        <v>12953</v>
      </c>
      <c r="F1748" t="str">
        <f>"SERVICE  05/30/18"</f>
        <v>SERVICE  05/30/18</v>
      </c>
      <c r="G1748" s="2">
        <v>75</v>
      </c>
      <c r="H1748" t="str">
        <f>"SERVICE  05/30/18"</f>
        <v>SERVICE  05/30/18</v>
      </c>
    </row>
    <row r="1749" spans="1:8" x14ac:dyDescent="0.25">
      <c r="E1749" t="str">
        <f>"12968"</f>
        <v>12968</v>
      </c>
      <c r="F1749" t="str">
        <f>"SERVICE  06/25/18"</f>
        <v>SERVICE  06/25/18</v>
      </c>
      <c r="G1749" s="2">
        <v>75</v>
      </c>
      <c r="H1749" t="str">
        <f>"SERVICE  06/25/18"</f>
        <v>SERVICE  06/25/18</v>
      </c>
    </row>
    <row r="1750" spans="1:8" x14ac:dyDescent="0.25">
      <c r="E1750" t="str">
        <f>"12999"</f>
        <v>12999</v>
      </c>
      <c r="F1750" t="str">
        <f>"SERVICE"</f>
        <v>SERVICE</v>
      </c>
      <c r="G1750" s="2">
        <v>75</v>
      </c>
      <c r="H1750" t="str">
        <f>"SERVICE"</f>
        <v>SERVICE</v>
      </c>
    </row>
    <row r="1751" spans="1:8" x14ac:dyDescent="0.25">
      <c r="A1751" t="s">
        <v>545</v>
      </c>
      <c r="B1751">
        <v>78375</v>
      </c>
      <c r="C1751" s="3">
        <v>445</v>
      </c>
      <c r="D1751" s="1">
        <v>43339</v>
      </c>
      <c r="E1751" t="str">
        <f>"11039"</f>
        <v>11039</v>
      </c>
      <c r="F1751" t="str">
        <f t="shared" ref="F1751:F1756" si="8">"SERVICE  06/27/18"</f>
        <v>SERVICE  06/27/18</v>
      </c>
      <c r="G1751" s="2">
        <v>70</v>
      </c>
      <c r="H1751" t="str">
        <f t="shared" ref="H1751:H1756" si="9">"SERVICE  06/27/18"</f>
        <v>SERVICE  06/27/18</v>
      </c>
    </row>
    <row r="1752" spans="1:8" x14ac:dyDescent="0.25">
      <c r="E1752" t="str">
        <f>"12175"</f>
        <v>12175</v>
      </c>
      <c r="F1752" t="str">
        <f t="shared" si="8"/>
        <v>SERVICE  06/27/18</v>
      </c>
      <c r="G1752" s="2">
        <v>75</v>
      </c>
      <c r="H1752" t="str">
        <f t="shared" si="9"/>
        <v>SERVICE  06/27/18</v>
      </c>
    </row>
    <row r="1753" spans="1:8" x14ac:dyDescent="0.25">
      <c r="E1753" t="str">
        <f>"12206"</f>
        <v>12206</v>
      </c>
      <c r="F1753" t="str">
        <f t="shared" si="8"/>
        <v>SERVICE  06/27/18</v>
      </c>
      <c r="G1753" s="2">
        <v>75</v>
      </c>
      <c r="H1753" t="str">
        <f t="shared" si="9"/>
        <v>SERVICE  06/27/18</v>
      </c>
    </row>
    <row r="1754" spans="1:8" x14ac:dyDescent="0.25">
      <c r="E1754" t="str">
        <f>"12406"</f>
        <v>12406</v>
      </c>
      <c r="F1754" t="str">
        <f t="shared" si="8"/>
        <v>SERVICE  06/27/18</v>
      </c>
      <c r="G1754" s="2">
        <v>75</v>
      </c>
      <c r="H1754" t="str">
        <f t="shared" si="9"/>
        <v>SERVICE  06/27/18</v>
      </c>
    </row>
    <row r="1755" spans="1:8" x14ac:dyDescent="0.25">
      <c r="E1755" t="str">
        <f>"12499"</f>
        <v>12499</v>
      </c>
      <c r="F1755" t="str">
        <f t="shared" si="8"/>
        <v>SERVICE  06/27/18</v>
      </c>
      <c r="G1755" s="2">
        <v>75</v>
      </c>
      <c r="H1755" t="str">
        <f t="shared" si="9"/>
        <v>SERVICE  06/27/18</v>
      </c>
    </row>
    <row r="1756" spans="1:8" x14ac:dyDescent="0.25">
      <c r="E1756" t="str">
        <f>"12746"</f>
        <v>12746</v>
      </c>
      <c r="F1756" t="str">
        <f t="shared" si="8"/>
        <v>SERVICE  06/27/18</v>
      </c>
      <c r="G1756" s="2">
        <v>75</v>
      </c>
      <c r="H1756" t="str">
        <f t="shared" si="9"/>
        <v>SERVICE  06/27/18</v>
      </c>
    </row>
    <row r="1757" spans="1:8" x14ac:dyDescent="0.25">
      <c r="A1757" t="s">
        <v>546</v>
      </c>
      <c r="B1757">
        <v>78140</v>
      </c>
      <c r="C1757" s="3">
        <v>5800</v>
      </c>
      <c r="D1757" s="1">
        <v>43325</v>
      </c>
      <c r="E1757" t="str">
        <f>"3300001378"</f>
        <v>3300001378</v>
      </c>
      <c r="F1757" t="str">
        <f>"INV#3300001378/CUST#100009"</f>
        <v>INV#3300001378/CUST#100009</v>
      </c>
      <c r="G1757" s="2">
        <v>2900</v>
      </c>
      <c r="H1757" t="str">
        <f>"INV#3300001378/CUST#100009"</f>
        <v>INV#3300001378/CUST#100009</v>
      </c>
    </row>
    <row r="1758" spans="1:8" x14ac:dyDescent="0.25">
      <c r="E1758" t="str">
        <f>"3300001497"</f>
        <v>3300001497</v>
      </c>
      <c r="F1758" t="str">
        <f>"CUST#100011/INV#3300001497"</f>
        <v>CUST#100011/INV#3300001497</v>
      </c>
      <c r="G1758" s="2">
        <v>2900</v>
      </c>
      <c r="H1758" t="str">
        <f>"CUST#100011/INV#3300001497"</f>
        <v>CUST#100011/INV#3300001497</v>
      </c>
    </row>
    <row r="1759" spans="1:8" x14ac:dyDescent="0.25">
      <c r="A1759" t="s">
        <v>547</v>
      </c>
      <c r="B1759">
        <v>999999</v>
      </c>
      <c r="C1759" s="3">
        <v>799.28</v>
      </c>
      <c r="D1759" s="1">
        <v>43326</v>
      </c>
      <c r="E1759" t="str">
        <f>"719956"</f>
        <v>719956</v>
      </c>
      <c r="F1759" t="str">
        <f>"INV 719956 / UNIT 4111"</f>
        <v>INV 719956 / UNIT 4111</v>
      </c>
      <c r="G1759" s="2">
        <v>177.04</v>
      </c>
      <c r="H1759" t="str">
        <f>"INV 719956 / UNIT 4111"</f>
        <v>INV 719956 / UNIT 4111</v>
      </c>
    </row>
    <row r="1760" spans="1:8" x14ac:dyDescent="0.25">
      <c r="E1760" t="str">
        <f>"720246"</f>
        <v>720246</v>
      </c>
      <c r="F1760" t="str">
        <f>"INV 720246 / UNIT 8948"</f>
        <v>INV 720246 / UNIT 8948</v>
      </c>
      <c r="G1760" s="2">
        <v>119</v>
      </c>
      <c r="H1760" t="str">
        <f>"INV 720246 / UNIT 8948"</f>
        <v>INV 720246 / UNIT 8948</v>
      </c>
    </row>
    <row r="1761" spans="1:8" x14ac:dyDescent="0.25">
      <c r="E1761" t="str">
        <f>"720247"</f>
        <v>720247</v>
      </c>
      <c r="F1761" t="str">
        <f>"INV 720247 / UNIT 0125"</f>
        <v>INV 720247 / UNIT 0125</v>
      </c>
      <c r="G1761" s="2">
        <v>276.48</v>
      </c>
      <c r="H1761" t="str">
        <f>"INV 720247 / UNIT 0125"</f>
        <v>INV 720247 / UNIT 0125</v>
      </c>
    </row>
    <row r="1762" spans="1:8" x14ac:dyDescent="0.25">
      <c r="E1762" t="str">
        <f>"721154"</f>
        <v>721154</v>
      </c>
      <c r="F1762" t="str">
        <f>"INV 721154 / UNIT 80"</f>
        <v>INV 721154 / UNIT 80</v>
      </c>
      <c r="G1762" s="2">
        <v>88.52</v>
      </c>
      <c r="H1762" t="str">
        <f>"INV 721154 / UNIT 80"</f>
        <v>INV 721154 / UNIT 80</v>
      </c>
    </row>
    <row r="1763" spans="1:8" x14ac:dyDescent="0.25">
      <c r="E1763" t="str">
        <f>"722086"</f>
        <v>722086</v>
      </c>
      <c r="F1763" t="str">
        <f>"INV 722086 / UNIT 4718"</f>
        <v>INV 722086 / UNIT 4718</v>
      </c>
      <c r="G1763" s="2">
        <v>138.24</v>
      </c>
      <c r="H1763" t="str">
        <f>"INV 722086/unit 4718"</f>
        <v>INV 722086/unit 4718</v>
      </c>
    </row>
    <row r="1764" spans="1:8" x14ac:dyDescent="0.25">
      <c r="A1764" t="s">
        <v>547</v>
      </c>
      <c r="B1764">
        <v>999999</v>
      </c>
      <c r="C1764" s="3">
        <v>929.2</v>
      </c>
      <c r="D1764" s="1">
        <v>43340</v>
      </c>
      <c r="E1764" t="str">
        <f>"722607"</f>
        <v>722607</v>
      </c>
      <c r="F1764" t="str">
        <f>"INV 722607 / UNIT 6541"</f>
        <v>INV 722607 / UNIT 6541</v>
      </c>
      <c r="G1764" s="2">
        <v>552.96</v>
      </c>
      <c r="H1764" t="str">
        <f>"INV 722607 / UNIT 6541"</f>
        <v>INV 722607 / UNIT 6541</v>
      </c>
    </row>
    <row r="1765" spans="1:8" x14ac:dyDescent="0.25">
      <c r="E1765" t="str">
        <f>"722608"</f>
        <v>722608</v>
      </c>
      <c r="F1765" t="str">
        <f>"INV 722608 / UNIT 7279"</f>
        <v>INV 722608 / UNIT 7279</v>
      </c>
      <c r="G1765" s="2">
        <v>138.24</v>
      </c>
      <c r="H1765" t="str">
        <f>"INV 722608 / UNIT 7279"</f>
        <v>INV 722608 / UNIT 7279</v>
      </c>
    </row>
    <row r="1766" spans="1:8" x14ac:dyDescent="0.25">
      <c r="E1766" t="str">
        <f>"724752"</f>
        <v>724752</v>
      </c>
      <c r="F1766" t="str">
        <f>"INV 724752"</f>
        <v>INV 724752</v>
      </c>
      <c r="G1766" s="2">
        <v>238</v>
      </c>
      <c r="H1766" t="str">
        <f>"INV 724752"</f>
        <v>INV 724752</v>
      </c>
    </row>
    <row r="1767" spans="1:8" x14ac:dyDescent="0.25">
      <c r="A1767" t="s">
        <v>48</v>
      </c>
      <c r="B1767">
        <v>999999</v>
      </c>
      <c r="C1767" s="3">
        <v>5979.76</v>
      </c>
      <c r="D1767" s="1">
        <v>43326</v>
      </c>
      <c r="E1767" t="str">
        <f>"0016341-IN"</f>
        <v>0016341-IN</v>
      </c>
      <c r="F1767" t="str">
        <f>"CUST#0009087/BOL#535677/PCT#4"</f>
        <v>CUST#0009087/BOL#535677/PCT#4</v>
      </c>
      <c r="G1767" s="2">
        <v>4945.7</v>
      </c>
      <c r="H1767" t="str">
        <f>"CUST#0009087/BOL#535677/PCT#4"</f>
        <v>CUST#0009087/BOL#535677/PCT#4</v>
      </c>
    </row>
    <row r="1768" spans="1:8" x14ac:dyDescent="0.25">
      <c r="E1768" t="str">
        <f>"0016411-IN"</f>
        <v>0016411-IN</v>
      </c>
      <c r="F1768" t="str">
        <f>"CUST#0009087/BOL#535610/PCT#4"</f>
        <v>CUST#0009087/BOL#535610/PCT#4</v>
      </c>
      <c r="G1768" s="2">
        <v>1034.06</v>
      </c>
      <c r="H1768" t="str">
        <f>"CUST#0009087/BOL#535610/PCT#4"</f>
        <v>CUST#0009087/BOL#535610/PCT#4</v>
      </c>
    </row>
    <row r="1769" spans="1:8" x14ac:dyDescent="0.25">
      <c r="A1769" t="s">
        <v>548</v>
      </c>
      <c r="B1769">
        <v>999999</v>
      </c>
      <c r="C1769" s="3">
        <v>850</v>
      </c>
      <c r="D1769" s="1">
        <v>43326</v>
      </c>
      <c r="E1769" t="str">
        <f>"201807242385"</f>
        <v>201807242385</v>
      </c>
      <c r="F1769" t="str">
        <f>"16 573  1JP71518E"</f>
        <v>16 573  1JP71518E</v>
      </c>
      <c r="G1769" s="2">
        <v>600</v>
      </c>
      <c r="H1769" t="str">
        <f>"16 573  1JP71518E"</f>
        <v>16 573  1JP71518E</v>
      </c>
    </row>
    <row r="1770" spans="1:8" x14ac:dyDescent="0.25">
      <c r="E1770" t="str">
        <f>"201808082749"</f>
        <v>201808082749</v>
      </c>
      <c r="F1770" t="str">
        <f>"1JP71518D"</f>
        <v>1JP71518D</v>
      </c>
      <c r="G1770" s="2">
        <v>250</v>
      </c>
      <c r="H1770" t="str">
        <f>"1JP71518D"</f>
        <v>1JP71518D</v>
      </c>
    </row>
    <row r="1771" spans="1:8" x14ac:dyDescent="0.25">
      <c r="A1771" t="s">
        <v>548</v>
      </c>
      <c r="B1771">
        <v>999999</v>
      </c>
      <c r="C1771" s="3">
        <v>4200</v>
      </c>
      <c r="D1771" s="1">
        <v>43340</v>
      </c>
      <c r="E1771" t="str">
        <f>"201808152891"</f>
        <v>201808152891</v>
      </c>
      <c r="F1771" t="str">
        <f>"412017.6"</f>
        <v>412017.6</v>
      </c>
      <c r="G1771" s="2">
        <v>400</v>
      </c>
      <c r="H1771" t="str">
        <f>"412017.6"</f>
        <v>412017.6</v>
      </c>
    </row>
    <row r="1772" spans="1:8" x14ac:dyDescent="0.25">
      <c r="E1772" t="str">
        <f>"201808152892"</f>
        <v>201808152892</v>
      </c>
      <c r="F1772" t="str">
        <f>"408134MW"</f>
        <v>408134MW</v>
      </c>
      <c r="G1772" s="2">
        <v>400</v>
      </c>
      <c r="H1772" t="str">
        <f>"408134MW"</f>
        <v>408134MW</v>
      </c>
    </row>
    <row r="1773" spans="1:8" x14ac:dyDescent="0.25">
      <c r="E1773" t="str">
        <f>"201808152893"</f>
        <v>201808152893</v>
      </c>
      <c r="F1773" t="str">
        <f>"408115.2"</f>
        <v>408115.2</v>
      </c>
      <c r="G1773" s="2">
        <v>400</v>
      </c>
      <c r="H1773" t="str">
        <f>"408115.2"</f>
        <v>408115.2</v>
      </c>
    </row>
    <row r="1774" spans="1:8" x14ac:dyDescent="0.25">
      <c r="E1774" t="str">
        <f>"201808152894"</f>
        <v>201808152894</v>
      </c>
      <c r="F1774" t="str">
        <f>"02.8412.2"</f>
        <v>02.8412.2</v>
      </c>
      <c r="G1774" s="2">
        <v>400</v>
      </c>
      <c r="H1774" t="str">
        <f>"02.8412.2"</f>
        <v>02.8412.2</v>
      </c>
    </row>
    <row r="1775" spans="1:8" x14ac:dyDescent="0.25">
      <c r="E1775" t="str">
        <f>"201808152895"</f>
        <v>201808152895</v>
      </c>
      <c r="F1775" t="str">
        <f>"16 355"</f>
        <v>16 355</v>
      </c>
      <c r="G1775" s="2">
        <v>1800</v>
      </c>
      <c r="H1775" t="str">
        <f>"16 355"</f>
        <v>16 355</v>
      </c>
    </row>
    <row r="1776" spans="1:8" x14ac:dyDescent="0.25">
      <c r="E1776" t="str">
        <f>"201808152896"</f>
        <v>201808152896</v>
      </c>
      <c r="F1776" t="str">
        <f>"16 594"</f>
        <v>16 594</v>
      </c>
      <c r="G1776" s="2">
        <v>400</v>
      </c>
      <c r="H1776" t="str">
        <f>"16 594"</f>
        <v>16 594</v>
      </c>
    </row>
    <row r="1777" spans="1:8" x14ac:dyDescent="0.25">
      <c r="E1777" t="str">
        <f>"201808152903"</f>
        <v>201808152903</v>
      </c>
      <c r="F1777" t="str">
        <f>"17-S-06232  16559"</f>
        <v>17-S-06232  16559</v>
      </c>
      <c r="G1777" s="2">
        <v>400</v>
      </c>
      <c r="H1777" t="str">
        <f>"17-S-06232  16559"</f>
        <v>17-S-06232  16559</v>
      </c>
    </row>
    <row r="1778" spans="1:8" x14ac:dyDescent="0.25">
      <c r="A1778" t="s">
        <v>549</v>
      </c>
      <c r="B1778">
        <v>999999</v>
      </c>
      <c r="C1778" s="3">
        <v>21</v>
      </c>
      <c r="D1778" s="1">
        <v>43326</v>
      </c>
      <c r="E1778" t="str">
        <f>"1218"</f>
        <v>1218</v>
      </c>
      <c r="F1778" t="str">
        <f>"SAFETY INSPECTION/PCT#2"</f>
        <v>SAFETY INSPECTION/PCT#2</v>
      </c>
      <c r="G1778" s="2">
        <v>14</v>
      </c>
      <c r="H1778" t="str">
        <f>"SAFETY INSPECTION/PCT#2"</f>
        <v>SAFETY INSPECTION/PCT#2</v>
      </c>
    </row>
    <row r="1779" spans="1:8" x14ac:dyDescent="0.25">
      <c r="E1779" t="str">
        <f>"1246"</f>
        <v>1246</v>
      </c>
      <c r="F1779" t="str">
        <f>"INSPECTION/PCT#2"</f>
        <v>INSPECTION/PCT#2</v>
      </c>
      <c r="G1779" s="2">
        <v>7</v>
      </c>
      <c r="H1779" t="str">
        <f>"INSPECTION/PCT#2"</f>
        <v>INSPECTION/PCT#2</v>
      </c>
    </row>
    <row r="1780" spans="1:8" x14ac:dyDescent="0.25">
      <c r="A1780" t="s">
        <v>550</v>
      </c>
      <c r="B1780">
        <v>78376</v>
      </c>
      <c r="C1780" s="3">
        <v>111</v>
      </c>
      <c r="D1780" s="1">
        <v>43339</v>
      </c>
      <c r="E1780" t="str">
        <f>"201808243099"</f>
        <v>201808243099</v>
      </c>
      <c r="F1780" t="str">
        <f>"OSSF SITE EVAL-EDUARDO GUERRER"</f>
        <v>OSSF SITE EVAL-EDUARDO GUERRER</v>
      </c>
      <c r="G1780" s="2">
        <v>111</v>
      </c>
      <c r="H1780" t="str">
        <f>"OSSF SITE EVAL-EDUARDO GUERRER"</f>
        <v>OSSF SITE EVAL-EDUARDO GUERRER</v>
      </c>
    </row>
    <row r="1781" spans="1:8" x14ac:dyDescent="0.25">
      <c r="A1781" t="s">
        <v>551</v>
      </c>
      <c r="B1781">
        <v>78377</v>
      </c>
      <c r="C1781" s="3">
        <v>850</v>
      </c>
      <c r="D1781" s="1">
        <v>43339</v>
      </c>
      <c r="E1781" t="str">
        <f>"201808223020"</f>
        <v>201808223020</v>
      </c>
      <c r="F1781" t="str">
        <f>"2018 ANNUAL INSPECTION"</f>
        <v>2018 ANNUAL INSPECTION</v>
      </c>
      <c r="G1781" s="2">
        <v>850</v>
      </c>
      <c r="H1781" t="str">
        <f>"2018 ANNUAL INSPECTION"</f>
        <v>2018 ANNUAL INSPECTION</v>
      </c>
    </row>
    <row r="1782" spans="1:8" x14ac:dyDescent="0.25">
      <c r="A1782" t="s">
        <v>552</v>
      </c>
      <c r="B1782">
        <v>78141</v>
      </c>
      <c r="C1782" s="3">
        <v>294.95</v>
      </c>
      <c r="D1782" s="1">
        <v>43325</v>
      </c>
      <c r="E1782" t="str">
        <f>"99408506"</f>
        <v>99408506</v>
      </c>
      <c r="F1782" t="str">
        <f>"Bogus Paper"</f>
        <v>Bogus Paper</v>
      </c>
      <c r="G1782" s="2">
        <v>294.95</v>
      </c>
      <c r="H1782" t="str">
        <f>"Bogus Paper"</f>
        <v>Bogus Paper</v>
      </c>
    </row>
    <row r="1783" spans="1:8" x14ac:dyDescent="0.25">
      <c r="E1783" t="str">
        <f>""</f>
        <v/>
      </c>
      <c r="F1783" t="str">
        <f>""</f>
        <v/>
      </c>
      <c r="H1783" t="str">
        <f>"Shipping"</f>
        <v>Shipping</v>
      </c>
    </row>
    <row r="1784" spans="1:8" x14ac:dyDescent="0.25">
      <c r="A1784" t="s">
        <v>553</v>
      </c>
      <c r="B1784">
        <v>78142</v>
      </c>
      <c r="C1784" s="3">
        <v>227.04</v>
      </c>
      <c r="D1784" s="1">
        <v>43325</v>
      </c>
      <c r="E1784" t="str">
        <f>"10080072"</f>
        <v>10080072</v>
      </c>
      <c r="F1784" t="str">
        <f>"ACCT#38049/PCT#4"</f>
        <v>ACCT#38049/PCT#4</v>
      </c>
      <c r="G1784" s="2">
        <v>137.63999999999999</v>
      </c>
    </row>
    <row r="1785" spans="1:8" x14ac:dyDescent="0.25">
      <c r="E1785" t="str">
        <f>"10088433"</f>
        <v>10088433</v>
      </c>
      <c r="F1785" t="str">
        <f>"ACCT#38049/PCT#4"</f>
        <v>ACCT#38049/PCT#4</v>
      </c>
      <c r="G1785" s="2">
        <v>35</v>
      </c>
    </row>
    <row r="1786" spans="1:8" x14ac:dyDescent="0.25">
      <c r="E1786" t="str">
        <f>"10094878"</f>
        <v>10094878</v>
      </c>
      <c r="F1786" t="str">
        <f>"ACCT#38049/PCT#4"</f>
        <v>ACCT#38049/PCT#4</v>
      </c>
      <c r="G1786" s="2">
        <v>54.4</v>
      </c>
    </row>
    <row r="1787" spans="1:8" x14ac:dyDescent="0.25">
      <c r="A1787" t="s">
        <v>553</v>
      </c>
      <c r="B1787">
        <v>78378</v>
      </c>
      <c r="C1787" s="3">
        <v>406.63</v>
      </c>
      <c r="D1787" s="1">
        <v>43339</v>
      </c>
      <c r="E1787" t="str">
        <f>"1086556"</f>
        <v>1086556</v>
      </c>
      <c r="F1787" t="str">
        <f>"ACCT#38049/PCT#4"</f>
        <v>ACCT#38049/PCT#4</v>
      </c>
      <c r="G1787" s="2">
        <v>406.63</v>
      </c>
      <c r="H1787" t="str">
        <f>"ACCT#38049/PCT#4"</f>
        <v>ACCT#38049/PCT#4</v>
      </c>
    </row>
    <row r="1788" spans="1:8" x14ac:dyDescent="0.25">
      <c r="A1788" t="s">
        <v>554</v>
      </c>
      <c r="B1788">
        <v>78143</v>
      </c>
      <c r="C1788" s="3">
        <v>2.77</v>
      </c>
      <c r="D1788" s="1">
        <v>43325</v>
      </c>
      <c r="E1788" t="str">
        <f>"000018VW63308"</f>
        <v>000018VW63308</v>
      </c>
      <c r="F1788" t="str">
        <f>"SHIPPER#18VW63"</f>
        <v>SHIPPER#18VW63</v>
      </c>
      <c r="G1788" s="2">
        <v>2.77</v>
      </c>
      <c r="H1788" t="str">
        <f>"SHIPPER#18VW63"</f>
        <v>SHIPPER#18VW63</v>
      </c>
    </row>
    <row r="1789" spans="1:8" x14ac:dyDescent="0.25">
      <c r="A1789" t="s">
        <v>555</v>
      </c>
      <c r="B1789">
        <v>78379</v>
      </c>
      <c r="C1789" s="3">
        <v>513</v>
      </c>
      <c r="D1789" s="1">
        <v>43339</v>
      </c>
      <c r="E1789" t="str">
        <f>"57815"</f>
        <v>57815</v>
      </c>
      <c r="F1789" t="str">
        <f>"PREVENTATIVE MAINTENANCE/AC"</f>
        <v>PREVENTATIVE MAINTENANCE/AC</v>
      </c>
      <c r="G1789" s="2">
        <v>513</v>
      </c>
      <c r="H1789" t="str">
        <f>"PREVENTATIVE MAINTENANCE/AC"</f>
        <v>PREVENTATIVE MAINTENANCE/AC</v>
      </c>
    </row>
    <row r="1790" spans="1:8" x14ac:dyDescent="0.25">
      <c r="A1790" t="s">
        <v>556</v>
      </c>
      <c r="B1790">
        <v>78144</v>
      </c>
      <c r="C1790" s="3">
        <v>30</v>
      </c>
      <c r="D1790" s="1">
        <v>43325</v>
      </c>
      <c r="E1790" t="str">
        <f>"201808062640"</f>
        <v>201808062640</v>
      </c>
      <c r="F1790" t="str">
        <f>"REIMBURSE-PARKING"</f>
        <v>REIMBURSE-PARKING</v>
      </c>
      <c r="G1790" s="2">
        <v>30</v>
      </c>
      <c r="H1790" t="str">
        <f>"REIMBURSE-PARKING"</f>
        <v>REIMBURSE-PARKING</v>
      </c>
    </row>
    <row r="1791" spans="1:8" x14ac:dyDescent="0.25">
      <c r="A1791" t="s">
        <v>557</v>
      </c>
      <c r="B1791">
        <v>78145</v>
      </c>
      <c r="C1791" s="3">
        <v>159.21</v>
      </c>
      <c r="D1791" s="1">
        <v>43325</v>
      </c>
      <c r="E1791" t="str">
        <f>"2006158"</f>
        <v>2006158</v>
      </c>
      <c r="F1791" t="str">
        <f>"ACCT#17460002268 003/REMOTE BA"</f>
        <v>ACCT#17460002268 003/REMOTE BA</v>
      </c>
      <c r="G1791" s="2">
        <v>159.21</v>
      </c>
      <c r="H1791" t="str">
        <f>"ACCT#17460002268 003/REMOTE BA"</f>
        <v>ACCT#17460002268 003/REMOTE BA</v>
      </c>
    </row>
    <row r="1792" spans="1:8" x14ac:dyDescent="0.25">
      <c r="A1792" t="s">
        <v>558</v>
      </c>
      <c r="B1792">
        <v>78146</v>
      </c>
      <c r="C1792" s="3">
        <v>1446.4</v>
      </c>
      <c r="D1792" s="1">
        <v>43325</v>
      </c>
      <c r="E1792" t="str">
        <f>"869395921830"</f>
        <v>869395921830</v>
      </c>
      <c r="F1792" t="str">
        <f>"Inv# 869395921830"</f>
        <v>Inv# 869395921830</v>
      </c>
      <c r="G1792" s="2">
        <v>1446.4</v>
      </c>
      <c r="H1792" t="str">
        <f>"Payment"</f>
        <v>Payment</v>
      </c>
    </row>
    <row r="1793" spans="1:8" x14ac:dyDescent="0.25">
      <c r="A1793" t="s">
        <v>559</v>
      </c>
      <c r="B1793">
        <v>999999</v>
      </c>
      <c r="C1793" s="3">
        <v>447.8</v>
      </c>
      <c r="D1793" s="1">
        <v>43326</v>
      </c>
      <c r="E1793" t="str">
        <f>"327735"</f>
        <v>327735</v>
      </c>
      <c r="F1793" t="str">
        <f>"18BCP04E"</f>
        <v>18BCP04E</v>
      </c>
      <c r="G1793" s="2">
        <v>447.8</v>
      </c>
      <c r="H1793" t="str">
        <f>"12 x6  Reflective Wh"</f>
        <v>12 x6  Reflective Wh</v>
      </c>
    </row>
    <row r="1794" spans="1:8" x14ac:dyDescent="0.25">
      <c r="E1794" t="str">
        <f>""</f>
        <v/>
      </c>
      <c r="F1794" t="str">
        <f>""</f>
        <v/>
      </c>
      <c r="H1794" t="str">
        <f>"24 x9  Reflective Wh"</f>
        <v>24 x9  Reflective Wh</v>
      </c>
    </row>
    <row r="1795" spans="1:8" x14ac:dyDescent="0.25">
      <c r="E1795" t="str">
        <f>""</f>
        <v/>
      </c>
      <c r="F1795" t="str">
        <f>""</f>
        <v/>
      </c>
      <c r="H1795" t="str">
        <f>"18 x9  Reflective Wh"</f>
        <v>18 x9  Reflective Wh</v>
      </c>
    </row>
    <row r="1796" spans="1:8" x14ac:dyDescent="0.25">
      <c r="A1796" t="s">
        <v>560</v>
      </c>
      <c r="B1796">
        <v>78380</v>
      </c>
      <c r="C1796" s="3">
        <v>131.74</v>
      </c>
      <c r="D1796" s="1">
        <v>43339</v>
      </c>
      <c r="E1796" t="str">
        <f>"0718-DR14926"</f>
        <v>0718-DR14926</v>
      </c>
      <c r="F1796" t="str">
        <f>"CLIENT:CXD14926/7/1/18-7/31/18"</f>
        <v>CLIENT:CXD14926/7/1/18-7/31/18</v>
      </c>
      <c r="G1796" s="2">
        <v>131.74</v>
      </c>
      <c r="H1796" t="str">
        <f>"CLIENT:CXD14926/7/1/18-7/31/18"</f>
        <v>CLIENT:CXD14926/7/1/18-7/31/18</v>
      </c>
    </row>
    <row r="1797" spans="1:8" x14ac:dyDescent="0.25">
      <c r="A1797" t="s">
        <v>561</v>
      </c>
      <c r="B1797">
        <v>999999</v>
      </c>
      <c r="C1797" s="3">
        <v>2567.63</v>
      </c>
      <c r="D1797" s="1">
        <v>43326</v>
      </c>
      <c r="E1797" t="str">
        <f>"15231"</f>
        <v>15231</v>
      </c>
      <c r="F1797" t="str">
        <f>"COLD MIX/FREIGHT/PCT#4"</f>
        <v>COLD MIX/FREIGHT/PCT#4</v>
      </c>
      <c r="G1797" s="2">
        <v>2567.63</v>
      </c>
      <c r="H1797" t="str">
        <f>"COLD MIX/FREIGHT/PCT#4"</f>
        <v>COLD MIX/FREIGHT/PCT#4</v>
      </c>
    </row>
    <row r="1798" spans="1:8" x14ac:dyDescent="0.25">
      <c r="A1798" t="s">
        <v>561</v>
      </c>
      <c r="B1798">
        <v>999999</v>
      </c>
      <c r="C1798" s="3">
        <v>2640.72</v>
      </c>
      <c r="D1798" s="1">
        <v>43340</v>
      </c>
      <c r="E1798" t="str">
        <f>"15307"</f>
        <v>15307</v>
      </c>
      <c r="F1798" t="str">
        <f>"COLD MIX / P1"</f>
        <v>COLD MIX / P1</v>
      </c>
      <c r="G1798" s="2">
        <v>2640.72</v>
      </c>
      <c r="H1798" t="str">
        <f>"COLD MIX / P1"</f>
        <v>COLD MIX / P1</v>
      </c>
    </row>
    <row r="1799" spans="1:8" x14ac:dyDescent="0.25">
      <c r="A1799" t="s">
        <v>562</v>
      </c>
      <c r="B1799">
        <v>78147</v>
      </c>
      <c r="C1799" s="3">
        <v>578.49</v>
      </c>
      <c r="D1799" s="1">
        <v>43325</v>
      </c>
      <c r="E1799" t="str">
        <f>"008266  005115 +"</f>
        <v>008266  005115 +</v>
      </c>
      <c r="F1799" t="str">
        <f>"Acct# 6032202005312476"</f>
        <v>Acct# 6032202005312476</v>
      </c>
      <c r="G1799" s="2">
        <v>578.49</v>
      </c>
      <c r="H1799" t="str">
        <f>"Inv# 002948"</f>
        <v>Inv# 002948</v>
      </c>
    </row>
    <row r="1800" spans="1:8" x14ac:dyDescent="0.25">
      <c r="E1800" t="str">
        <f>""</f>
        <v/>
      </c>
      <c r="F1800" t="str">
        <f>""</f>
        <v/>
      </c>
      <c r="H1800" t="str">
        <f>"Inv# 007330"</f>
        <v>Inv# 007330</v>
      </c>
    </row>
    <row r="1801" spans="1:8" x14ac:dyDescent="0.25">
      <c r="E1801" t="str">
        <f>""</f>
        <v/>
      </c>
      <c r="F1801" t="str">
        <f>""</f>
        <v/>
      </c>
      <c r="H1801" t="str">
        <f>"Inv# 007330"</f>
        <v>Inv# 007330</v>
      </c>
    </row>
    <row r="1802" spans="1:8" x14ac:dyDescent="0.25">
      <c r="E1802" t="str">
        <f>""</f>
        <v/>
      </c>
      <c r="F1802" t="str">
        <f>""</f>
        <v/>
      </c>
      <c r="H1802" t="str">
        <f>"Inv# 008073"</f>
        <v>Inv# 008073</v>
      </c>
    </row>
    <row r="1803" spans="1:8" x14ac:dyDescent="0.25">
      <c r="E1803" t="str">
        <f>""</f>
        <v/>
      </c>
      <c r="F1803" t="str">
        <f>""</f>
        <v/>
      </c>
      <c r="H1803" t="str">
        <f>"Inv# 008283"</f>
        <v>Inv# 008283</v>
      </c>
    </row>
    <row r="1804" spans="1:8" x14ac:dyDescent="0.25">
      <c r="E1804" t="str">
        <f>""</f>
        <v/>
      </c>
      <c r="F1804" t="str">
        <f>""</f>
        <v/>
      </c>
      <c r="H1804" t="str">
        <f>"Inv# 009051"</f>
        <v>Inv# 009051</v>
      </c>
    </row>
    <row r="1805" spans="1:8" x14ac:dyDescent="0.25">
      <c r="E1805" t="str">
        <f>""</f>
        <v/>
      </c>
      <c r="F1805" t="str">
        <f>""</f>
        <v/>
      </c>
      <c r="H1805" t="str">
        <f>"Inv# 008210"</f>
        <v>Inv# 008210</v>
      </c>
    </row>
    <row r="1806" spans="1:8" x14ac:dyDescent="0.25">
      <c r="E1806" t="str">
        <f>""</f>
        <v/>
      </c>
      <c r="F1806" t="str">
        <f>""</f>
        <v/>
      </c>
      <c r="H1806" t="str">
        <f>"Inv# 007922"</f>
        <v>Inv# 007922</v>
      </c>
    </row>
    <row r="1807" spans="1:8" x14ac:dyDescent="0.25">
      <c r="E1807" t="str">
        <f>""</f>
        <v/>
      </c>
      <c r="F1807" t="str">
        <f>""</f>
        <v/>
      </c>
      <c r="H1807" t="str">
        <f>"Inv# 003727"</f>
        <v>Inv# 003727</v>
      </c>
    </row>
    <row r="1808" spans="1:8" x14ac:dyDescent="0.25">
      <c r="E1808" t="str">
        <f>""</f>
        <v/>
      </c>
      <c r="F1808" t="str">
        <f>""</f>
        <v/>
      </c>
      <c r="H1808" t="str">
        <f>"Inv# 005115"</f>
        <v>Inv# 005115</v>
      </c>
    </row>
    <row r="1809" spans="1:8" x14ac:dyDescent="0.25">
      <c r="E1809" t="str">
        <f>""</f>
        <v/>
      </c>
      <c r="F1809" t="str">
        <f>""</f>
        <v/>
      </c>
      <c r="H1809" t="str">
        <f>"Inv# 006173"</f>
        <v>Inv# 006173</v>
      </c>
    </row>
    <row r="1810" spans="1:8" x14ac:dyDescent="0.25">
      <c r="E1810" t="str">
        <f>""</f>
        <v/>
      </c>
      <c r="F1810" t="str">
        <f>""</f>
        <v/>
      </c>
      <c r="H1810" t="str">
        <f>"Inv# 003228"</f>
        <v>Inv# 003228</v>
      </c>
    </row>
    <row r="1811" spans="1:8" x14ac:dyDescent="0.25">
      <c r="E1811" t="str">
        <f>""</f>
        <v/>
      </c>
      <c r="F1811" t="str">
        <f>""</f>
        <v/>
      </c>
      <c r="H1811" t="str">
        <f>"Inv# 008266"</f>
        <v>Inv# 008266</v>
      </c>
    </row>
    <row r="1812" spans="1:8" x14ac:dyDescent="0.25">
      <c r="E1812" t="str">
        <f>""</f>
        <v/>
      </c>
      <c r="F1812" t="str">
        <f>""</f>
        <v/>
      </c>
      <c r="H1812" t="str">
        <f>"Inv# 000018"</f>
        <v>Inv# 000018</v>
      </c>
    </row>
    <row r="1813" spans="1:8" x14ac:dyDescent="0.25">
      <c r="A1813" t="s">
        <v>563</v>
      </c>
      <c r="B1813">
        <v>78148</v>
      </c>
      <c r="C1813" s="3">
        <v>85</v>
      </c>
      <c r="D1813" s="1">
        <v>43325</v>
      </c>
      <c r="E1813" t="str">
        <f>"12100"</f>
        <v>12100</v>
      </c>
      <c r="F1813" t="str">
        <f>"SERVICE  05/16/18"</f>
        <v>SERVICE  05/16/18</v>
      </c>
      <c r="G1813" s="2">
        <v>85</v>
      </c>
      <c r="H1813" t="str">
        <f>"SERVICE  05/16/18"</f>
        <v>SERVICE  05/16/18</v>
      </c>
    </row>
    <row r="1814" spans="1:8" x14ac:dyDescent="0.25">
      <c r="A1814" t="s">
        <v>564</v>
      </c>
      <c r="B1814">
        <v>78149</v>
      </c>
      <c r="C1814" s="3">
        <v>229.4</v>
      </c>
      <c r="D1814" s="1">
        <v>43325</v>
      </c>
      <c r="E1814" t="str">
        <f>"0036833-2162-8"</f>
        <v>0036833-2162-8</v>
      </c>
      <c r="F1814" t="str">
        <f>"CUST#16-27603-83003/ANIMAL SVC"</f>
        <v>CUST#16-27603-83003/ANIMAL SVC</v>
      </c>
      <c r="G1814" s="2">
        <v>229.4</v>
      </c>
      <c r="H1814" t="str">
        <f>"CUST#16-27603-83003/ANIMAL SVC"</f>
        <v>CUST#16-27603-83003/ANIMAL SVC</v>
      </c>
    </row>
    <row r="1815" spans="1:8" x14ac:dyDescent="0.25">
      <c r="A1815" t="s">
        <v>565</v>
      </c>
      <c r="B1815">
        <v>77899</v>
      </c>
      <c r="C1815" s="3">
        <v>16933.060000000001</v>
      </c>
      <c r="D1815" s="1">
        <v>43321</v>
      </c>
      <c r="E1815" t="str">
        <f>"1701997500"</f>
        <v>1701997500</v>
      </c>
      <c r="F1815" t="str">
        <f>"ACCT#5151-005117630/07312018"</f>
        <v>ACCT#5151-005117630/07312018</v>
      </c>
      <c r="G1815" s="2">
        <v>238.37</v>
      </c>
      <c r="H1815" t="str">
        <f>"ACCT#5151-005117630/07312018"</f>
        <v>ACCT#5151-005117630/07312018</v>
      </c>
    </row>
    <row r="1816" spans="1:8" x14ac:dyDescent="0.25">
      <c r="E1816" t="str">
        <f>"1701997501"</f>
        <v>1701997501</v>
      </c>
      <c r="F1816" t="str">
        <f>"ACCT#5151-005117766/07312018"</f>
        <v>ACCT#5151-005117766/07312018</v>
      </c>
      <c r="G1816" s="2">
        <v>104.64</v>
      </c>
      <c r="H1816" t="str">
        <f>"ACCT#5151-005117766/07312018"</f>
        <v>ACCT#5151-005117766/07312018</v>
      </c>
    </row>
    <row r="1817" spans="1:8" x14ac:dyDescent="0.25">
      <c r="E1817" t="str">
        <f>"1701997502"</f>
        <v>1701997502</v>
      </c>
      <c r="F1817" t="str">
        <f>"ACCT#5151-005117838/07312018"</f>
        <v>ACCT#5151-005117838/07312018</v>
      </c>
      <c r="G1817" s="2">
        <v>96.85</v>
      </c>
      <c r="H1817" t="str">
        <f>"ACCT#5151-005117838/07312018"</f>
        <v>ACCT#5151-005117838/07312018</v>
      </c>
    </row>
    <row r="1818" spans="1:8" x14ac:dyDescent="0.25">
      <c r="E1818" t="str">
        <f>"1701997504"</f>
        <v>1701997504</v>
      </c>
      <c r="F1818" t="str">
        <f>"ACCT#5151-0051179882/07312018"</f>
        <v>ACCT#5151-0051179882/07312018</v>
      </c>
      <c r="G1818" s="2">
        <v>130.78</v>
      </c>
      <c r="H1818" t="str">
        <f>"ACCT#5151-0051179882/07312018"</f>
        <v>ACCT#5151-0051179882/07312018</v>
      </c>
    </row>
    <row r="1819" spans="1:8" x14ac:dyDescent="0.25">
      <c r="E1819" t="str">
        <f>"1701997506"</f>
        <v>1701997506</v>
      </c>
      <c r="F1819" t="str">
        <f>"ACCT#5151-005118183/07312018"</f>
        <v>ACCT#5151-005118183/07312018</v>
      </c>
      <c r="G1819" s="2">
        <v>561.41999999999996</v>
      </c>
      <c r="H1819" t="str">
        <f>"ACCT#5151-005118183/07312018"</f>
        <v>ACCT#5151-005118183/07312018</v>
      </c>
    </row>
    <row r="1820" spans="1:8" x14ac:dyDescent="0.25">
      <c r="E1820" t="str">
        <f>"1701997518"</f>
        <v>1701997518</v>
      </c>
      <c r="F1820" t="str">
        <f>"ACCT#5150-005129483/07312018"</f>
        <v>ACCT#5150-005129483/07312018</v>
      </c>
      <c r="G1820" s="2">
        <v>15801</v>
      </c>
      <c r="H1820" t="str">
        <f>"ACCT#5150-005129483/07312018"</f>
        <v>ACCT#5150-005129483/07312018</v>
      </c>
    </row>
    <row r="1821" spans="1:8" x14ac:dyDescent="0.25">
      <c r="A1821" t="s">
        <v>566</v>
      </c>
      <c r="B1821">
        <v>999999</v>
      </c>
      <c r="C1821" s="3">
        <v>111</v>
      </c>
      <c r="D1821" s="1">
        <v>43326</v>
      </c>
      <c r="E1821" t="str">
        <f>"2770"</f>
        <v>2770</v>
      </c>
      <c r="F1821" t="str">
        <f>"EMBROIDERY/HR"</f>
        <v>EMBROIDERY/HR</v>
      </c>
      <c r="G1821" s="2">
        <v>111</v>
      </c>
      <c r="H1821" t="str">
        <f>"EMBROIDERY/HR"</f>
        <v>EMBROIDERY/HR</v>
      </c>
    </row>
    <row r="1822" spans="1:8" x14ac:dyDescent="0.25">
      <c r="A1822" t="s">
        <v>567</v>
      </c>
      <c r="B1822">
        <v>78150</v>
      </c>
      <c r="C1822" s="3">
        <v>1726.07</v>
      </c>
      <c r="D1822" s="1">
        <v>43325</v>
      </c>
      <c r="E1822" t="str">
        <f>"277003"</f>
        <v>277003</v>
      </c>
      <c r="F1822" t="str">
        <f>"MOWER/PCT#2"</f>
        <v>MOWER/PCT#2</v>
      </c>
      <c r="G1822" s="2">
        <v>1179.3499999999999</v>
      </c>
      <c r="H1822" t="str">
        <f>"MOWER/PCT#2"</f>
        <v>MOWER/PCT#2</v>
      </c>
    </row>
    <row r="1823" spans="1:8" x14ac:dyDescent="0.25">
      <c r="E1823" t="str">
        <f>"278129"</f>
        <v>278129</v>
      </c>
      <c r="F1823" t="str">
        <f>"EQUIP RENTAL/GEN SVCS"</f>
        <v>EQUIP RENTAL/GEN SVCS</v>
      </c>
      <c r="G1823" s="2">
        <v>546.72</v>
      </c>
      <c r="H1823" t="str">
        <f>"EQUIP RENTAL/GEN SVCS"</f>
        <v>EQUIP RENTAL/GEN SVCS</v>
      </c>
    </row>
    <row r="1824" spans="1:8" x14ac:dyDescent="0.25">
      <c r="A1824" t="s">
        <v>567</v>
      </c>
      <c r="B1824">
        <v>78381</v>
      </c>
      <c r="C1824" s="3">
        <v>1996.3</v>
      </c>
      <c r="D1824" s="1">
        <v>43339</v>
      </c>
      <c r="E1824" t="str">
        <f>"278702"</f>
        <v>278702</v>
      </c>
      <c r="F1824" t="str">
        <f>"BOOMLIFT/PCT#1"</f>
        <v>BOOMLIFT/PCT#1</v>
      </c>
      <c r="G1824" s="2">
        <v>1703.87</v>
      </c>
      <c r="H1824" t="str">
        <f>"BOOMLIFT/PCT#1"</f>
        <v>BOOMLIFT/PCT#1</v>
      </c>
    </row>
    <row r="1825" spans="1:8" x14ac:dyDescent="0.25">
      <c r="E1825" t="str">
        <f>"282273"</f>
        <v>282273</v>
      </c>
      <c r="F1825" t="str">
        <f>"ROLLER 48  TANDEM/PCT#1"</f>
        <v>ROLLER 48  TANDEM/PCT#1</v>
      </c>
      <c r="G1825" s="2">
        <v>292.43</v>
      </c>
      <c r="H1825" t="str">
        <f>"ROLLER 48  TANDEM/PCT#1"</f>
        <v>ROLLER 48  TANDEM/PCT#1</v>
      </c>
    </row>
    <row r="1826" spans="1:8" x14ac:dyDescent="0.25">
      <c r="A1826" t="s">
        <v>568</v>
      </c>
      <c r="B1826">
        <v>999999</v>
      </c>
      <c r="C1826" s="3">
        <v>12500</v>
      </c>
      <c r="D1826" s="1">
        <v>43340</v>
      </c>
      <c r="E1826" t="str">
        <f>"201808172951"</f>
        <v>201808172951</v>
      </c>
      <c r="F1826" t="str">
        <f>"MEDICAL CONTRACT"</f>
        <v>MEDICAL CONTRACT</v>
      </c>
      <c r="G1826" s="2">
        <v>12500</v>
      </c>
      <c r="H1826" t="str">
        <f>"MEDICAL CONTRACT"</f>
        <v>MEDICAL CONTRACT</v>
      </c>
    </row>
    <row r="1827" spans="1:8" x14ac:dyDescent="0.25">
      <c r="A1827" t="s">
        <v>569</v>
      </c>
      <c r="B1827">
        <v>999999</v>
      </c>
      <c r="C1827" s="3">
        <v>13774.43</v>
      </c>
      <c r="D1827" s="1">
        <v>43340</v>
      </c>
      <c r="E1827" t="str">
        <f>"20785"</f>
        <v>20785</v>
      </c>
      <c r="F1827" t="str">
        <f>"INV 20785"</f>
        <v>INV 20785</v>
      </c>
      <c r="G1827" s="2">
        <v>13774.43</v>
      </c>
      <c r="H1827" t="str">
        <f>"INV 20785"</f>
        <v>INV 20785</v>
      </c>
    </row>
    <row r="1828" spans="1:8" x14ac:dyDescent="0.25">
      <c r="A1828" t="s">
        <v>570</v>
      </c>
      <c r="B1828">
        <v>78151</v>
      </c>
      <c r="C1828" s="3">
        <v>140</v>
      </c>
      <c r="D1828" s="1">
        <v>43325</v>
      </c>
      <c r="E1828" t="str">
        <f>"12976"</f>
        <v>12976</v>
      </c>
      <c r="F1828" t="str">
        <f>"SERVICE  06/13/18"</f>
        <v>SERVICE  06/13/18</v>
      </c>
      <c r="G1828" s="2">
        <v>140</v>
      </c>
      <c r="H1828" t="str">
        <f>"SERVICE  06/13/18"</f>
        <v>SERVICE  06/13/18</v>
      </c>
    </row>
    <row r="1829" spans="1:8" x14ac:dyDescent="0.25">
      <c r="A1829" t="s">
        <v>571</v>
      </c>
      <c r="B1829">
        <v>78152</v>
      </c>
      <c r="C1829" s="3">
        <v>70</v>
      </c>
      <c r="D1829" s="1">
        <v>43325</v>
      </c>
      <c r="E1829" t="str">
        <f>"12535"</f>
        <v>12535</v>
      </c>
      <c r="F1829" t="str">
        <f>"SERVICE  05/22/18"</f>
        <v>SERVICE  05/22/18</v>
      </c>
      <c r="G1829" s="2">
        <v>70</v>
      </c>
      <c r="H1829" t="str">
        <f>"SERVICE  05/22/18"</f>
        <v>SERVICE  05/22/18</v>
      </c>
    </row>
    <row r="1830" spans="1:8" x14ac:dyDescent="0.25">
      <c r="A1830" t="s">
        <v>572</v>
      </c>
      <c r="B1830">
        <v>78153</v>
      </c>
      <c r="C1830" s="3">
        <v>20000</v>
      </c>
      <c r="D1830" s="1">
        <v>43325</v>
      </c>
      <c r="E1830" t="str">
        <f>"1341"</f>
        <v>1341</v>
      </c>
      <c r="F1830" t="str">
        <f>"RFB#18BCP06A/PONY EXP BRDG/P2"</f>
        <v>RFB#18BCP06A/PONY EXP BRDG/P2</v>
      </c>
      <c r="G1830" s="2">
        <v>20000</v>
      </c>
      <c r="H1830" t="str">
        <f>"RFB#18BCP06A/PONY EXP BRDG/P2"</f>
        <v>RFB#18BCP06A/PONY EXP BRDG/P2</v>
      </c>
    </row>
    <row r="1831" spans="1:8" x14ac:dyDescent="0.25">
      <c r="A1831" t="s">
        <v>573</v>
      </c>
      <c r="B1831">
        <v>999999</v>
      </c>
      <c r="C1831" s="3">
        <v>22344</v>
      </c>
      <c r="D1831" s="1">
        <v>43326</v>
      </c>
      <c r="E1831" t="str">
        <f>"5285"</f>
        <v>5285</v>
      </c>
      <c r="F1831" t="str">
        <f>"Fencing County Barn"</f>
        <v>Fencing County Barn</v>
      </c>
      <c r="G1831" s="2">
        <v>19409</v>
      </c>
      <c r="H1831" t="str">
        <f>"Fencing County Barn"</f>
        <v>Fencing County Barn</v>
      </c>
    </row>
    <row r="1832" spans="1:8" x14ac:dyDescent="0.25">
      <c r="E1832" t="str">
        <f>"5286"</f>
        <v>5286</v>
      </c>
      <c r="F1832" t="str">
        <f>"Change Order 1"</f>
        <v>Change Order 1</v>
      </c>
      <c r="G1832" s="2">
        <v>2935</v>
      </c>
      <c r="H1832" t="str">
        <f>"Payment"</f>
        <v>Payment</v>
      </c>
    </row>
    <row r="1833" spans="1:8" x14ac:dyDescent="0.25">
      <c r="A1833" t="s">
        <v>574</v>
      </c>
      <c r="B1833">
        <v>78382</v>
      </c>
      <c r="C1833" s="3">
        <v>177.35</v>
      </c>
      <c r="D1833" s="1">
        <v>43339</v>
      </c>
      <c r="E1833" t="str">
        <f>"093996998"</f>
        <v>093996998</v>
      </c>
      <c r="F1833" t="str">
        <f>"CUST#662445931/TAX OFFICE"</f>
        <v>CUST#662445931/TAX OFFICE</v>
      </c>
      <c r="G1833" s="2">
        <v>106.45</v>
      </c>
      <c r="H1833" t="str">
        <f>"CUST#662445931/TAX OFFICE"</f>
        <v>CUST#662445931/TAX OFFICE</v>
      </c>
    </row>
    <row r="1834" spans="1:8" x14ac:dyDescent="0.25">
      <c r="E1834" t="str">
        <f>"093996999"</f>
        <v>093996999</v>
      </c>
      <c r="F1834" t="str">
        <f>"CUST#662445931/TAX OFFICE"</f>
        <v>CUST#662445931/TAX OFFICE</v>
      </c>
      <c r="G1834" s="2">
        <v>35.450000000000003</v>
      </c>
      <c r="H1834" t="str">
        <f>"CUST#662445931/TAX OFFICE"</f>
        <v>CUST#662445931/TAX OFFICE</v>
      </c>
    </row>
    <row r="1835" spans="1:8" x14ac:dyDescent="0.25">
      <c r="E1835" t="str">
        <f>"093997008"</f>
        <v>093997008</v>
      </c>
      <c r="F1835" t="str">
        <f>"CUST#723230843/TAX OFFICE"</f>
        <v>CUST#723230843/TAX OFFICE</v>
      </c>
      <c r="G1835" s="2">
        <v>35.450000000000003</v>
      </c>
      <c r="H1835" t="str">
        <f>"CUST#723230843/TAX OFFICE"</f>
        <v>CUST#723230843/TAX OFFICE</v>
      </c>
    </row>
    <row r="1836" spans="1:8" x14ac:dyDescent="0.25">
      <c r="A1836" t="s">
        <v>574</v>
      </c>
      <c r="B1836">
        <v>78154</v>
      </c>
      <c r="C1836" s="3">
        <v>201.64</v>
      </c>
      <c r="D1836" s="1">
        <v>43325</v>
      </c>
      <c r="E1836" t="str">
        <f>"1234350"</f>
        <v>1234350</v>
      </c>
      <c r="F1836" t="str">
        <f>"CONTRACT#010-0095885-001"</f>
        <v>CONTRACT#010-0095885-001</v>
      </c>
      <c r="G1836" s="2">
        <v>201.64</v>
      </c>
      <c r="H1836" t="str">
        <f>"CONTRACT#010-0095885-001"</f>
        <v>CONTRACT#010-0095885-001</v>
      </c>
    </row>
    <row r="1837" spans="1:8" x14ac:dyDescent="0.25">
      <c r="A1837" t="s">
        <v>575</v>
      </c>
      <c r="B1837">
        <v>78383</v>
      </c>
      <c r="C1837" s="3">
        <v>5655.33</v>
      </c>
      <c r="D1837" s="1">
        <v>43339</v>
      </c>
      <c r="E1837" t="str">
        <f>"8670-062518"</f>
        <v>8670-062518</v>
      </c>
      <c r="F1837" t="str">
        <f>"Battery Replacement"</f>
        <v>Battery Replacement</v>
      </c>
      <c r="G1837" s="2">
        <v>5655.33</v>
      </c>
      <c r="H1837" t="str">
        <f>"Eaton 9330-10-20  VR"</f>
        <v>Eaton 9330-10-20  VR</v>
      </c>
    </row>
    <row r="1838" spans="1:8" x14ac:dyDescent="0.25">
      <c r="A1838" t="s">
        <v>576</v>
      </c>
      <c r="B1838">
        <v>78155</v>
      </c>
      <c r="C1838" s="3">
        <v>300</v>
      </c>
      <c r="D1838" s="1">
        <v>43325</v>
      </c>
      <c r="E1838" t="str">
        <f>"0013455"</f>
        <v>0013455</v>
      </c>
      <c r="F1838" t="str">
        <f>"CASE#OD001330825/CAUS#15-07074"</f>
        <v>CASE#OD001330825/CAUS#15-07074</v>
      </c>
      <c r="G1838" s="2">
        <v>300</v>
      </c>
      <c r="H1838" t="str">
        <f>"CASE#OD001330825/CAUS#15-07074"</f>
        <v>CASE#OD001330825/CAUS#15-07074</v>
      </c>
    </row>
    <row r="1839" spans="1:8" x14ac:dyDescent="0.25">
      <c r="A1839" t="s">
        <v>577</v>
      </c>
      <c r="B1839">
        <v>78156</v>
      </c>
      <c r="C1839" s="3">
        <v>85</v>
      </c>
      <c r="D1839" s="1">
        <v>43325</v>
      </c>
      <c r="E1839" t="str">
        <f>"201808082825"</f>
        <v>201808082825</v>
      </c>
      <c r="F1839" t="str">
        <f>"PER DIEM"</f>
        <v>PER DIEM</v>
      </c>
      <c r="G1839" s="2">
        <v>85</v>
      </c>
      <c r="H1839" t="str">
        <f>"PER DIEM"</f>
        <v>PER DIEM</v>
      </c>
    </row>
    <row r="1840" spans="1:8" x14ac:dyDescent="0.25">
      <c r="A1840" t="s">
        <v>37</v>
      </c>
      <c r="B1840">
        <v>78384</v>
      </c>
      <c r="C1840" s="3">
        <v>15123.44</v>
      </c>
      <c r="D1840" s="1">
        <v>43339</v>
      </c>
      <c r="E1840" t="str">
        <f>"9725-001-101837"</f>
        <v>9725-001-101837</v>
      </c>
      <c r="F1840" t="str">
        <f t="shared" ref="F1840:F1851" si="10">"ACCT#9725-001/REC BASE/PCT#2"</f>
        <v>ACCT#9725-001/REC BASE/PCT#2</v>
      </c>
      <c r="G1840" s="2">
        <v>1081.8499999999999</v>
      </c>
      <c r="H1840" t="str">
        <f t="shared" ref="H1840:H1851" si="11">"ACCT#9725-001/REC BASE/PCT#2"</f>
        <v>ACCT#9725-001/REC BASE/PCT#2</v>
      </c>
    </row>
    <row r="1841" spans="5:8" x14ac:dyDescent="0.25">
      <c r="E1841" t="str">
        <f>"9725-001-101868"</f>
        <v>9725-001-101868</v>
      </c>
      <c r="F1841" t="str">
        <f t="shared" si="10"/>
        <v>ACCT#9725-001/REC BASE/PCT#2</v>
      </c>
      <c r="G1841" s="2">
        <v>423.15</v>
      </c>
      <c r="H1841" t="str">
        <f t="shared" si="11"/>
        <v>ACCT#9725-001/REC BASE/PCT#2</v>
      </c>
    </row>
    <row r="1842" spans="5:8" x14ac:dyDescent="0.25">
      <c r="E1842" t="str">
        <f>"9725-001-101891"</f>
        <v>9725-001-101891</v>
      </c>
      <c r="F1842" t="str">
        <f t="shared" si="10"/>
        <v>ACCT#9725-001/REC BASE/PCT#2</v>
      </c>
      <c r="G1842" s="2">
        <v>208.34</v>
      </c>
      <c r="H1842" t="str">
        <f t="shared" si="11"/>
        <v>ACCT#9725-001/REC BASE/PCT#2</v>
      </c>
    </row>
    <row r="1843" spans="5:8" x14ac:dyDescent="0.25">
      <c r="E1843" t="str">
        <f>"9725-001-101929"</f>
        <v>9725-001-101929</v>
      </c>
      <c r="F1843" t="str">
        <f t="shared" si="10"/>
        <v>ACCT#9725-001/REC BASE/PCT#2</v>
      </c>
      <c r="G1843" s="2">
        <v>413.87</v>
      </c>
      <c r="H1843" t="str">
        <f t="shared" si="11"/>
        <v>ACCT#9725-001/REC BASE/PCT#2</v>
      </c>
    </row>
    <row r="1844" spans="5:8" x14ac:dyDescent="0.25">
      <c r="E1844" t="str">
        <f>"9725-001-101951"</f>
        <v>9725-001-101951</v>
      </c>
      <c r="F1844" t="str">
        <f t="shared" si="10"/>
        <v>ACCT#9725-001/REC BASE/PCT#2</v>
      </c>
      <c r="G1844" s="2">
        <v>615.13</v>
      </c>
      <c r="H1844" t="str">
        <f t="shared" si="11"/>
        <v>ACCT#9725-001/REC BASE/PCT#2</v>
      </c>
    </row>
    <row r="1845" spans="5:8" x14ac:dyDescent="0.25">
      <c r="E1845" t="str">
        <f>"9725-001-101973"</f>
        <v>9725-001-101973</v>
      </c>
      <c r="F1845" t="str">
        <f t="shared" si="10"/>
        <v>ACCT#9725-001/REC BASE/PCT#2</v>
      </c>
      <c r="G1845" s="2">
        <v>416.94</v>
      </c>
      <c r="H1845" t="str">
        <f t="shared" si="11"/>
        <v>ACCT#9725-001/REC BASE/PCT#2</v>
      </c>
    </row>
    <row r="1846" spans="5:8" x14ac:dyDescent="0.25">
      <c r="E1846" t="str">
        <f>"9725-001-102002"</f>
        <v>9725-001-102002</v>
      </c>
      <c r="F1846" t="str">
        <f t="shared" si="10"/>
        <v>ACCT#9725-001/REC BASE/PCT#2</v>
      </c>
      <c r="G1846" s="2">
        <v>399.09</v>
      </c>
      <c r="H1846" t="str">
        <f t="shared" si="11"/>
        <v>ACCT#9725-001/REC BASE/PCT#2</v>
      </c>
    </row>
    <row r="1847" spans="5:8" x14ac:dyDescent="0.25">
      <c r="E1847" t="str">
        <f>"9725-001-102037"</f>
        <v>9725-001-102037</v>
      </c>
      <c r="F1847" t="str">
        <f t="shared" si="10"/>
        <v>ACCT#9725-001/REC BASE/PCT#2</v>
      </c>
      <c r="G1847" s="2">
        <v>200.46</v>
      </c>
      <c r="H1847" t="str">
        <f t="shared" si="11"/>
        <v>ACCT#9725-001/REC BASE/PCT#2</v>
      </c>
    </row>
    <row r="1848" spans="5:8" x14ac:dyDescent="0.25">
      <c r="E1848" t="str">
        <f>"9725-001-102063"</f>
        <v>9725-001-102063</v>
      </c>
      <c r="F1848" t="str">
        <f t="shared" si="10"/>
        <v>ACCT#9725-001/REC BASE/PCT#2</v>
      </c>
      <c r="G1848" s="2">
        <v>201.08</v>
      </c>
      <c r="H1848" t="str">
        <f t="shared" si="11"/>
        <v>ACCT#9725-001/REC BASE/PCT#2</v>
      </c>
    </row>
    <row r="1849" spans="5:8" x14ac:dyDescent="0.25">
      <c r="E1849" t="str">
        <f>"9725-001-102088"</f>
        <v>9725-001-102088</v>
      </c>
      <c r="F1849" t="str">
        <f t="shared" si="10"/>
        <v>ACCT#9725-001/REC BASE/PCT#2</v>
      </c>
      <c r="G1849" s="2">
        <v>216.56</v>
      </c>
      <c r="H1849" t="str">
        <f t="shared" si="11"/>
        <v>ACCT#9725-001/REC BASE/PCT#2</v>
      </c>
    </row>
    <row r="1850" spans="5:8" x14ac:dyDescent="0.25">
      <c r="E1850" t="str">
        <f>"9725-001-102130"</f>
        <v>9725-001-102130</v>
      </c>
      <c r="F1850" t="str">
        <f t="shared" si="10"/>
        <v>ACCT#9725-001/REC BASE/PCT#2</v>
      </c>
      <c r="G1850" s="2">
        <v>627.91</v>
      </c>
      <c r="H1850" t="str">
        <f t="shared" si="11"/>
        <v>ACCT#9725-001/REC BASE/PCT#2</v>
      </c>
    </row>
    <row r="1851" spans="5:8" x14ac:dyDescent="0.25">
      <c r="E1851" t="str">
        <f>"9725-001-102389"</f>
        <v>9725-001-102389</v>
      </c>
      <c r="F1851" t="str">
        <f t="shared" si="10"/>
        <v>ACCT#9725-001/REC BASE/PCT#2</v>
      </c>
      <c r="G1851" s="2">
        <v>439.87</v>
      </c>
      <c r="H1851" t="str">
        <f t="shared" si="11"/>
        <v>ACCT#9725-001/REC BASE/PCT#2</v>
      </c>
    </row>
    <row r="1852" spans="5:8" x14ac:dyDescent="0.25">
      <c r="E1852" t="str">
        <f>"9725-004-102243"</f>
        <v>9725-004-102243</v>
      </c>
      <c r="F1852" t="str">
        <f>"ACCT#9725-004/REC BASE"</f>
        <v>ACCT#9725-004/REC BASE</v>
      </c>
      <c r="G1852" s="2">
        <v>1034.7</v>
      </c>
      <c r="H1852" t="str">
        <f>"ACCT#9725-004/REC BASE/PCT#2"</f>
        <v>ACCT#9725-004/REC BASE/PCT#2</v>
      </c>
    </row>
    <row r="1853" spans="5:8" x14ac:dyDescent="0.25">
      <c r="E1853" t="str">
        <f>"9725-004-102275"</f>
        <v>9725-004-102275</v>
      </c>
      <c r="F1853" t="str">
        <f>"ACCT#9725-004/REC BASE/PCT#1"</f>
        <v>ACCT#9725-004/REC BASE/PCT#1</v>
      </c>
      <c r="G1853" s="2">
        <v>1935.08</v>
      </c>
      <c r="H1853" t="str">
        <f>"ACCT#9725-004/REC BASE/PCT#1"</f>
        <v>ACCT#9725-004/REC BASE/PCT#1</v>
      </c>
    </row>
    <row r="1854" spans="5:8" x14ac:dyDescent="0.25">
      <c r="E1854" t="str">
        <f>"9725-004-102309"</f>
        <v>9725-004-102309</v>
      </c>
      <c r="F1854" t="str">
        <f>"ACCT#9725-004/REC BASE/PCT#1"</f>
        <v>ACCT#9725-004/REC BASE/PCT#1</v>
      </c>
      <c r="G1854" s="2">
        <v>1914.95</v>
      </c>
      <c r="H1854" t="str">
        <f>"ACCT#9725-004/REC BASE/PCT#1"</f>
        <v>ACCT#9725-004/REC BASE/PCT#1</v>
      </c>
    </row>
    <row r="1855" spans="5:8" x14ac:dyDescent="0.25">
      <c r="E1855" t="str">
        <f>"9725-004-102339"</f>
        <v>9725-004-102339</v>
      </c>
      <c r="F1855" t="str">
        <f>"ACCT#9725-004/REC BASE/PCT#1"</f>
        <v>ACCT#9725-004/REC BASE/PCT#1</v>
      </c>
      <c r="G1855" s="2">
        <v>784.44</v>
      </c>
      <c r="H1855" t="str">
        <f>"ACCT#9725-004/REC BASE/PCT#1"</f>
        <v>ACCT#9725-004/REC BASE/PCT#1</v>
      </c>
    </row>
    <row r="1856" spans="5:8" x14ac:dyDescent="0.25">
      <c r="E1856" t="str">
        <f>"9725-004-102376"</f>
        <v>9725-004-102376</v>
      </c>
      <c r="F1856" t="str">
        <f>"ACCT#9725-004/REC BASE/PCT#1"</f>
        <v>ACCT#9725-004/REC BASE/PCT#1</v>
      </c>
      <c r="G1856" s="2">
        <v>2152.2600000000002</v>
      </c>
      <c r="H1856" t="str">
        <f>"ACCT#9725-004/REC BASE/PCT#1"</f>
        <v>ACCT#9725-004/REC BASE/PCT#1</v>
      </c>
    </row>
    <row r="1857" spans="1:8" x14ac:dyDescent="0.25">
      <c r="E1857" t="str">
        <f>"9725-004-102403"</f>
        <v>9725-004-102403</v>
      </c>
      <c r="F1857" t="str">
        <f>"RECYCLED BASE / P1"</f>
        <v>RECYCLED BASE / P1</v>
      </c>
      <c r="G1857" s="2">
        <v>2057.7600000000002</v>
      </c>
      <c r="H1857" t="str">
        <f>"RECYCLED BASE / P1"</f>
        <v>RECYCLED BASE / P1</v>
      </c>
    </row>
    <row r="1858" spans="1:8" x14ac:dyDescent="0.25">
      <c r="A1858" t="s">
        <v>70</v>
      </c>
      <c r="B1858">
        <v>78385</v>
      </c>
      <c r="C1858" s="3">
        <v>990</v>
      </c>
      <c r="D1858" s="1">
        <v>43339</v>
      </c>
      <c r="E1858" t="str">
        <f>"0724182"</f>
        <v>0724182</v>
      </c>
      <c r="F1858" t="str">
        <f>"ASBESTOS SURVEY/1501 BUS PARK"</f>
        <v>ASBESTOS SURVEY/1501 BUS PARK</v>
      </c>
      <c r="G1858" s="2">
        <v>990</v>
      </c>
      <c r="H1858" t="str">
        <f>"ASBESTOS SURVEY/1501 BUS PARK"</f>
        <v>ASBESTOS SURVEY/1501 BUS PARK</v>
      </c>
    </row>
    <row r="1859" spans="1:8" x14ac:dyDescent="0.25">
      <c r="A1859" t="s">
        <v>83</v>
      </c>
      <c r="B1859">
        <v>78166</v>
      </c>
      <c r="C1859" s="3">
        <v>473.96</v>
      </c>
      <c r="D1859" s="1">
        <v>43325</v>
      </c>
      <c r="E1859" t="str">
        <f>"352303  352604"</f>
        <v>352303  352604</v>
      </c>
      <c r="F1859" t="str">
        <f>"LOOSE TIRE/GN3/OEM"</f>
        <v>LOOSE TIRE/GN3/OEM</v>
      </c>
      <c r="G1859" s="2">
        <v>473.96</v>
      </c>
      <c r="H1859" t="str">
        <f>"LOOSE TIRE/GN3/OEM"</f>
        <v>LOOSE TIRE/GN3/OEM</v>
      </c>
    </row>
    <row r="1860" spans="1:8" x14ac:dyDescent="0.25">
      <c r="A1860" t="s">
        <v>578</v>
      </c>
      <c r="B1860">
        <v>78157</v>
      </c>
      <c r="C1860" s="3">
        <v>10795.68</v>
      </c>
      <c r="D1860" s="1">
        <v>43325</v>
      </c>
      <c r="E1860" t="str">
        <f>"201808072691"</f>
        <v>201808072691</v>
      </c>
      <c r="F1860" t="str">
        <f>"HIDDEN PINES FIRE REIMBURSEMEN"</f>
        <v>HIDDEN PINES FIRE REIMBURSEMEN</v>
      </c>
      <c r="G1860" s="2">
        <v>10795.68</v>
      </c>
      <c r="H1860" t="str">
        <f>"HIDDEN PINES FIRE REIMBURSEMEN"</f>
        <v>HIDDEN PINES FIRE REIMBURSEMEN</v>
      </c>
    </row>
    <row r="1861" spans="1:8" x14ac:dyDescent="0.25">
      <c r="A1861" t="s">
        <v>579</v>
      </c>
      <c r="B1861">
        <v>78158</v>
      </c>
      <c r="C1861" s="3">
        <v>798.64</v>
      </c>
      <c r="D1861" s="1">
        <v>43325</v>
      </c>
      <c r="E1861" t="str">
        <f>"201808072706"</f>
        <v>201808072706</v>
      </c>
      <c r="F1861" t="str">
        <f>"INV 196- Operating Fuel"</f>
        <v>INV 196- Operating Fuel</v>
      </c>
      <c r="G1861" s="2">
        <v>798.64</v>
      </c>
      <c r="H1861" t="str">
        <f>"6/19/2018"</f>
        <v>6/19/2018</v>
      </c>
    </row>
    <row r="1862" spans="1:8" x14ac:dyDescent="0.25">
      <c r="E1862" t="str">
        <f>""</f>
        <v/>
      </c>
      <c r="F1862" t="str">
        <f>""</f>
        <v/>
      </c>
      <c r="H1862" t="str">
        <f>"7/17/2018"</f>
        <v>7/17/2018</v>
      </c>
    </row>
    <row r="1863" spans="1:8" x14ac:dyDescent="0.25">
      <c r="E1863" t="str">
        <f>""</f>
        <v/>
      </c>
      <c r="F1863" t="str">
        <f>""</f>
        <v/>
      </c>
      <c r="H1863" t="str">
        <f>"Vehicle Charge"</f>
        <v>Vehicle Charge</v>
      </c>
    </row>
    <row r="1864" spans="1:8" x14ac:dyDescent="0.25">
      <c r="A1864" t="s">
        <v>111</v>
      </c>
      <c r="B1864">
        <v>78159</v>
      </c>
      <c r="C1864" s="3">
        <v>149.99</v>
      </c>
      <c r="D1864" s="1">
        <v>43325</v>
      </c>
      <c r="E1864" t="str">
        <f>"3327221"</f>
        <v>3327221</v>
      </c>
      <c r="F1864" t="str">
        <f>"Inv# 3327221"</f>
        <v>Inv# 3327221</v>
      </c>
      <c r="G1864" s="2">
        <v>149.99</v>
      </c>
      <c r="H1864" t="str">
        <f>"Inv# 3327221"</f>
        <v>Inv# 3327221</v>
      </c>
    </row>
    <row r="1865" spans="1:8" x14ac:dyDescent="0.25">
      <c r="E1865" t="str">
        <f>""</f>
        <v/>
      </c>
      <c r="F1865" t="str">
        <f>""</f>
        <v/>
      </c>
      <c r="H1865" t="str">
        <f>"Minus Tax"</f>
        <v>Minus Tax</v>
      </c>
    </row>
    <row r="1866" spans="1:8" x14ac:dyDescent="0.25">
      <c r="A1866" t="s">
        <v>122</v>
      </c>
      <c r="B1866">
        <v>78176</v>
      </c>
      <c r="C1866" s="3">
        <v>481.72</v>
      </c>
      <c r="D1866" s="1">
        <v>43332</v>
      </c>
      <c r="E1866" t="str">
        <f>"201808202956"</f>
        <v>201808202956</v>
      </c>
      <c r="F1866" t="str">
        <f>"ACCT#5000057374 / 08/05/2018"</f>
        <v>ACCT#5000057374 / 08/05/2018</v>
      </c>
      <c r="G1866" s="2">
        <v>481.72</v>
      </c>
      <c r="H1866" t="str">
        <f>"ACCT#5000057374 / 08/05/2018"</f>
        <v>ACCT#5000057374 / 08/05/2018</v>
      </c>
    </row>
    <row r="1867" spans="1:8" x14ac:dyDescent="0.25">
      <c r="A1867" t="s">
        <v>141</v>
      </c>
      <c r="B1867">
        <v>78386</v>
      </c>
      <c r="C1867" s="3">
        <v>12514.74</v>
      </c>
      <c r="D1867" s="1">
        <v>43339</v>
      </c>
      <c r="E1867" t="str">
        <f>"30127571"</f>
        <v>30127571</v>
      </c>
      <c r="F1867" t="str">
        <f>"CUST#BASPCT2/ORD#37-18894/P2"</f>
        <v>CUST#BASPCT2/ORD#37-18894/P2</v>
      </c>
      <c r="G1867" s="2">
        <v>2769.27</v>
      </c>
      <c r="H1867" t="str">
        <f>"CUST#BASPCT2/ORD#37-18894/P2"</f>
        <v>CUST#BASPCT2/ORD#37-18894/P2</v>
      </c>
    </row>
    <row r="1868" spans="1:8" x14ac:dyDescent="0.25">
      <c r="E1868" t="str">
        <f>"30127691"</f>
        <v>30127691</v>
      </c>
      <c r="F1868" t="str">
        <f>"CUST#BASPCT2/ORD#37-18894/P2"</f>
        <v>CUST#BASPCT2/ORD#37-18894/P2</v>
      </c>
      <c r="G1868" s="2">
        <v>1850.52</v>
      </c>
      <c r="H1868" t="str">
        <f>"CUST#BASPCT2/ORD#37-18894/P2"</f>
        <v>CUST#BASPCT2/ORD#37-18894/P2</v>
      </c>
    </row>
    <row r="1869" spans="1:8" x14ac:dyDescent="0.25">
      <c r="E1869" t="str">
        <f>"30127772"</f>
        <v>30127772</v>
      </c>
      <c r="F1869" t="str">
        <f>"CUST#BASPCT2/ORD#37-18894/P2"</f>
        <v>CUST#BASPCT2/ORD#37-18894/P2</v>
      </c>
      <c r="G1869" s="2">
        <v>2779.14</v>
      </c>
      <c r="H1869" t="str">
        <f>"CUST#BASPCT2/ORD#37-18894/P2"</f>
        <v>CUST#BASPCT2/ORD#37-18894/P2</v>
      </c>
    </row>
    <row r="1870" spans="1:8" x14ac:dyDescent="0.25">
      <c r="E1870" t="str">
        <f>"30127828"</f>
        <v>30127828</v>
      </c>
      <c r="F1870" t="str">
        <f>"CUST#BASPCT2/ORD#37-18894/P2"</f>
        <v>CUST#BASPCT2/ORD#37-18894/P2</v>
      </c>
      <c r="G1870" s="2">
        <v>2783.34</v>
      </c>
      <c r="H1870" t="str">
        <f>"CUST#BASPCT2/ORD#37-18894/P2"</f>
        <v>CUST#BASPCT2/ORD#37-18894/P2</v>
      </c>
    </row>
    <row r="1871" spans="1:8" x14ac:dyDescent="0.25">
      <c r="E1871" t="str">
        <f>"30127880"</f>
        <v>30127880</v>
      </c>
      <c r="F1871" t="str">
        <f>"CUST#BASPCT2/ORD#37-18894/P2"</f>
        <v>CUST#BASPCT2/ORD#37-18894/P2</v>
      </c>
      <c r="G1871" s="2">
        <v>2332.4699999999998</v>
      </c>
      <c r="H1871" t="str">
        <f>"CUST#BASPCT2/ORD#37-18894/P2"</f>
        <v>CUST#BASPCT2/ORD#37-18894/P2</v>
      </c>
    </row>
    <row r="1872" spans="1:8" x14ac:dyDescent="0.25">
      <c r="A1872" t="s">
        <v>151</v>
      </c>
      <c r="B1872">
        <v>77900</v>
      </c>
      <c r="C1872" s="3">
        <v>10188.52</v>
      </c>
      <c r="D1872" s="1">
        <v>43321</v>
      </c>
      <c r="E1872" t="str">
        <f>"201808092885"</f>
        <v>201808092885</v>
      </c>
      <c r="F1872" t="str">
        <f>"BUILDING PERMIT/COMMUNITY CTR"</f>
        <v>BUILDING PERMIT/COMMUNITY CTR</v>
      </c>
      <c r="G1872" s="2">
        <v>10188.52</v>
      </c>
      <c r="H1872" t="str">
        <f>"BUILDING PERMIT/COMMUNITY CTR"</f>
        <v>BUILDING PERMIT/COMMUNITY CTR</v>
      </c>
    </row>
    <row r="1873" spans="1:8" x14ac:dyDescent="0.25">
      <c r="A1873" t="s">
        <v>151</v>
      </c>
      <c r="B1873">
        <v>77901</v>
      </c>
      <c r="C1873" s="3">
        <v>1425</v>
      </c>
      <c r="D1873" s="1">
        <v>43321</v>
      </c>
      <c r="E1873" t="str">
        <f>"201808092886"</f>
        <v>201808092886</v>
      </c>
      <c r="F1873" t="str">
        <f>"SITE PERMIT/COMMUNITY CTR"</f>
        <v>SITE PERMIT/COMMUNITY CTR</v>
      </c>
      <c r="G1873" s="2">
        <v>1425</v>
      </c>
      <c r="H1873" t="str">
        <f>"SITE PERMIT/COMMUNITY CTR"</f>
        <v>SITE PERMIT/COMMUNITY CTR</v>
      </c>
    </row>
    <row r="1874" spans="1:8" x14ac:dyDescent="0.25">
      <c r="A1874" t="s">
        <v>199</v>
      </c>
      <c r="B1874">
        <v>78387</v>
      </c>
      <c r="C1874" s="3">
        <v>44887.06</v>
      </c>
      <c r="D1874" s="1">
        <v>43339</v>
      </c>
      <c r="E1874" t="str">
        <f>"9401896108"</f>
        <v>9401896108</v>
      </c>
      <c r="F1874" t="str">
        <f>"ACCT#912904/BOL#23154/PCT#2"</f>
        <v>ACCT#912904/BOL#23154/PCT#2</v>
      </c>
      <c r="G1874" s="2">
        <v>10831.75</v>
      </c>
      <c r="H1874" t="str">
        <f>"ACCT#912904/BOL#23154/PCT#2"</f>
        <v>ACCT#912904/BOL#23154/PCT#2</v>
      </c>
    </row>
    <row r="1875" spans="1:8" x14ac:dyDescent="0.25">
      <c r="E1875" t="str">
        <f>"9401896109"</f>
        <v>9401896109</v>
      </c>
      <c r="F1875" t="str">
        <f>"ACCT#912904/BOL#23147/PCT#2"</f>
        <v>ACCT#912904/BOL#23147/PCT#2</v>
      </c>
      <c r="G1875" s="2">
        <v>14063.26</v>
      </c>
      <c r="H1875" t="str">
        <f>"ACCT#912904/BOL#23147/PCT#2"</f>
        <v>ACCT#912904/BOL#23147/PCT#2</v>
      </c>
    </row>
    <row r="1876" spans="1:8" x14ac:dyDescent="0.25">
      <c r="E1876" t="str">
        <f>"9401900288"</f>
        <v>9401900288</v>
      </c>
      <c r="F1876" t="str">
        <f>"ACCT#912904/BOL#23210/PCT#2"</f>
        <v>ACCT#912904/BOL#23210/PCT#2</v>
      </c>
      <c r="G1876" s="2">
        <v>9294.94</v>
      </c>
      <c r="H1876" t="str">
        <f>"ACCT#912904/BOL#23210/PCT#2"</f>
        <v>ACCT#912904/BOL#23210/PCT#2</v>
      </c>
    </row>
    <row r="1877" spans="1:8" x14ac:dyDescent="0.25">
      <c r="E1877" t="str">
        <f>"9401900289"</f>
        <v>9401900289</v>
      </c>
      <c r="F1877" t="str">
        <f>"ACCT#912904/BOL#23214/PCT#2"</f>
        <v>ACCT#912904/BOL#23214/PCT#2</v>
      </c>
      <c r="G1877" s="2">
        <v>10697.11</v>
      </c>
      <c r="H1877" t="str">
        <f>"ACCT#912904/BOL#23214/PCT#2"</f>
        <v>ACCT#912904/BOL#23214/PCT#2</v>
      </c>
    </row>
    <row r="1878" spans="1:8" x14ac:dyDescent="0.25">
      <c r="A1878" t="s">
        <v>208</v>
      </c>
      <c r="B1878">
        <v>78160</v>
      </c>
      <c r="C1878" s="3">
        <v>583.54</v>
      </c>
      <c r="D1878" s="1">
        <v>43325</v>
      </c>
      <c r="E1878" t="str">
        <f>"NP53900522"</f>
        <v>NP53900522</v>
      </c>
      <c r="F1878" t="str">
        <f>"NP53900522"</f>
        <v>NP53900522</v>
      </c>
      <c r="G1878" s="2">
        <v>583.54</v>
      </c>
      <c r="H1878" t="str">
        <f>"OEM"</f>
        <v>OEM</v>
      </c>
    </row>
    <row r="1879" spans="1:8" x14ac:dyDescent="0.25">
      <c r="A1879" t="s">
        <v>245</v>
      </c>
      <c r="B1879">
        <v>78161</v>
      </c>
      <c r="C1879" s="3">
        <v>101.78</v>
      </c>
      <c r="D1879" s="1">
        <v>43325</v>
      </c>
      <c r="E1879" t="str">
        <f>"8021253 4021666 +"</f>
        <v>8021253 4021666 +</v>
      </c>
      <c r="F1879" t="str">
        <f>"Acct# 3780"</f>
        <v>Acct# 3780</v>
      </c>
      <c r="G1879" s="2">
        <v>101.78</v>
      </c>
      <c r="H1879" t="str">
        <f>"Inv# 8021253"</f>
        <v>Inv# 8021253</v>
      </c>
    </row>
    <row r="1880" spans="1:8" x14ac:dyDescent="0.25">
      <c r="E1880" t="str">
        <f>""</f>
        <v/>
      </c>
      <c r="F1880" t="str">
        <f>""</f>
        <v/>
      </c>
      <c r="H1880" t="str">
        <f>"Inv# 4021666"</f>
        <v>Inv# 4021666</v>
      </c>
    </row>
    <row r="1881" spans="1:8" x14ac:dyDescent="0.25">
      <c r="E1881" t="str">
        <f>""</f>
        <v/>
      </c>
      <c r="F1881" t="str">
        <f>""</f>
        <v/>
      </c>
      <c r="H1881" t="str">
        <f>"Inv# 5150828"</f>
        <v>Inv# 5150828</v>
      </c>
    </row>
    <row r="1882" spans="1:8" x14ac:dyDescent="0.25">
      <c r="A1882" t="s">
        <v>580</v>
      </c>
      <c r="B1882">
        <v>78388</v>
      </c>
      <c r="C1882" s="3">
        <v>27.06</v>
      </c>
      <c r="D1882" s="1">
        <v>43339</v>
      </c>
      <c r="E1882" t="str">
        <f>"201808162946"</f>
        <v>201808162946</v>
      </c>
      <c r="F1882" t="str">
        <f>"REIMBURSEMENT-DESK"</f>
        <v>REIMBURSEMENT-DESK</v>
      </c>
      <c r="G1882" s="2">
        <v>27.06</v>
      </c>
      <c r="H1882" t="str">
        <f>"REIMBURSEMENT-DESK"</f>
        <v>REIMBURSEMENT-DESK</v>
      </c>
    </row>
    <row r="1883" spans="1:8" x14ac:dyDescent="0.25">
      <c r="A1883" t="s">
        <v>581</v>
      </c>
      <c r="B1883">
        <v>78162</v>
      </c>
      <c r="C1883" s="3">
        <v>10.210000000000001</v>
      </c>
      <c r="D1883" s="1">
        <v>43325</v>
      </c>
      <c r="E1883" t="str">
        <f>"201807242379"</f>
        <v>201807242379</v>
      </c>
      <c r="F1883" t="str">
        <f>"REIMBURSE-FINGERPRINTING"</f>
        <v>REIMBURSE-FINGERPRINTING</v>
      </c>
      <c r="G1883" s="2">
        <v>10.210000000000001</v>
      </c>
      <c r="H1883" t="str">
        <f>"REIMBURSE-FINGERPRINTING"</f>
        <v>REIMBURSE-FINGERPRINTING</v>
      </c>
    </row>
    <row r="1884" spans="1:8" x14ac:dyDescent="0.25">
      <c r="A1884" t="s">
        <v>582</v>
      </c>
      <c r="B1884">
        <v>78389</v>
      </c>
      <c r="C1884" s="3">
        <v>1164</v>
      </c>
      <c r="D1884" s="1">
        <v>43339</v>
      </c>
      <c r="E1884" t="str">
        <f>"201808243102"</f>
        <v>201808243102</v>
      </c>
      <c r="F1884" t="str">
        <f>"TAS PLAN REVIEW &amp; INSPECT. FEE"</f>
        <v>TAS PLAN REVIEW &amp; INSPECT. FEE</v>
      </c>
      <c r="G1884" s="2">
        <v>1164</v>
      </c>
    </row>
    <row r="1885" spans="1:8" x14ac:dyDescent="0.25">
      <c r="A1885" t="s">
        <v>582</v>
      </c>
      <c r="B1885">
        <v>78389</v>
      </c>
      <c r="C1885" s="3">
        <v>1164</v>
      </c>
      <c r="D1885" s="1">
        <v>43339</v>
      </c>
      <c r="E1885" t="str">
        <f>"CHECK"</f>
        <v>CHECK</v>
      </c>
      <c r="F1885" t="str">
        <f>""</f>
        <v/>
      </c>
      <c r="G1885" s="2">
        <v>1164</v>
      </c>
    </row>
    <row r="1886" spans="1:8" x14ac:dyDescent="0.25">
      <c r="A1886" t="s">
        <v>582</v>
      </c>
      <c r="B1886">
        <v>78401</v>
      </c>
      <c r="C1886" s="3">
        <v>1136</v>
      </c>
      <c r="D1886" s="1">
        <v>43339</v>
      </c>
      <c r="E1886" t="str">
        <f>"180824-01"</f>
        <v>180824-01</v>
      </c>
      <c r="F1886" t="str">
        <f>"TAS PLAN REVIEW SVCS"</f>
        <v>TAS PLAN REVIEW SVCS</v>
      </c>
      <c r="G1886" s="2">
        <v>1136</v>
      </c>
      <c r="H1886" t="str">
        <f>"TAS PLAN REVIEW SVCS"</f>
        <v>TAS PLAN REVIEW SVCS</v>
      </c>
    </row>
    <row r="1887" spans="1:8" x14ac:dyDescent="0.25">
      <c r="A1887" t="s">
        <v>583</v>
      </c>
      <c r="B1887">
        <v>78390</v>
      </c>
      <c r="C1887" s="3">
        <v>38564.75</v>
      </c>
      <c r="D1887" s="1">
        <v>43339</v>
      </c>
      <c r="E1887" t="str">
        <f>"201807193"</f>
        <v>201807193</v>
      </c>
      <c r="F1887" t="str">
        <f>"PROJ:2017072/911 ER OPER&amp;IT CT"</f>
        <v>PROJ:2017072/911 ER OPER&amp;IT CT</v>
      </c>
      <c r="G1887" s="2">
        <v>38564.75</v>
      </c>
      <c r="H1887" t="str">
        <f>"PROJ:2017072/911 ER OPER&amp;IT CT"</f>
        <v>PROJ:2017072/911 ER OPER&amp;IT CT</v>
      </c>
    </row>
    <row r="1888" spans="1:8" x14ac:dyDescent="0.25">
      <c r="A1888" t="s">
        <v>584</v>
      </c>
      <c r="B1888">
        <v>78391</v>
      </c>
      <c r="C1888" s="3">
        <v>1905</v>
      </c>
      <c r="D1888" s="1">
        <v>43339</v>
      </c>
      <c r="E1888" t="str">
        <f>"266468"</f>
        <v>266468</v>
      </c>
      <c r="F1888" t="str">
        <f>"ORD#14955016/ER INVESTIGATION"</f>
        <v>ORD#14955016/ER INVESTIGATION</v>
      </c>
      <c r="G1888" s="2">
        <v>1905</v>
      </c>
      <c r="H1888" t="str">
        <f>"ORD#14955016/ER INVESTIGATION"</f>
        <v>ORD#14955016/ER INVESTIGATION</v>
      </c>
    </row>
    <row r="1889" spans="1:8" x14ac:dyDescent="0.25">
      <c r="A1889" t="s">
        <v>280</v>
      </c>
      <c r="B1889">
        <v>78163</v>
      </c>
      <c r="C1889" s="3">
        <v>807.76</v>
      </c>
      <c r="D1889" s="1">
        <v>43325</v>
      </c>
      <c r="E1889" t="str">
        <f>"201808072707"</f>
        <v>201808072707</v>
      </c>
      <c r="F1889" t="str">
        <f>"ACCT#1645/OEM"</f>
        <v>ACCT#1645/OEM</v>
      </c>
      <c r="G1889" s="2">
        <v>807.76</v>
      </c>
      <c r="H1889" t="str">
        <f>"ACCT#1645/OEM"</f>
        <v>ACCT#1645/OEM</v>
      </c>
    </row>
    <row r="1890" spans="1:8" x14ac:dyDescent="0.25">
      <c r="E1890" t="str">
        <f>""</f>
        <v/>
      </c>
      <c r="F1890" t="str">
        <f>""</f>
        <v/>
      </c>
      <c r="H1890" t="str">
        <f>"ACCT#1645/OEM"</f>
        <v>ACCT#1645/OEM</v>
      </c>
    </row>
    <row r="1891" spans="1:8" x14ac:dyDescent="0.25">
      <c r="A1891" t="s">
        <v>585</v>
      </c>
      <c r="B1891">
        <v>78164</v>
      </c>
      <c r="C1891" s="3">
        <v>6973.32</v>
      </c>
      <c r="D1891" s="1">
        <v>43325</v>
      </c>
      <c r="E1891" t="str">
        <f>"3563"</f>
        <v>3563</v>
      </c>
      <c r="F1891" t="str">
        <f>"HMGP ADMIN/DR-4245-017"</f>
        <v>HMGP ADMIN/DR-4245-017</v>
      </c>
      <c r="G1891" s="2">
        <v>6973.32</v>
      </c>
      <c r="H1891" t="str">
        <f>"HMGP ADMIN/DR-4245-017"</f>
        <v>HMGP ADMIN/DR-4245-017</v>
      </c>
    </row>
    <row r="1892" spans="1:8" x14ac:dyDescent="0.25">
      <c r="A1892" t="s">
        <v>585</v>
      </c>
      <c r="B1892">
        <v>78165</v>
      </c>
      <c r="C1892" s="3">
        <v>7200</v>
      </c>
      <c r="D1892" s="1">
        <v>43325</v>
      </c>
      <c r="E1892" t="str">
        <f>"3564"</f>
        <v>3564</v>
      </c>
      <c r="F1892" t="str">
        <f>"GLO ADMINISTRATION/WFR#010001"</f>
        <v>GLO ADMINISTRATION/WFR#010001</v>
      </c>
      <c r="G1892" s="2">
        <v>7200</v>
      </c>
      <c r="H1892" t="str">
        <f>"GLO ADMINISTRATION/WFR#010001"</f>
        <v>GLO ADMINISTRATION/WFR#010001</v>
      </c>
    </row>
    <row r="1893" spans="1:8" x14ac:dyDescent="0.25">
      <c r="E1893" t="str">
        <f>""</f>
        <v/>
      </c>
      <c r="F1893" t="str">
        <f>""</f>
        <v/>
      </c>
      <c r="H1893" t="str">
        <f>"GLO ADMINISTRATION/WFR#010001"</f>
        <v>GLO ADMINISTRATION/WFR#010001</v>
      </c>
    </row>
    <row r="1894" spans="1:8" x14ac:dyDescent="0.25">
      <c r="A1894" t="s">
        <v>301</v>
      </c>
      <c r="B1894">
        <v>78392</v>
      </c>
      <c r="C1894" s="3">
        <v>234.32</v>
      </c>
      <c r="D1894" s="1">
        <v>43339</v>
      </c>
      <c r="E1894" t="str">
        <f>"912368 909689 9013"</f>
        <v>912368 909689 9013</v>
      </c>
      <c r="F1894" t="str">
        <f>"Acct# 99006938692"</f>
        <v>Acct# 99006938692</v>
      </c>
      <c r="G1894" s="2">
        <v>234.32</v>
      </c>
      <c r="H1894" t="str">
        <f>"Inv# 912368"</f>
        <v>Inv# 912368</v>
      </c>
    </row>
    <row r="1895" spans="1:8" x14ac:dyDescent="0.25">
      <c r="E1895" t="str">
        <f>""</f>
        <v/>
      </c>
      <c r="F1895" t="str">
        <f>""</f>
        <v/>
      </c>
      <c r="H1895" t="str">
        <f>"Inv# 909689"</f>
        <v>Inv# 909689</v>
      </c>
    </row>
    <row r="1896" spans="1:8" x14ac:dyDescent="0.25">
      <c r="E1896" t="str">
        <f>""</f>
        <v/>
      </c>
      <c r="F1896" t="str">
        <f>""</f>
        <v/>
      </c>
      <c r="H1896" t="str">
        <f>"Inv# 901341"</f>
        <v>Inv# 901341</v>
      </c>
    </row>
    <row r="1897" spans="1:8" x14ac:dyDescent="0.25">
      <c r="A1897" t="s">
        <v>586</v>
      </c>
      <c r="B1897">
        <v>78393</v>
      </c>
      <c r="C1897" s="3">
        <v>80</v>
      </c>
      <c r="D1897" s="1">
        <v>43339</v>
      </c>
      <c r="E1897" t="str">
        <f>"1104"</f>
        <v>1104</v>
      </c>
      <c r="F1897" t="str">
        <f>"CPR/AED/FIRST AID INSTRUCTION"</f>
        <v>CPR/AED/FIRST AID INSTRUCTION</v>
      </c>
      <c r="G1897" s="2">
        <v>80</v>
      </c>
      <c r="H1897" t="str">
        <f>"CPR/AED/FIRST AID INSTRUCTION"</f>
        <v>CPR/AED/FIRST AID INSTRUCTION</v>
      </c>
    </row>
    <row r="1898" spans="1:8" x14ac:dyDescent="0.25">
      <c r="A1898" t="s">
        <v>322</v>
      </c>
      <c r="B1898">
        <v>78394</v>
      </c>
      <c r="C1898" s="3">
        <v>1783.15</v>
      </c>
      <c r="D1898" s="1">
        <v>43339</v>
      </c>
      <c r="E1898" t="str">
        <f>"17751"</f>
        <v>17751</v>
      </c>
      <c r="F1898" t="str">
        <f>"FREIGHT SALES/PCT#2"</f>
        <v>FREIGHT SALES/PCT#2</v>
      </c>
      <c r="G1898" s="2">
        <v>609.79999999999995</v>
      </c>
      <c r="H1898" t="str">
        <f>"FREIGHT SALES/PCT#2"</f>
        <v>FREIGHT SALES/PCT#2</v>
      </c>
    </row>
    <row r="1899" spans="1:8" x14ac:dyDescent="0.25">
      <c r="E1899" t="str">
        <f>"17801"</f>
        <v>17801</v>
      </c>
      <c r="F1899" t="str">
        <f>"FREIGHT SALES/PCT#2"</f>
        <v>FREIGHT SALES/PCT#2</v>
      </c>
      <c r="G1899" s="2">
        <v>355.55</v>
      </c>
      <c r="H1899" t="str">
        <f>"FREIGHT SALES/PCT#2"</f>
        <v>FREIGHT SALES/PCT#2</v>
      </c>
    </row>
    <row r="1900" spans="1:8" x14ac:dyDescent="0.25">
      <c r="E1900" t="str">
        <f>"17802"</f>
        <v>17802</v>
      </c>
      <c r="F1900" t="str">
        <f>"FREIGHT SALES/PCT#2"</f>
        <v>FREIGHT SALES/PCT#2</v>
      </c>
      <c r="G1900" s="2">
        <v>817.8</v>
      </c>
      <c r="H1900" t="str">
        <f>"FREIGHT SALES/PCT#2"</f>
        <v>FREIGHT SALES/PCT#2</v>
      </c>
    </row>
    <row r="1901" spans="1:8" x14ac:dyDescent="0.25">
      <c r="A1901" t="s">
        <v>407</v>
      </c>
      <c r="B1901">
        <v>78395</v>
      </c>
      <c r="C1901" s="3">
        <v>21972.14</v>
      </c>
      <c r="D1901" s="1">
        <v>43339</v>
      </c>
      <c r="E1901" t="str">
        <f>"16007287"</f>
        <v>16007287</v>
      </c>
      <c r="F1901" t="str">
        <f>"Radios for Pct1"</f>
        <v>Radios for Pct1</v>
      </c>
      <c r="G1901" s="2">
        <v>21972.14</v>
      </c>
      <c r="H1901" t="str">
        <f>"Radios for Pct1"</f>
        <v>Radios for Pct1</v>
      </c>
    </row>
    <row r="1902" spans="1:8" x14ac:dyDescent="0.25">
      <c r="A1902" t="s">
        <v>587</v>
      </c>
      <c r="B1902">
        <v>78167</v>
      </c>
      <c r="C1902" s="3">
        <v>10.210000000000001</v>
      </c>
      <c r="D1902" s="1">
        <v>43325</v>
      </c>
      <c r="E1902" t="str">
        <f>"201807242378"</f>
        <v>201807242378</v>
      </c>
      <c r="F1902" t="str">
        <f>"REIMBURSE-FINGERPRINTING"</f>
        <v>REIMBURSE-FINGERPRINTING</v>
      </c>
      <c r="G1902" s="2">
        <v>10.210000000000001</v>
      </c>
      <c r="H1902" t="str">
        <f>"REIMBURSE-FINGERPRINTING"</f>
        <v>REIMBURSE-FINGERPRINTING</v>
      </c>
    </row>
    <row r="1903" spans="1:8" x14ac:dyDescent="0.25">
      <c r="A1903" t="s">
        <v>588</v>
      </c>
      <c r="B1903">
        <v>78396</v>
      </c>
      <c r="C1903" s="3">
        <v>10561.71</v>
      </c>
      <c r="D1903" s="1">
        <v>43339</v>
      </c>
      <c r="E1903" t="str">
        <f>"1036"</f>
        <v>1036</v>
      </c>
      <c r="F1903" t="str">
        <f>"2017.008.00 BASTROP CO COMM CT"</f>
        <v>2017.008.00 BASTROP CO COMM CT</v>
      </c>
      <c r="G1903" s="2">
        <v>1445.18</v>
      </c>
      <c r="H1903" t="str">
        <f>"2017.008.00 BASTROP CO COMM CT"</f>
        <v>2017.008.00 BASTROP CO COMM CT</v>
      </c>
    </row>
    <row r="1904" spans="1:8" x14ac:dyDescent="0.25">
      <c r="E1904" t="str">
        <f>"979"</f>
        <v>979</v>
      </c>
      <c r="F1904" t="str">
        <f>"PROJ#2017.008.00 BASTROP CO CO"</f>
        <v>PROJ#2017.008.00 BASTROP CO CO</v>
      </c>
      <c r="G1904" s="2">
        <v>8946.3799999999992</v>
      </c>
      <c r="H1904" t="str">
        <f>"PROJ#2017.008.00 BASTROP CO CO"</f>
        <v>PROJ#2017.008.00 BASTROP CO CO</v>
      </c>
    </row>
    <row r="1905" spans="1:8" x14ac:dyDescent="0.25">
      <c r="E1905" t="str">
        <f>"998"</f>
        <v>998</v>
      </c>
      <c r="F1905" t="str">
        <f>"2017.008.00 BASTROP CO. COMM"</f>
        <v>2017.008.00 BASTROP CO. COMM</v>
      </c>
      <c r="G1905" s="2">
        <v>170.15</v>
      </c>
      <c r="H1905" t="str">
        <f>"2017.008.00 BASTROP CO. COMM"</f>
        <v>2017.008.00 BASTROP CO. COMM</v>
      </c>
    </row>
    <row r="1906" spans="1:8" x14ac:dyDescent="0.25">
      <c r="A1906" t="s">
        <v>589</v>
      </c>
      <c r="B1906">
        <v>78168</v>
      </c>
      <c r="C1906" s="3">
        <v>26281.05</v>
      </c>
      <c r="D1906" s="1">
        <v>43325</v>
      </c>
      <c r="E1906" t="str">
        <f>"201807272405"</f>
        <v>201807272405</v>
      </c>
      <c r="F1906" t="str">
        <f>"REIMBURSE-HIDDEN PINES FIRE"</f>
        <v>REIMBURSE-HIDDEN PINES FIRE</v>
      </c>
      <c r="G1906" s="2">
        <v>26281.05</v>
      </c>
      <c r="H1906" t="str">
        <f>"REIMBURSE-HIDDEN PINES FIRE"</f>
        <v>REIMBURSE-HIDDEN PINES FIRE</v>
      </c>
    </row>
    <row r="1907" spans="1:8" x14ac:dyDescent="0.25">
      <c r="A1907" t="s">
        <v>590</v>
      </c>
      <c r="B1907">
        <v>78397</v>
      </c>
      <c r="C1907" s="3">
        <v>36550</v>
      </c>
      <c r="D1907" s="1">
        <v>43339</v>
      </c>
      <c r="E1907" t="str">
        <f>"1267"</f>
        <v>1267</v>
      </c>
      <c r="F1907" t="str">
        <f>"Inv# 1267"</f>
        <v>Inv# 1267</v>
      </c>
      <c r="G1907" s="2">
        <v>29240</v>
      </c>
      <c r="H1907" t="str">
        <f>"Payment"</f>
        <v>Payment</v>
      </c>
    </row>
    <row r="1908" spans="1:8" x14ac:dyDescent="0.25">
      <c r="E1908" t="str">
        <f>"1268"</f>
        <v>1268</v>
      </c>
      <c r="F1908" t="str">
        <f>"Inv# 1268"</f>
        <v>Inv# 1268</v>
      </c>
      <c r="G1908" s="2">
        <v>7310</v>
      </c>
      <c r="H1908" t="str">
        <f>"Payment"</f>
        <v>Payment</v>
      </c>
    </row>
    <row r="1909" spans="1:8" x14ac:dyDescent="0.25">
      <c r="A1909" t="s">
        <v>518</v>
      </c>
      <c r="B1909">
        <v>78398</v>
      </c>
      <c r="C1909" s="3">
        <v>152.69999999999999</v>
      </c>
      <c r="D1909" s="1">
        <v>43339</v>
      </c>
      <c r="E1909" t="str">
        <f>"96171"</f>
        <v>96171</v>
      </c>
      <c r="F1909" t="str">
        <f>"TICKET#1091382/BEDDING SAND"</f>
        <v>TICKET#1091382/BEDDING SAND</v>
      </c>
      <c r="G1909" s="2">
        <v>152.69999999999999</v>
      </c>
      <c r="H1909" t="str">
        <f>"TICKET#1091382/BEDDING SAND"</f>
        <v>TICKET#1091382/BEDDING SAND</v>
      </c>
    </row>
    <row r="1910" spans="1:8" x14ac:dyDescent="0.25">
      <c r="A1910" t="s">
        <v>591</v>
      </c>
      <c r="B1910">
        <v>78169</v>
      </c>
      <c r="C1910" s="3">
        <v>825.43</v>
      </c>
      <c r="D1910" s="1">
        <v>43325</v>
      </c>
      <c r="E1910" t="str">
        <f>"9-2417"</f>
        <v>9-2417</v>
      </c>
      <c r="F1910" t="str">
        <f>"Inv# 9-2417"</f>
        <v>Inv# 9-2417</v>
      </c>
      <c r="G1910" s="2">
        <v>825.43</v>
      </c>
      <c r="H1910" t="str">
        <f>"Split"</f>
        <v>Split</v>
      </c>
    </row>
    <row r="1911" spans="1:8" x14ac:dyDescent="0.25">
      <c r="E1911" t="str">
        <f>""</f>
        <v/>
      </c>
      <c r="F1911" t="str">
        <f>""</f>
        <v/>
      </c>
      <c r="H1911" t="str">
        <f>"Spilt"</f>
        <v>Spilt</v>
      </c>
    </row>
    <row r="1912" spans="1:8" x14ac:dyDescent="0.25">
      <c r="A1912" t="s">
        <v>591</v>
      </c>
      <c r="B1912">
        <v>78399</v>
      </c>
      <c r="C1912" s="3">
        <v>17122.29</v>
      </c>
      <c r="D1912" s="1">
        <v>43339</v>
      </c>
      <c r="E1912" t="str">
        <f>"90001854"</f>
        <v>90001854</v>
      </c>
      <c r="F1912" t="str">
        <f>"Inv# 90001854"</f>
        <v>Inv# 90001854</v>
      </c>
      <c r="G1912" s="2">
        <v>17122.29</v>
      </c>
      <c r="H1912" t="str">
        <f>"Inv# 90001854"</f>
        <v>Inv# 90001854</v>
      </c>
    </row>
    <row r="1913" spans="1:8" x14ac:dyDescent="0.25">
      <c r="A1913" t="s">
        <v>592</v>
      </c>
      <c r="B1913">
        <v>0</v>
      </c>
      <c r="C1913" s="3">
        <v>1250</v>
      </c>
      <c r="D1913" s="1">
        <v>43325</v>
      </c>
      <c r="E1913" t="str">
        <f>"252-2111910"</f>
        <v>252-2111910</v>
      </c>
      <c r="F1913" t="str">
        <f>"ACCT#BASTROP13/SERIES 2013"</f>
        <v>ACCT#BASTROP13/SERIES 2013</v>
      </c>
      <c r="G1913" s="2">
        <v>500</v>
      </c>
      <c r="H1913" t="str">
        <f>"ACCT#BASTROP13/SERIES 2013"</f>
        <v>ACCT#BASTROP13/SERIES 2013</v>
      </c>
    </row>
    <row r="1914" spans="1:8" x14ac:dyDescent="0.25">
      <c r="E1914" t="str">
        <f>"252-2127332"</f>
        <v>252-2127332</v>
      </c>
      <c r="F1914" t="str">
        <f>"ACCT#BASREF15/SERIES 2015"</f>
        <v>ACCT#BASREF15/SERIES 2015</v>
      </c>
      <c r="G1914" s="2">
        <v>750</v>
      </c>
      <c r="H1914" t="str">
        <f>"ACCT#BASREF15/SERIES 2015"</f>
        <v>ACCT#BASREF15/SERIES 2015</v>
      </c>
    </row>
    <row r="1915" spans="1:8" x14ac:dyDescent="0.25">
      <c r="A1915" t="s">
        <v>562</v>
      </c>
      <c r="B1915">
        <v>78170</v>
      </c>
      <c r="C1915" s="3">
        <v>486.1</v>
      </c>
      <c r="D1915" s="1">
        <v>43325</v>
      </c>
      <c r="E1915" t="str">
        <f>"000741"</f>
        <v>000741</v>
      </c>
      <c r="F1915" t="str">
        <f>"Acct# 6032202005312476"</f>
        <v>Acct# 6032202005312476</v>
      </c>
      <c r="G1915" s="2">
        <v>486.1</v>
      </c>
      <c r="H1915" t="str">
        <f>"Inv# 000741"</f>
        <v>Inv# 000741</v>
      </c>
    </row>
    <row r="1916" spans="1:8" x14ac:dyDescent="0.25">
      <c r="A1916" t="s">
        <v>566</v>
      </c>
      <c r="B1916">
        <v>78400</v>
      </c>
      <c r="C1916" s="3">
        <v>144</v>
      </c>
      <c r="D1916" s="1">
        <v>43339</v>
      </c>
      <c r="E1916" t="str">
        <f>"2734"</f>
        <v>2734</v>
      </c>
      <c r="F1916" t="str">
        <f>"EMBROIDERY/JUVENILE BOOT CAMP"</f>
        <v>EMBROIDERY/JUVENILE BOOT CAMP</v>
      </c>
      <c r="G1916" s="2">
        <v>72</v>
      </c>
      <c r="H1916" t="str">
        <f>"EMBROIDERY/JUVENILE BOOT CAMP"</f>
        <v>EMBROIDERY/JUVENILE BOOT CAMP</v>
      </c>
    </row>
    <row r="1917" spans="1:8" x14ac:dyDescent="0.25">
      <c r="E1917" t="str">
        <f>"2824"</f>
        <v>2824</v>
      </c>
      <c r="F1917" t="str">
        <f>"EMBROIDERY/BOOT CAMP"</f>
        <v>EMBROIDERY/BOOT CAMP</v>
      </c>
      <c r="G1917" s="2">
        <v>72</v>
      </c>
      <c r="H1917" t="str">
        <f>"EMBROIDERY/BOOT CAMP"</f>
        <v>EMBROIDERY/BOOT CAMP</v>
      </c>
    </row>
    <row r="1918" spans="1:8" x14ac:dyDescent="0.25">
      <c r="A1918" t="s">
        <v>567</v>
      </c>
      <c r="B1918">
        <v>78171</v>
      </c>
      <c r="C1918" s="3">
        <v>97.48</v>
      </c>
      <c r="D1918" s="1">
        <v>43325</v>
      </c>
      <c r="E1918" t="str">
        <f>"279169"</f>
        <v>279169</v>
      </c>
      <c r="F1918" t="str">
        <f>"PUMP/HOSE/GEN SVCS"</f>
        <v>PUMP/HOSE/GEN SVCS</v>
      </c>
      <c r="G1918" s="2">
        <v>97.48</v>
      </c>
      <c r="H1918" t="str">
        <f>"PUMP/HOSE/GEN SVCS"</f>
        <v>PUMP/HOSE/GEN SVCS</v>
      </c>
    </row>
    <row r="1919" spans="1:8" x14ac:dyDescent="0.25">
      <c r="A1919" t="s">
        <v>593</v>
      </c>
      <c r="B1919">
        <v>0</v>
      </c>
      <c r="C1919" s="3">
        <v>150</v>
      </c>
      <c r="D1919" s="1">
        <v>43325</v>
      </c>
      <c r="E1919" t="str">
        <f>"1573417"</f>
        <v>1573417</v>
      </c>
      <c r="F1919" t="str">
        <f>"ACCT#BAST509LTR/SERIES 2009"</f>
        <v>ACCT#BAST509LTR/SERIES 2009</v>
      </c>
      <c r="G1919" s="2">
        <v>150</v>
      </c>
      <c r="H1919" t="str">
        <f>"ACCT#BAST509LTR/SERIES 2009"</f>
        <v>ACCT#BAST509LTR/SERIES 2009</v>
      </c>
    </row>
    <row r="1920" spans="1:8" x14ac:dyDescent="0.25">
      <c r="A1920" t="s">
        <v>594</v>
      </c>
      <c r="B1920">
        <v>0</v>
      </c>
      <c r="C1920" s="3">
        <v>6675.64</v>
      </c>
      <c r="D1920" s="1">
        <v>43341</v>
      </c>
      <c r="E1920" t="str">
        <f>"201808293120"</f>
        <v>201808293120</v>
      </c>
      <c r="F1920" t="str">
        <f>"ALLSTATE-AMERICAN HERITAGE LIF"</f>
        <v>ALLSTATE-AMERICAN HERITAGE LIF</v>
      </c>
      <c r="G1920" s="2">
        <v>0.04</v>
      </c>
      <c r="H1920" t="str">
        <f>"ALLSTATE-AMERICAN HERITAGE LIF"</f>
        <v>ALLSTATE-AMERICAN HERITAGE LIF</v>
      </c>
    </row>
    <row r="1921" spans="1:8" x14ac:dyDescent="0.25">
      <c r="E1921" t="str">
        <f>"AS 201808082881"</f>
        <v>AS 201808082881</v>
      </c>
      <c r="F1921" t="str">
        <f t="shared" ref="F1921:F1934" si="12">"ALLSTATE"</f>
        <v>ALLSTATE</v>
      </c>
      <c r="G1921" s="2">
        <v>637.20000000000005</v>
      </c>
      <c r="H1921" t="str">
        <f t="shared" ref="H1921:H1934" si="13">"ALLSTATE"</f>
        <v>ALLSTATE</v>
      </c>
    </row>
    <row r="1922" spans="1:8" x14ac:dyDescent="0.25">
      <c r="E1922" t="str">
        <f>"AS 201808082882"</f>
        <v>AS 201808082882</v>
      </c>
      <c r="F1922" t="str">
        <f t="shared" si="12"/>
        <v>ALLSTATE</v>
      </c>
      <c r="G1922" s="2">
        <v>36.14</v>
      </c>
      <c r="H1922" t="str">
        <f t="shared" si="13"/>
        <v>ALLSTATE</v>
      </c>
    </row>
    <row r="1923" spans="1:8" x14ac:dyDescent="0.25">
      <c r="E1923" t="str">
        <f>"AS 201808223027"</f>
        <v>AS 201808223027</v>
      </c>
      <c r="F1923" t="str">
        <f t="shared" si="12"/>
        <v>ALLSTATE</v>
      </c>
      <c r="G1923" s="2">
        <v>619.20000000000005</v>
      </c>
      <c r="H1923" t="str">
        <f t="shared" si="13"/>
        <v>ALLSTATE</v>
      </c>
    </row>
    <row r="1924" spans="1:8" x14ac:dyDescent="0.25">
      <c r="E1924" t="str">
        <f>"AS 201808223028"</f>
        <v>AS 201808223028</v>
      </c>
      <c r="F1924" t="str">
        <f t="shared" si="12"/>
        <v>ALLSTATE</v>
      </c>
      <c r="G1924" s="2">
        <v>36.14</v>
      </c>
      <c r="H1924" t="str">
        <f t="shared" si="13"/>
        <v>ALLSTATE</v>
      </c>
    </row>
    <row r="1925" spans="1:8" x14ac:dyDescent="0.25">
      <c r="E1925" t="str">
        <f>"ASD201808082881"</f>
        <v>ASD201808082881</v>
      </c>
      <c r="F1925" t="str">
        <f t="shared" si="12"/>
        <v>ALLSTATE</v>
      </c>
      <c r="G1925" s="2">
        <v>228.95</v>
      </c>
      <c r="H1925" t="str">
        <f t="shared" si="13"/>
        <v>ALLSTATE</v>
      </c>
    </row>
    <row r="1926" spans="1:8" x14ac:dyDescent="0.25">
      <c r="E1926" t="str">
        <f>"ASD201808223027"</f>
        <v>ASD201808223027</v>
      </c>
      <c r="F1926" t="str">
        <f t="shared" si="12"/>
        <v>ALLSTATE</v>
      </c>
      <c r="G1926" s="2">
        <v>228.95</v>
      </c>
      <c r="H1926" t="str">
        <f t="shared" si="13"/>
        <v>ALLSTATE</v>
      </c>
    </row>
    <row r="1927" spans="1:8" x14ac:dyDescent="0.25">
      <c r="E1927" t="str">
        <f>"ASI201808082881"</f>
        <v>ASI201808082881</v>
      </c>
      <c r="F1927" t="str">
        <f t="shared" si="12"/>
        <v>ALLSTATE</v>
      </c>
      <c r="G1927" s="2">
        <v>781.61</v>
      </c>
      <c r="H1927" t="str">
        <f t="shared" si="13"/>
        <v>ALLSTATE</v>
      </c>
    </row>
    <row r="1928" spans="1:8" x14ac:dyDescent="0.25">
      <c r="E1928" t="str">
        <f>"ASI201808082882"</f>
        <v>ASI201808082882</v>
      </c>
      <c r="F1928" t="str">
        <f t="shared" si="12"/>
        <v>ALLSTATE</v>
      </c>
      <c r="G1928" s="2">
        <v>100.63</v>
      </c>
      <c r="H1928" t="str">
        <f t="shared" si="13"/>
        <v>ALLSTATE</v>
      </c>
    </row>
    <row r="1929" spans="1:8" x14ac:dyDescent="0.25">
      <c r="E1929" t="str">
        <f>"ASI201808223027"</f>
        <v>ASI201808223027</v>
      </c>
      <c r="F1929" t="str">
        <f t="shared" si="12"/>
        <v>ALLSTATE</v>
      </c>
      <c r="G1929" s="2">
        <v>762.25</v>
      </c>
      <c r="H1929" t="str">
        <f t="shared" si="13"/>
        <v>ALLSTATE</v>
      </c>
    </row>
    <row r="1930" spans="1:8" x14ac:dyDescent="0.25">
      <c r="E1930" t="str">
        <f>"ASI201808223028"</f>
        <v>ASI201808223028</v>
      </c>
      <c r="F1930" t="str">
        <f t="shared" si="12"/>
        <v>ALLSTATE</v>
      </c>
      <c r="G1930" s="2">
        <v>100.63</v>
      </c>
      <c r="H1930" t="str">
        <f t="shared" si="13"/>
        <v>ALLSTATE</v>
      </c>
    </row>
    <row r="1931" spans="1:8" x14ac:dyDescent="0.25">
      <c r="E1931" t="str">
        <f>"AST201808082881"</f>
        <v>AST201808082881</v>
      </c>
      <c r="F1931" t="str">
        <f t="shared" si="12"/>
        <v>ALLSTATE</v>
      </c>
      <c r="G1931" s="2">
        <v>1529.74</v>
      </c>
      <c r="H1931" t="str">
        <f t="shared" si="13"/>
        <v>ALLSTATE</v>
      </c>
    </row>
    <row r="1932" spans="1:8" x14ac:dyDescent="0.25">
      <c r="E1932" t="str">
        <f>"AST201808082882"</f>
        <v>AST201808082882</v>
      </c>
      <c r="F1932" t="str">
        <f t="shared" si="12"/>
        <v>ALLSTATE</v>
      </c>
      <c r="G1932" s="2">
        <v>53.83</v>
      </c>
      <c r="H1932" t="str">
        <f t="shared" si="13"/>
        <v>ALLSTATE</v>
      </c>
    </row>
    <row r="1933" spans="1:8" x14ac:dyDescent="0.25">
      <c r="E1933" t="str">
        <f>"AST201808223027"</f>
        <v>AST201808223027</v>
      </c>
      <c r="F1933" t="str">
        <f t="shared" si="12"/>
        <v>ALLSTATE</v>
      </c>
      <c r="G1933" s="2">
        <v>1506.5</v>
      </c>
      <c r="H1933" t="str">
        <f t="shared" si="13"/>
        <v>ALLSTATE</v>
      </c>
    </row>
    <row r="1934" spans="1:8" x14ac:dyDescent="0.25">
      <c r="E1934" t="str">
        <f>"AST201808223028"</f>
        <v>AST201808223028</v>
      </c>
      <c r="F1934" t="str">
        <f t="shared" si="12"/>
        <v>ALLSTATE</v>
      </c>
      <c r="G1934" s="2">
        <v>53.83</v>
      </c>
      <c r="H1934" t="str">
        <f t="shared" si="13"/>
        <v>ALLSTATE</v>
      </c>
    </row>
    <row r="1935" spans="1:8" x14ac:dyDescent="0.25">
      <c r="A1935" t="s">
        <v>595</v>
      </c>
      <c r="B1935">
        <v>0</v>
      </c>
      <c r="C1935" s="3">
        <v>2899.66</v>
      </c>
      <c r="D1935" s="1">
        <v>43322</v>
      </c>
      <c r="E1935" t="str">
        <f>"DHM201808082883"</f>
        <v>DHM201808082883</v>
      </c>
      <c r="F1935" t="str">
        <f>"AP - DENTAL HMO"</f>
        <v>AP - DENTAL HMO</v>
      </c>
      <c r="G1935" s="2">
        <v>30.7</v>
      </c>
      <c r="H1935" t="str">
        <f>"AP - DENTAL HMO"</f>
        <v>AP - DENTAL HMO</v>
      </c>
    </row>
    <row r="1936" spans="1:8" x14ac:dyDescent="0.25">
      <c r="E1936" t="str">
        <f>"DTX201808082883"</f>
        <v>DTX201808082883</v>
      </c>
      <c r="F1936" t="str">
        <f>"AP - TEXAS DENTAL"</f>
        <v>AP - TEXAS DENTAL</v>
      </c>
      <c r="G1936" s="2">
        <v>397.64</v>
      </c>
      <c r="H1936" t="str">
        <f>"AP - TEXAS DENTAL"</f>
        <v>AP - TEXAS DENTAL</v>
      </c>
    </row>
    <row r="1937" spans="1:8" x14ac:dyDescent="0.25">
      <c r="E1937" t="str">
        <f>"FD 201808082883"</f>
        <v>FD 201808082883</v>
      </c>
      <c r="F1937" t="str">
        <f>"AP - FT DEARBORN PRE-TAX"</f>
        <v>AP - FT DEARBORN PRE-TAX</v>
      </c>
      <c r="G1937" s="2">
        <v>219.47</v>
      </c>
      <c r="H1937" t="str">
        <f>"AP - FT DEARBORN PRE-TAX"</f>
        <v>AP - FT DEARBORN PRE-TAX</v>
      </c>
    </row>
    <row r="1938" spans="1:8" x14ac:dyDescent="0.25">
      <c r="E1938" t="str">
        <f>"FDT201808082883"</f>
        <v>FDT201808082883</v>
      </c>
      <c r="F1938" t="str">
        <f>"AP - FT DEARBORN AFTER TAX"</f>
        <v>AP - FT DEARBORN AFTER TAX</v>
      </c>
      <c r="G1938" s="2">
        <v>82.06</v>
      </c>
      <c r="H1938" t="str">
        <f>"AP - FT DEARBORN AFTER TAX"</f>
        <v>AP - FT DEARBORN AFTER TAX</v>
      </c>
    </row>
    <row r="1939" spans="1:8" x14ac:dyDescent="0.25">
      <c r="E1939" t="str">
        <f>"FLX201808082883"</f>
        <v>FLX201808082883</v>
      </c>
      <c r="F1939" t="str">
        <f>"AP - TEX FLEX"</f>
        <v>AP - TEX FLEX</v>
      </c>
      <c r="G1939" s="2">
        <v>312</v>
      </c>
      <c r="H1939" t="str">
        <f>"AP - TEX FLEX"</f>
        <v>AP - TEX FLEX</v>
      </c>
    </row>
    <row r="1940" spans="1:8" x14ac:dyDescent="0.25">
      <c r="E1940" t="str">
        <f>"MHS201808082883"</f>
        <v>MHS201808082883</v>
      </c>
      <c r="F1940" t="str">
        <f>"AP - HEALTH SELECT MEDICAL"</f>
        <v>AP - HEALTH SELECT MEDICAL</v>
      </c>
      <c r="G1940" s="2">
        <v>1549.22</v>
      </c>
      <c r="H1940" t="str">
        <f>"AP - HEALTH SELECT MEDICAL"</f>
        <v>AP - HEALTH SELECT MEDICAL</v>
      </c>
    </row>
    <row r="1941" spans="1:8" x14ac:dyDescent="0.25">
      <c r="E1941" t="str">
        <f>"MSW201808082883"</f>
        <v>MSW201808082883</v>
      </c>
      <c r="F1941" t="str">
        <f>"AP - SCOTT &amp; WHITE MEDICAL"</f>
        <v>AP - SCOTT &amp; WHITE MEDICAL</v>
      </c>
      <c r="G1941" s="2">
        <v>291.82</v>
      </c>
      <c r="H1941" t="str">
        <f>"AP - SCOTT &amp; WHITE MEDICAL"</f>
        <v>AP - SCOTT &amp; WHITE MEDICAL</v>
      </c>
    </row>
    <row r="1942" spans="1:8" x14ac:dyDescent="0.25">
      <c r="E1942" t="str">
        <f>"SPE201808082883"</f>
        <v>SPE201808082883</v>
      </c>
      <c r="F1942" t="str">
        <f>"AP - STATE VISION"</f>
        <v>AP - STATE VISION</v>
      </c>
      <c r="G1942" s="2">
        <v>16.75</v>
      </c>
      <c r="H1942" t="str">
        <f>"AP - STATE VISION"</f>
        <v>AP - STATE VISION</v>
      </c>
    </row>
    <row r="1943" spans="1:8" x14ac:dyDescent="0.25">
      <c r="A1943" t="s">
        <v>595</v>
      </c>
      <c r="B1943">
        <v>0</v>
      </c>
      <c r="C1943" s="3">
        <v>2899.66</v>
      </c>
      <c r="D1943" s="1">
        <v>43336</v>
      </c>
      <c r="E1943" t="str">
        <f>"DHM201808223029"</f>
        <v>DHM201808223029</v>
      </c>
      <c r="F1943" t="str">
        <f>"AP - DENTAL HMO"</f>
        <v>AP - DENTAL HMO</v>
      </c>
      <c r="G1943" s="2">
        <v>30.7</v>
      </c>
      <c r="H1943" t="str">
        <f>"AP - DENTAL HMO"</f>
        <v>AP - DENTAL HMO</v>
      </c>
    </row>
    <row r="1944" spans="1:8" x14ac:dyDescent="0.25">
      <c r="E1944" t="str">
        <f>"DTX201808223029"</f>
        <v>DTX201808223029</v>
      </c>
      <c r="F1944" t="str">
        <f>"AP - TEXAS DENTAL"</f>
        <v>AP - TEXAS DENTAL</v>
      </c>
      <c r="G1944" s="2">
        <v>397.64</v>
      </c>
      <c r="H1944" t="str">
        <f>"AP - TEXAS DENTAL"</f>
        <v>AP - TEXAS DENTAL</v>
      </c>
    </row>
    <row r="1945" spans="1:8" x14ac:dyDescent="0.25">
      <c r="E1945" t="str">
        <f>"FD 201808223029"</f>
        <v>FD 201808223029</v>
      </c>
      <c r="F1945" t="str">
        <f>"AP - FT DEARBORN PRE-TAX"</f>
        <v>AP - FT DEARBORN PRE-TAX</v>
      </c>
      <c r="G1945" s="2">
        <v>219.47</v>
      </c>
      <c r="H1945" t="str">
        <f>"AP - FT DEARBORN PRE-TAX"</f>
        <v>AP - FT DEARBORN PRE-TAX</v>
      </c>
    </row>
    <row r="1946" spans="1:8" x14ac:dyDescent="0.25">
      <c r="E1946" t="str">
        <f>"FDT201808223029"</f>
        <v>FDT201808223029</v>
      </c>
      <c r="F1946" t="str">
        <f>"AP - FT DEARBORN AFTER TAX"</f>
        <v>AP - FT DEARBORN AFTER TAX</v>
      </c>
      <c r="G1946" s="2">
        <v>82.06</v>
      </c>
      <c r="H1946" t="str">
        <f>"AP - FT DEARBORN AFTER TAX"</f>
        <v>AP - FT DEARBORN AFTER TAX</v>
      </c>
    </row>
    <row r="1947" spans="1:8" x14ac:dyDescent="0.25">
      <c r="E1947" t="str">
        <f>"FLX201808223029"</f>
        <v>FLX201808223029</v>
      </c>
      <c r="F1947" t="str">
        <f>"AP - TEX FLEX"</f>
        <v>AP - TEX FLEX</v>
      </c>
      <c r="G1947" s="2">
        <v>312</v>
      </c>
      <c r="H1947" t="str">
        <f>"AP - TEX FLEX"</f>
        <v>AP - TEX FLEX</v>
      </c>
    </row>
    <row r="1948" spans="1:8" x14ac:dyDescent="0.25">
      <c r="E1948" t="str">
        <f>"MHS201808223029"</f>
        <v>MHS201808223029</v>
      </c>
      <c r="F1948" t="str">
        <f>"AP - HEALTH SELECT MEDICAL"</f>
        <v>AP - HEALTH SELECT MEDICAL</v>
      </c>
      <c r="G1948" s="2">
        <v>1549.22</v>
      </c>
      <c r="H1948" t="str">
        <f>"AP - HEALTH SELECT MEDICAL"</f>
        <v>AP - HEALTH SELECT MEDICAL</v>
      </c>
    </row>
    <row r="1949" spans="1:8" x14ac:dyDescent="0.25">
      <c r="E1949" t="str">
        <f>"MSW201808223029"</f>
        <v>MSW201808223029</v>
      </c>
      <c r="F1949" t="str">
        <f>"AP - SCOTT &amp; WHITE MEDICAL"</f>
        <v>AP - SCOTT &amp; WHITE MEDICAL</v>
      </c>
      <c r="G1949" s="2">
        <v>291.82</v>
      </c>
      <c r="H1949" t="str">
        <f>"AP - SCOTT &amp; WHITE MEDICAL"</f>
        <v>AP - SCOTT &amp; WHITE MEDICAL</v>
      </c>
    </row>
    <row r="1950" spans="1:8" x14ac:dyDescent="0.25">
      <c r="E1950" t="str">
        <f>"SPE201808223029"</f>
        <v>SPE201808223029</v>
      </c>
      <c r="F1950" t="str">
        <f>"AP - STATE VISION"</f>
        <v>AP - STATE VISION</v>
      </c>
      <c r="G1950" s="2">
        <v>16.75</v>
      </c>
      <c r="H1950" t="str">
        <f>"AP - STATE VISION"</f>
        <v>AP - STATE VISION</v>
      </c>
    </row>
    <row r="1951" spans="1:8" x14ac:dyDescent="0.25">
      <c r="A1951" t="s">
        <v>596</v>
      </c>
      <c r="B1951">
        <v>0</v>
      </c>
      <c r="C1951" s="3">
        <v>4887.1000000000004</v>
      </c>
      <c r="D1951" s="1">
        <v>43341</v>
      </c>
      <c r="E1951" t="str">
        <f>"201808293121"</f>
        <v>201808293121</v>
      </c>
      <c r="F1951" t="str">
        <f>"COLONIAL LIFE &amp; ACCIDENT INS."</f>
        <v>COLONIAL LIFE &amp; ACCIDENT INS.</v>
      </c>
      <c r="G1951" s="2">
        <v>-0.12</v>
      </c>
      <c r="H1951" t="str">
        <f>"COLONIAL LIFE &amp; ACCIDENT INS."</f>
        <v>COLONIAL LIFE &amp; ACCIDENT INS.</v>
      </c>
    </row>
    <row r="1952" spans="1:8" x14ac:dyDescent="0.25">
      <c r="E1952" t="str">
        <f>"CL 201808082881"</f>
        <v>CL 201808082881</v>
      </c>
      <c r="F1952" t="str">
        <f t="shared" ref="F1952:F1973" si="14">"COLONIAL"</f>
        <v>COLONIAL</v>
      </c>
      <c r="G1952" s="2">
        <v>759.01</v>
      </c>
      <c r="H1952" t="str">
        <f t="shared" ref="H1952:H1973" si="15">"COLONIAL"</f>
        <v>COLONIAL</v>
      </c>
    </row>
    <row r="1953" spans="5:8" x14ac:dyDescent="0.25">
      <c r="E1953" t="str">
        <f>"CL 201808082882"</f>
        <v>CL 201808082882</v>
      </c>
      <c r="F1953" t="str">
        <f t="shared" si="14"/>
        <v>COLONIAL</v>
      </c>
      <c r="G1953" s="2">
        <v>14.49</v>
      </c>
      <c r="H1953" t="str">
        <f t="shared" si="15"/>
        <v>COLONIAL</v>
      </c>
    </row>
    <row r="1954" spans="5:8" x14ac:dyDescent="0.25">
      <c r="E1954" t="str">
        <f>"CL 201808223027"</f>
        <v>CL 201808223027</v>
      </c>
      <c r="F1954" t="str">
        <f t="shared" si="14"/>
        <v>COLONIAL</v>
      </c>
      <c r="G1954" s="2">
        <v>759.01</v>
      </c>
      <c r="H1954" t="str">
        <f t="shared" si="15"/>
        <v>COLONIAL</v>
      </c>
    </row>
    <row r="1955" spans="5:8" x14ac:dyDescent="0.25">
      <c r="E1955" t="str">
        <f>"CL 201808223028"</f>
        <v>CL 201808223028</v>
      </c>
      <c r="F1955" t="str">
        <f t="shared" si="14"/>
        <v>COLONIAL</v>
      </c>
      <c r="G1955" s="2">
        <v>14.49</v>
      </c>
      <c r="H1955" t="str">
        <f t="shared" si="15"/>
        <v>COLONIAL</v>
      </c>
    </row>
    <row r="1956" spans="5:8" x14ac:dyDescent="0.25">
      <c r="E1956" t="str">
        <f>"CLC201808082881"</f>
        <v>CLC201808082881</v>
      </c>
      <c r="F1956" t="str">
        <f t="shared" si="14"/>
        <v>COLONIAL</v>
      </c>
      <c r="G1956" s="2">
        <v>33.99</v>
      </c>
      <c r="H1956" t="str">
        <f t="shared" si="15"/>
        <v>COLONIAL</v>
      </c>
    </row>
    <row r="1957" spans="5:8" x14ac:dyDescent="0.25">
      <c r="E1957" t="str">
        <f>"CLC201808223027"</f>
        <v>CLC201808223027</v>
      </c>
      <c r="F1957" t="str">
        <f t="shared" si="14"/>
        <v>COLONIAL</v>
      </c>
      <c r="G1957" s="2">
        <v>33.99</v>
      </c>
      <c r="H1957" t="str">
        <f t="shared" si="15"/>
        <v>COLONIAL</v>
      </c>
    </row>
    <row r="1958" spans="5:8" x14ac:dyDescent="0.25">
      <c r="E1958" t="str">
        <f>"CLI201808082881"</f>
        <v>CLI201808082881</v>
      </c>
      <c r="F1958" t="str">
        <f t="shared" si="14"/>
        <v>COLONIAL</v>
      </c>
      <c r="G1958" s="2">
        <v>617.97</v>
      </c>
      <c r="H1958" t="str">
        <f t="shared" si="15"/>
        <v>COLONIAL</v>
      </c>
    </row>
    <row r="1959" spans="5:8" x14ac:dyDescent="0.25">
      <c r="E1959" t="str">
        <f>"CLI201808082882"</f>
        <v>CLI201808082882</v>
      </c>
      <c r="F1959" t="str">
        <f t="shared" si="14"/>
        <v>COLONIAL</v>
      </c>
      <c r="G1959" s="2">
        <v>17.53</v>
      </c>
      <c r="H1959" t="str">
        <f t="shared" si="15"/>
        <v>COLONIAL</v>
      </c>
    </row>
    <row r="1960" spans="5:8" x14ac:dyDescent="0.25">
      <c r="E1960" t="str">
        <f>"CLI201808223027"</f>
        <v>CLI201808223027</v>
      </c>
      <c r="F1960" t="str">
        <f t="shared" si="14"/>
        <v>COLONIAL</v>
      </c>
      <c r="G1960" s="2">
        <v>617.97</v>
      </c>
      <c r="H1960" t="str">
        <f t="shared" si="15"/>
        <v>COLONIAL</v>
      </c>
    </row>
    <row r="1961" spans="5:8" x14ac:dyDescent="0.25">
      <c r="E1961" t="str">
        <f>"CLI201808223028"</f>
        <v>CLI201808223028</v>
      </c>
      <c r="F1961" t="str">
        <f t="shared" si="14"/>
        <v>COLONIAL</v>
      </c>
      <c r="G1961" s="2">
        <v>17.53</v>
      </c>
      <c r="H1961" t="str">
        <f t="shared" si="15"/>
        <v>COLONIAL</v>
      </c>
    </row>
    <row r="1962" spans="5:8" x14ac:dyDescent="0.25">
      <c r="E1962" t="str">
        <f>"CLK201808082881"</f>
        <v>CLK201808082881</v>
      </c>
      <c r="F1962" t="str">
        <f t="shared" si="14"/>
        <v>COLONIAL</v>
      </c>
      <c r="G1962" s="2">
        <v>27.09</v>
      </c>
      <c r="H1962" t="str">
        <f t="shared" si="15"/>
        <v>COLONIAL</v>
      </c>
    </row>
    <row r="1963" spans="5:8" x14ac:dyDescent="0.25">
      <c r="E1963" t="str">
        <f>"CLK201808223027"</f>
        <v>CLK201808223027</v>
      </c>
      <c r="F1963" t="str">
        <f t="shared" si="14"/>
        <v>COLONIAL</v>
      </c>
      <c r="G1963" s="2">
        <v>27.09</v>
      </c>
      <c r="H1963" t="str">
        <f t="shared" si="15"/>
        <v>COLONIAL</v>
      </c>
    </row>
    <row r="1964" spans="5:8" x14ac:dyDescent="0.25">
      <c r="E1964" t="str">
        <f>"CLS201808082881"</f>
        <v>CLS201808082881</v>
      </c>
      <c r="F1964" t="str">
        <f t="shared" si="14"/>
        <v>COLONIAL</v>
      </c>
      <c r="G1964" s="2">
        <v>430.38</v>
      </c>
      <c r="H1964" t="str">
        <f t="shared" si="15"/>
        <v>COLONIAL</v>
      </c>
    </row>
    <row r="1965" spans="5:8" x14ac:dyDescent="0.25">
      <c r="E1965" t="str">
        <f>"CLS201808082882"</f>
        <v>CLS201808082882</v>
      </c>
      <c r="F1965" t="str">
        <f t="shared" si="14"/>
        <v>COLONIAL</v>
      </c>
      <c r="G1965" s="2">
        <v>12.84</v>
      </c>
      <c r="H1965" t="str">
        <f t="shared" si="15"/>
        <v>COLONIAL</v>
      </c>
    </row>
    <row r="1966" spans="5:8" x14ac:dyDescent="0.25">
      <c r="E1966" t="str">
        <f>"CLS201808223027"</f>
        <v>CLS201808223027</v>
      </c>
      <c r="F1966" t="str">
        <f t="shared" si="14"/>
        <v>COLONIAL</v>
      </c>
      <c r="G1966" s="2">
        <v>430.38</v>
      </c>
      <c r="H1966" t="str">
        <f t="shared" si="15"/>
        <v>COLONIAL</v>
      </c>
    </row>
    <row r="1967" spans="5:8" x14ac:dyDescent="0.25">
      <c r="E1967" t="str">
        <f>"CLS201808223028"</f>
        <v>CLS201808223028</v>
      </c>
      <c r="F1967" t="str">
        <f t="shared" si="14"/>
        <v>COLONIAL</v>
      </c>
      <c r="G1967" s="2">
        <v>12.84</v>
      </c>
      <c r="H1967" t="str">
        <f t="shared" si="15"/>
        <v>COLONIAL</v>
      </c>
    </row>
    <row r="1968" spans="5:8" x14ac:dyDescent="0.25">
      <c r="E1968" t="str">
        <f>"CLT201808082881"</f>
        <v>CLT201808082881</v>
      </c>
      <c r="F1968" t="str">
        <f t="shared" si="14"/>
        <v>COLONIAL</v>
      </c>
      <c r="G1968" s="2">
        <v>323.23</v>
      </c>
      <c r="H1968" t="str">
        <f t="shared" si="15"/>
        <v>COLONIAL</v>
      </c>
    </row>
    <row r="1969" spans="1:8" x14ac:dyDescent="0.25">
      <c r="E1969" t="str">
        <f>"CLT201808223027"</f>
        <v>CLT201808223027</v>
      </c>
      <c r="F1969" t="str">
        <f t="shared" si="14"/>
        <v>COLONIAL</v>
      </c>
      <c r="G1969" s="2">
        <v>323.23</v>
      </c>
      <c r="H1969" t="str">
        <f t="shared" si="15"/>
        <v>COLONIAL</v>
      </c>
    </row>
    <row r="1970" spans="1:8" x14ac:dyDescent="0.25">
      <c r="E1970" t="str">
        <f>"CLU201808082881"</f>
        <v>CLU201808082881</v>
      </c>
      <c r="F1970" t="str">
        <f t="shared" si="14"/>
        <v>COLONIAL</v>
      </c>
      <c r="G1970" s="2">
        <v>149.02000000000001</v>
      </c>
      <c r="H1970" t="str">
        <f t="shared" si="15"/>
        <v>COLONIAL</v>
      </c>
    </row>
    <row r="1971" spans="1:8" x14ac:dyDescent="0.25">
      <c r="E1971" t="str">
        <f>"CLU201808223027"</f>
        <v>CLU201808223027</v>
      </c>
      <c r="F1971" t="str">
        <f t="shared" si="14"/>
        <v>COLONIAL</v>
      </c>
      <c r="G1971" s="2">
        <v>149.02000000000001</v>
      </c>
      <c r="H1971" t="str">
        <f t="shared" si="15"/>
        <v>COLONIAL</v>
      </c>
    </row>
    <row r="1972" spans="1:8" x14ac:dyDescent="0.25">
      <c r="E1972" t="str">
        <f>"CLW201808082881"</f>
        <v>CLW201808082881</v>
      </c>
      <c r="F1972" t="str">
        <f t="shared" si="14"/>
        <v>COLONIAL</v>
      </c>
      <c r="G1972" s="2">
        <v>58.06</v>
      </c>
      <c r="H1972" t="str">
        <f t="shared" si="15"/>
        <v>COLONIAL</v>
      </c>
    </row>
    <row r="1973" spans="1:8" x14ac:dyDescent="0.25">
      <c r="E1973" t="str">
        <f>"CLW201808223027"</f>
        <v>CLW201808223027</v>
      </c>
      <c r="F1973" t="str">
        <f t="shared" si="14"/>
        <v>COLONIAL</v>
      </c>
      <c r="G1973" s="2">
        <v>58.06</v>
      </c>
      <c r="H1973" t="str">
        <f t="shared" si="15"/>
        <v>COLONIAL</v>
      </c>
    </row>
    <row r="1974" spans="1:8" x14ac:dyDescent="0.25">
      <c r="A1974" t="s">
        <v>173</v>
      </c>
      <c r="B1974">
        <v>0</v>
      </c>
      <c r="C1974" s="3">
        <v>7525.79</v>
      </c>
      <c r="D1974" s="1">
        <v>43322</v>
      </c>
      <c r="E1974" t="str">
        <f>"CPI201808082881"</f>
        <v>CPI201808082881</v>
      </c>
      <c r="F1974" t="str">
        <f>"DEFERRED COMP 457B PAYABLE"</f>
        <v>DEFERRED COMP 457B PAYABLE</v>
      </c>
      <c r="G1974" s="2">
        <v>7418.29</v>
      </c>
      <c r="H1974" t="str">
        <f>"DEFERRED COMP 457B PAYABLE"</f>
        <v>DEFERRED COMP 457B PAYABLE</v>
      </c>
    </row>
    <row r="1975" spans="1:8" x14ac:dyDescent="0.25">
      <c r="E1975" t="str">
        <f>"CPI201808082882"</f>
        <v>CPI201808082882</v>
      </c>
      <c r="F1975" t="str">
        <f>"DEFERRED COMP 457B PAYABLE"</f>
        <v>DEFERRED COMP 457B PAYABLE</v>
      </c>
      <c r="G1975" s="2">
        <v>107.5</v>
      </c>
      <c r="H1975" t="str">
        <f>"DEFERRED COMP 457B PAYABLE"</f>
        <v>DEFERRED COMP 457B PAYABLE</v>
      </c>
    </row>
    <row r="1976" spans="1:8" x14ac:dyDescent="0.25">
      <c r="A1976" t="s">
        <v>173</v>
      </c>
      <c r="B1976">
        <v>0</v>
      </c>
      <c r="C1976" s="3">
        <v>7474.06</v>
      </c>
      <c r="D1976" s="1">
        <v>43336</v>
      </c>
      <c r="E1976" t="str">
        <f>"CPI201808223027"</f>
        <v>CPI201808223027</v>
      </c>
      <c r="F1976" t="str">
        <f>"DEFERRED COMP 457B PAYABLE"</f>
        <v>DEFERRED COMP 457B PAYABLE</v>
      </c>
      <c r="G1976" s="2">
        <v>7366.56</v>
      </c>
      <c r="H1976" t="str">
        <f>"DEFERRED COMP 457B PAYABLE"</f>
        <v>DEFERRED COMP 457B PAYABLE</v>
      </c>
    </row>
    <row r="1977" spans="1:8" x14ac:dyDescent="0.25">
      <c r="E1977" t="str">
        <f>"CPI201808223028"</f>
        <v>CPI201808223028</v>
      </c>
      <c r="F1977" t="str">
        <f>"DEFERRED COMP 457B PAYABLE"</f>
        <v>DEFERRED COMP 457B PAYABLE</v>
      </c>
      <c r="G1977" s="2">
        <v>107.5</v>
      </c>
      <c r="H1977" t="str">
        <f>"DEFERRED COMP 457B PAYABLE"</f>
        <v>DEFERRED COMP 457B PAYABLE</v>
      </c>
    </row>
    <row r="1978" spans="1:8" x14ac:dyDescent="0.25">
      <c r="A1978" t="s">
        <v>597</v>
      </c>
      <c r="B1978">
        <v>46540</v>
      </c>
      <c r="C1978" s="3">
        <v>1368.7</v>
      </c>
      <c r="D1978" s="1">
        <v>43322</v>
      </c>
      <c r="E1978" t="str">
        <f>"B13201808082881"</f>
        <v>B13201808082881</v>
      </c>
      <c r="F1978" t="str">
        <f>"Rosa Warren 15-10357-TMD"</f>
        <v>Rosa Warren 15-10357-TMD</v>
      </c>
      <c r="G1978" s="2">
        <v>853.85</v>
      </c>
      <c r="H1978" t="str">
        <f>"Rosa Warren 15-10357-TMD"</f>
        <v>Rosa Warren 15-10357-TMD</v>
      </c>
    </row>
    <row r="1979" spans="1:8" x14ac:dyDescent="0.25">
      <c r="E1979" t="str">
        <f>"BJL201808082881"</f>
        <v>BJL201808082881</v>
      </c>
      <c r="F1979" t="str">
        <f>"Julian Luna 14-10230-TMD"</f>
        <v>Julian Luna 14-10230-TMD</v>
      </c>
      <c r="G1979" s="2">
        <v>514.85</v>
      </c>
      <c r="H1979" t="str">
        <f>"Julian Luna 14-10230-TMD"</f>
        <v>Julian Luna 14-10230-TMD</v>
      </c>
    </row>
    <row r="1980" spans="1:8" x14ac:dyDescent="0.25">
      <c r="A1980" t="s">
        <v>597</v>
      </c>
      <c r="B1980">
        <v>46567</v>
      </c>
      <c r="C1980" s="3">
        <v>1368.7</v>
      </c>
      <c r="D1980" s="1">
        <v>43336</v>
      </c>
      <c r="E1980" t="str">
        <f>"B13201808223027"</f>
        <v>B13201808223027</v>
      </c>
      <c r="F1980" t="str">
        <f>"Rosa Warren 15-10357-TMD"</f>
        <v>Rosa Warren 15-10357-TMD</v>
      </c>
      <c r="G1980" s="2">
        <v>853.85</v>
      </c>
      <c r="H1980" t="str">
        <f>"Rosa Warren 15-10357-TMD"</f>
        <v>Rosa Warren 15-10357-TMD</v>
      </c>
    </row>
    <row r="1981" spans="1:8" x14ac:dyDescent="0.25">
      <c r="E1981" t="str">
        <f>"BJL201808223027"</f>
        <v>BJL201808223027</v>
      </c>
      <c r="F1981" t="str">
        <f>"Julian Luna 14-10230-TMD"</f>
        <v>Julian Luna 14-10230-TMD</v>
      </c>
      <c r="G1981" s="2">
        <v>514.85</v>
      </c>
      <c r="H1981" t="str">
        <f>"Julian Luna 14-10230-TMD"</f>
        <v>Julian Luna 14-10230-TMD</v>
      </c>
    </row>
    <row r="1982" spans="1:8" x14ac:dyDescent="0.25">
      <c r="A1982" t="s">
        <v>598</v>
      </c>
      <c r="B1982">
        <v>0</v>
      </c>
      <c r="C1982" s="3">
        <v>37999.07</v>
      </c>
      <c r="D1982" s="1">
        <v>43341</v>
      </c>
      <c r="E1982" t="str">
        <f>"201808293111"</f>
        <v>201808293111</v>
      </c>
      <c r="F1982" t="str">
        <f>"August Rounding"</f>
        <v>August Rounding</v>
      </c>
      <c r="G1982" s="2">
        <v>-6.01</v>
      </c>
      <c r="H1982" t="str">
        <f>"August Rounding"</f>
        <v>August Rounding</v>
      </c>
    </row>
    <row r="1983" spans="1:8" x14ac:dyDescent="0.25">
      <c r="E1983" t="str">
        <f>"201808293113"</f>
        <v>201808293113</v>
      </c>
      <c r="F1983" t="str">
        <f>"GUARDIAN Life Rounding"</f>
        <v>GUARDIAN Life Rounding</v>
      </c>
      <c r="G1983" s="2">
        <v>-0.39</v>
      </c>
      <c r="H1983" t="str">
        <f>"GUARDIAN Life Rounding"</f>
        <v>GUARDIAN Life Rounding</v>
      </c>
    </row>
    <row r="1984" spans="1:8" x14ac:dyDescent="0.25">
      <c r="E1984" t="str">
        <f>"201808293114"</f>
        <v>201808293114</v>
      </c>
      <c r="F1984" t="str">
        <f>"GUARDIAN LTD rounding"</f>
        <v>GUARDIAN LTD rounding</v>
      </c>
      <c r="G1984" s="2">
        <v>-0.09</v>
      </c>
      <c r="H1984" t="str">
        <f>"GUARDIAN LTD rounding"</f>
        <v>GUARDIAN LTD rounding</v>
      </c>
    </row>
    <row r="1985" spans="5:8" x14ac:dyDescent="0.25">
      <c r="E1985" t="str">
        <f>"201808293110"</f>
        <v>201808293110</v>
      </c>
      <c r="F1985" t="str">
        <f>"August 2018 Retiree Dental/Vis"</f>
        <v>August 2018 Retiree Dental/Vis</v>
      </c>
      <c r="G1985" s="2">
        <v>3039.05</v>
      </c>
      <c r="H1985" t="str">
        <f>"August 2018 Retiree Dental/Vis"</f>
        <v>August 2018 Retiree Dental/Vis</v>
      </c>
    </row>
    <row r="1986" spans="5:8" x14ac:dyDescent="0.25">
      <c r="E1986" t="str">
        <f>"201808293112"</f>
        <v>201808293112</v>
      </c>
      <c r="F1986" t="str">
        <f>"August Retiree Life Coverage"</f>
        <v>August Retiree Life Coverage</v>
      </c>
      <c r="G1986" s="2">
        <v>135.36000000000001</v>
      </c>
      <c r="H1986" t="str">
        <f>"August Retiree Life Coverage"</f>
        <v>August Retiree Life Coverage</v>
      </c>
    </row>
    <row r="1987" spans="5:8" x14ac:dyDescent="0.25">
      <c r="E1987" t="str">
        <f>"ADC201808082881"</f>
        <v>ADC201808082881</v>
      </c>
      <c r="F1987" t="str">
        <f t="shared" ref="F1987:F1999" si="16">"GUARDIAN"</f>
        <v>GUARDIAN</v>
      </c>
      <c r="G1987" s="2">
        <v>4.84</v>
      </c>
      <c r="H1987" t="str">
        <f t="shared" ref="H1987:H2050" si="17">"GUARDIAN"</f>
        <v>GUARDIAN</v>
      </c>
    </row>
    <row r="1988" spans="5:8" x14ac:dyDescent="0.25">
      <c r="E1988" t="str">
        <f>"ADC201808082882"</f>
        <v>ADC201808082882</v>
      </c>
      <c r="F1988" t="str">
        <f t="shared" si="16"/>
        <v>GUARDIAN</v>
      </c>
      <c r="G1988" s="2">
        <v>0.16</v>
      </c>
      <c r="H1988" t="str">
        <f t="shared" si="17"/>
        <v>GUARDIAN</v>
      </c>
    </row>
    <row r="1989" spans="5:8" x14ac:dyDescent="0.25">
      <c r="E1989" t="str">
        <f>"ADC201808223027"</f>
        <v>ADC201808223027</v>
      </c>
      <c r="F1989" t="str">
        <f t="shared" si="16"/>
        <v>GUARDIAN</v>
      </c>
      <c r="G1989" s="2">
        <v>4.84</v>
      </c>
      <c r="H1989" t="str">
        <f t="shared" si="17"/>
        <v>GUARDIAN</v>
      </c>
    </row>
    <row r="1990" spans="5:8" x14ac:dyDescent="0.25">
      <c r="E1990" t="str">
        <f>"ADC201808223028"</f>
        <v>ADC201808223028</v>
      </c>
      <c r="F1990" t="str">
        <f t="shared" si="16"/>
        <v>GUARDIAN</v>
      </c>
      <c r="G1990" s="2">
        <v>0.16</v>
      </c>
      <c r="H1990" t="str">
        <f t="shared" si="17"/>
        <v>GUARDIAN</v>
      </c>
    </row>
    <row r="1991" spans="5:8" x14ac:dyDescent="0.25">
      <c r="E1991" t="str">
        <f>"ADE201808082881"</f>
        <v>ADE201808082881</v>
      </c>
      <c r="F1991" t="str">
        <f t="shared" si="16"/>
        <v>GUARDIAN</v>
      </c>
      <c r="G1991" s="2">
        <v>201.39</v>
      </c>
      <c r="H1991" t="str">
        <f t="shared" si="17"/>
        <v>GUARDIAN</v>
      </c>
    </row>
    <row r="1992" spans="5:8" x14ac:dyDescent="0.25">
      <c r="E1992" t="str">
        <f>"ADE201808082882"</f>
        <v>ADE201808082882</v>
      </c>
      <c r="F1992" t="str">
        <f t="shared" si="16"/>
        <v>GUARDIAN</v>
      </c>
      <c r="G1992" s="2">
        <v>7.8</v>
      </c>
      <c r="H1992" t="str">
        <f t="shared" si="17"/>
        <v>GUARDIAN</v>
      </c>
    </row>
    <row r="1993" spans="5:8" x14ac:dyDescent="0.25">
      <c r="E1993" t="str">
        <f>"ADE201808223027"</f>
        <v>ADE201808223027</v>
      </c>
      <c r="F1993" t="str">
        <f t="shared" si="16"/>
        <v>GUARDIAN</v>
      </c>
      <c r="G1993" s="2">
        <v>199.89</v>
      </c>
      <c r="H1993" t="str">
        <f t="shared" si="17"/>
        <v>GUARDIAN</v>
      </c>
    </row>
    <row r="1994" spans="5:8" x14ac:dyDescent="0.25">
      <c r="E1994" t="str">
        <f>"ADE201808223028"</f>
        <v>ADE201808223028</v>
      </c>
      <c r="F1994" t="str">
        <f t="shared" si="16"/>
        <v>GUARDIAN</v>
      </c>
      <c r="G1994" s="2">
        <v>7.8</v>
      </c>
      <c r="H1994" t="str">
        <f t="shared" si="17"/>
        <v>GUARDIAN</v>
      </c>
    </row>
    <row r="1995" spans="5:8" x14ac:dyDescent="0.25">
      <c r="E1995" t="str">
        <f>"ADS201808082881"</f>
        <v>ADS201808082881</v>
      </c>
      <c r="F1995" t="str">
        <f t="shared" si="16"/>
        <v>GUARDIAN</v>
      </c>
      <c r="G1995" s="2">
        <v>32.380000000000003</v>
      </c>
      <c r="H1995" t="str">
        <f t="shared" si="17"/>
        <v>GUARDIAN</v>
      </c>
    </row>
    <row r="1996" spans="5:8" x14ac:dyDescent="0.25">
      <c r="E1996" t="str">
        <f>"ADS201808082882"</f>
        <v>ADS201808082882</v>
      </c>
      <c r="F1996" t="str">
        <f t="shared" si="16"/>
        <v>GUARDIAN</v>
      </c>
      <c r="G1996" s="2">
        <v>0.98</v>
      </c>
      <c r="H1996" t="str">
        <f t="shared" si="17"/>
        <v>GUARDIAN</v>
      </c>
    </row>
    <row r="1997" spans="5:8" x14ac:dyDescent="0.25">
      <c r="E1997" t="str">
        <f>"ADS201808223027"</f>
        <v>ADS201808223027</v>
      </c>
      <c r="F1997" t="str">
        <f t="shared" si="16"/>
        <v>GUARDIAN</v>
      </c>
      <c r="G1997" s="2">
        <v>31.62</v>
      </c>
      <c r="H1997" t="str">
        <f t="shared" si="17"/>
        <v>GUARDIAN</v>
      </c>
    </row>
    <row r="1998" spans="5:8" x14ac:dyDescent="0.25">
      <c r="E1998" t="str">
        <f>"ADS201808223028"</f>
        <v>ADS201808223028</v>
      </c>
      <c r="F1998" t="str">
        <f t="shared" si="16"/>
        <v>GUARDIAN</v>
      </c>
      <c r="G1998" s="2">
        <v>0.98</v>
      </c>
      <c r="H1998" t="str">
        <f t="shared" si="17"/>
        <v>GUARDIAN</v>
      </c>
    </row>
    <row r="1999" spans="5:8" x14ac:dyDescent="0.25">
      <c r="E1999" t="str">
        <f>"GDC201808082881"</f>
        <v>GDC201808082881</v>
      </c>
      <c r="F1999" t="str">
        <f t="shared" si="16"/>
        <v>GUARDIAN</v>
      </c>
      <c r="G1999" s="2">
        <v>2612</v>
      </c>
      <c r="H1999" t="str">
        <f t="shared" si="17"/>
        <v>GUARDIAN</v>
      </c>
    </row>
    <row r="2000" spans="5:8" x14ac:dyDescent="0.25">
      <c r="E2000" t="str">
        <f>""</f>
        <v/>
      </c>
      <c r="F2000" t="str">
        <f>""</f>
        <v/>
      </c>
      <c r="H2000" t="str">
        <f t="shared" si="17"/>
        <v>GUARDIAN</v>
      </c>
    </row>
    <row r="2001" spans="5:8" x14ac:dyDescent="0.25">
      <c r="E2001" t="str">
        <f>""</f>
        <v/>
      </c>
      <c r="F2001" t="str">
        <f>""</f>
        <v/>
      </c>
      <c r="H2001" t="str">
        <f t="shared" si="17"/>
        <v>GUARDIAN</v>
      </c>
    </row>
    <row r="2002" spans="5:8" x14ac:dyDescent="0.25">
      <c r="E2002" t="str">
        <f>""</f>
        <v/>
      </c>
      <c r="F2002" t="str">
        <f>""</f>
        <v/>
      </c>
      <c r="H2002" t="str">
        <f t="shared" si="17"/>
        <v>GUARDIAN</v>
      </c>
    </row>
    <row r="2003" spans="5:8" x14ac:dyDescent="0.25">
      <c r="E2003" t="str">
        <f>""</f>
        <v/>
      </c>
      <c r="F2003" t="str">
        <f>""</f>
        <v/>
      </c>
      <c r="H2003" t="str">
        <f t="shared" si="17"/>
        <v>GUARDIAN</v>
      </c>
    </row>
    <row r="2004" spans="5:8" x14ac:dyDescent="0.25">
      <c r="E2004" t="str">
        <f>""</f>
        <v/>
      </c>
      <c r="F2004" t="str">
        <f>""</f>
        <v/>
      </c>
      <c r="H2004" t="str">
        <f t="shared" si="17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17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17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si="17"/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17"/>
        <v>GUARDIAN</v>
      </c>
    </row>
    <row r="2009" spans="5:8" x14ac:dyDescent="0.25">
      <c r="E2009" t="str">
        <f>""</f>
        <v/>
      </c>
      <c r="F2009" t="str">
        <f>""</f>
        <v/>
      </c>
      <c r="H2009" t="str">
        <f t="shared" si="17"/>
        <v>GUARDIAN</v>
      </c>
    </row>
    <row r="2010" spans="5:8" x14ac:dyDescent="0.25">
      <c r="E2010" t="str">
        <f>""</f>
        <v/>
      </c>
      <c r="F2010" t="str">
        <f>""</f>
        <v/>
      </c>
      <c r="H2010" t="str">
        <f t="shared" si="17"/>
        <v>GUARDIAN</v>
      </c>
    </row>
    <row r="2011" spans="5:8" x14ac:dyDescent="0.25">
      <c r="E2011" t="str">
        <f>""</f>
        <v/>
      </c>
      <c r="F2011" t="str">
        <f>""</f>
        <v/>
      </c>
      <c r="H2011" t="str">
        <f t="shared" si="17"/>
        <v>GUARDIAN</v>
      </c>
    </row>
    <row r="2012" spans="5:8" x14ac:dyDescent="0.25">
      <c r="E2012" t="str">
        <f>""</f>
        <v/>
      </c>
      <c r="F2012" t="str">
        <f>""</f>
        <v/>
      </c>
      <c r="H2012" t="str">
        <f t="shared" si="17"/>
        <v>GUARDIAN</v>
      </c>
    </row>
    <row r="2013" spans="5:8" x14ac:dyDescent="0.25">
      <c r="E2013" t="str">
        <f>""</f>
        <v/>
      </c>
      <c r="F2013" t="str">
        <f>""</f>
        <v/>
      </c>
      <c r="H2013" t="str">
        <f t="shared" si="17"/>
        <v>GUARDIAN</v>
      </c>
    </row>
    <row r="2014" spans="5:8" x14ac:dyDescent="0.25">
      <c r="E2014" t="str">
        <f>""</f>
        <v/>
      </c>
      <c r="F2014" t="str">
        <f>""</f>
        <v/>
      </c>
      <c r="H2014" t="str">
        <f t="shared" si="17"/>
        <v>GUARDIAN</v>
      </c>
    </row>
    <row r="2015" spans="5:8" x14ac:dyDescent="0.25">
      <c r="E2015" t="str">
        <f>""</f>
        <v/>
      </c>
      <c r="F2015" t="str">
        <f>""</f>
        <v/>
      </c>
      <c r="H2015" t="str">
        <f t="shared" si="17"/>
        <v>GUARDIAN</v>
      </c>
    </row>
    <row r="2016" spans="5:8" x14ac:dyDescent="0.25">
      <c r="E2016" t="str">
        <f>""</f>
        <v/>
      </c>
      <c r="F2016" t="str">
        <f>""</f>
        <v/>
      </c>
      <c r="H2016" t="str">
        <f t="shared" si="17"/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17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17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17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17"/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17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17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17"/>
        <v>GUARDIAN</v>
      </c>
    </row>
    <row r="2024" spans="5:8" x14ac:dyDescent="0.25">
      <c r="E2024" t="str">
        <f>""</f>
        <v/>
      </c>
      <c r="F2024" t="str">
        <f>""</f>
        <v/>
      </c>
      <c r="H2024" t="str">
        <f t="shared" si="17"/>
        <v>GUARDIAN</v>
      </c>
    </row>
    <row r="2025" spans="5:8" x14ac:dyDescent="0.25">
      <c r="E2025" t="str">
        <f>""</f>
        <v/>
      </c>
      <c r="F2025" t="str">
        <f>""</f>
        <v/>
      </c>
      <c r="H2025" t="str">
        <f t="shared" si="17"/>
        <v>GUARDIAN</v>
      </c>
    </row>
    <row r="2026" spans="5:8" x14ac:dyDescent="0.25">
      <c r="E2026" t="str">
        <f>""</f>
        <v/>
      </c>
      <c r="F2026" t="str">
        <f>""</f>
        <v/>
      </c>
      <c r="H2026" t="str">
        <f t="shared" si="17"/>
        <v>GUARDIAN</v>
      </c>
    </row>
    <row r="2027" spans="5:8" x14ac:dyDescent="0.25">
      <c r="E2027" t="str">
        <f>""</f>
        <v/>
      </c>
      <c r="F2027" t="str">
        <f>""</f>
        <v/>
      </c>
      <c r="H2027" t="str">
        <f t="shared" si="17"/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17"/>
        <v>GUARDIAN</v>
      </c>
    </row>
    <row r="2029" spans="5:8" x14ac:dyDescent="0.25">
      <c r="E2029" t="str">
        <f>"GDC201808082882"</f>
        <v>GDC201808082882</v>
      </c>
      <c r="F2029" t="str">
        <f>"GUARDIAN"</f>
        <v>GUARDIAN</v>
      </c>
      <c r="G2029" s="2">
        <v>97.95</v>
      </c>
      <c r="H2029" t="str">
        <f t="shared" si="17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17"/>
        <v>GUARDIAN</v>
      </c>
    </row>
    <row r="2031" spans="5:8" x14ac:dyDescent="0.25">
      <c r="E2031" t="str">
        <f>"GDC201808223027"</f>
        <v>GDC201808223027</v>
      </c>
      <c r="F2031" t="str">
        <f>"GUARDIAN"</f>
        <v>GUARDIAN</v>
      </c>
      <c r="G2031" s="2">
        <v>2662.51</v>
      </c>
      <c r="H2031" t="str">
        <f t="shared" si="17"/>
        <v>GUARDIAN</v>
      </c>
    </row>
    <row r="2032" spans="5:8" x14ac:dyDescent="0.25">
      <c r="E2032" t="str">
        <f>""</f>
        <v/>
      </c>
      <c r="F2032" t="str">
        <f>""</f>
        <v/>
      </c>
      <c r="H2032" t="str">
        <f t="shared" si="17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17"/>
        <v>GUARDIAN</v>
      </c>
    </row>
    <row r="2034" spans="5:8" x14ac:dyDescent="0.25">
      <c r="E2034" t="str">
        <f>""</f>
        <v/>
      </c>
      <c r="F2034" t="str">
        <f>""</f>
        <v/>
      </c>
      <c r="H2034" t="str">
        <f t="shared" si="17"/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17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17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17"/>
        <v>GUARDIAN</v>
      </c>
    </row>
    <row r="2038" spans="5:8" x14ac:dyDescent="0.25">
      <c r="E2038" t="str">
        <f>""</f>
        <v/>
      </c>
      <c r="F2038" t="str">
        <f>""</f>
        <v/>
      </c>
      <c r="H2038" t="str">
        <f t="shared" si="17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si="17"/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17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si="17"/>
        <v>GUARDIAN</v>
      </c>
    </row>
    <row r="2042" spans="5:8" x14ac:dyDescent="0.25">
      <c r="E2042" t="str">
        <f>""</f>
        <v/>
      </c>
      <c r="F2042" t="str">
        <f>""</f>
        <v/>
      </c>
      <c r="H2042" t="str">
        <f t="shared" si="17"/>
        <v>GUARDIAN</v>
      </c>
    </row>
    <row r="2043" spans="5:8" x14ac:dyDescent="0.25">
      <c r="E2043" t="str">
        <f>""</f>
        <v/>
      </c>
      <c r="F2043" t="str">
        <f>""</f>
        <v/>
      </c>
      <c r="H2043" t="str">
        <f t="shared" si="17"/>
        <v>GUARDIAN</v>
      </c>
    </row>
    <row r="2044" spans="5:8" x14ac:dyDescent="0.25">
      <c r="E2044" t="str">
        <f>""</f>
        <v/>
      </c>
      <c r="F2044" t="str">
        <f>""</f>
        <v/>
      </c>
      <c r="H2044" t="str">
        <f t="shared" si="17"/>
        <v>GUARDIAN</v>
      </c>
    </row>
    <row r="2045" spans="5:8" x14ac:dyDescent="0.25">
      <c r="E2045" t="str">
        <f>""</f>
        <v/>
      </c>
      <c r="F2045" t="str">
        <f>""</f>
        <v/>
      </c>
      <c r="H2045" t="str">
        <f t="shared" si="17"/>
        <v>GUARDIAN</v>
      </c>
    </row>
    <row r="2046" spans="5:8" x14ac:dyDescent="0.25">
      <c r="E2046" t="str">
        <f>""</f>
        <v/>
      </c>
      <c r="F2046" t="str">
        <f>""</f>
        <v/>
      </c>
      <c r="H2046" t="str">
        <f t="shared" si="17"/>
        <v>GUARDIAN</v>
      </c>
    </row>
    <row r="2047" spans="5:8" x14ac:dyDescent="0.25">
      <c r="E2047" t="str">
        <f>""</f>
        <v/>
      </c>
      <c r="F2047" t="str">
        <f>""</f>
        <v/>
      </c>
      <c r="H2047" t="str">
        <f t="shared" si="17"/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si="17"/>
        <v>GUARDIAN</v>
      </c>
    </row>
    <row r="2049" spans="5:8" x14ac:dyDescent="0.25">
      <c r="E2049" t="str">
        <f>""</f>
        <v/>
      </c>
      <c r="F2049" t="str">
        <f>""</f>
        <v/>
      </c>
      <c r="H2049" t="str">
        <f t="shared" si="17"/>
        <v>GUARDIAN</v>
      </c>
    </row>
    <row r="2050" spans="5:8" x14ac:dyDescent="0.25">
      <c r="E2050" t="str">
        <f>""</f>
        <v/>
      </c>
      <c r="F2050" t="str">
        <f>""</f>
        <v/>
      </c>
      <c r="H2050" t="str">
        <f t="shared" si="17"/>
        <v>GUARDIAN</v>
      </c>
    </row>
    <row r="2051" spans="5:8" x14ac:dyDescent="0.25">
      <c r="E2051" t="str">
        <f>""</f>
        <v/>
      </c>
      <c r="F2051" t="str">
        <f>""</f>
        <v/>
      </c>
      <c r="H2051" t="str">
        <f t="shared" ref="H2051:H2114" si="18">"GUARDIAN"</f>
        <v>GUARDIAN</v>
      </c>
    </row>
    <row r="2052" spans="5:8" x14ac:dyDescent="0.25">
      <c r="E2052" t="str">
        <f>""</f>
        <v/>
      </c>
      <c r="F2052" t="str">
        <f>""</f>
        <v/>
      </c>
      <c r="H2052" t="str">
        <f t="shared" si="18"/>
        <v>GUARDIAN</v>
      </c>
    </row>
    <row r="2053" spans="5:8" x14ac:dyDescent="0.25">
      <c r="E2053" t="str">
        <f>""</f>
        <v/>
      </c>
      <c r="F2053" t="str">
        <f>""</f>
        <v/>
      </c>
      <c r="H2053" t="str">
        <f t="shared" si="18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18"/>
        <v>GUARDIAN</v>
      </c>
    </row>
    <row r="2055" spans="5:8" x14ac:dyDescent="0.25">
      <c r="E2055" t="str">
        <f>""</f>
        <v/>
      </c>
      <c r="F2055" t="str">
        <f>""</f>
        <v/>
      </c>
      <c r="H2055" t="str">
        <f t="shared" si="18"/>
        <v>GUARDIAN</v>
      </c>
    </row>
    <row r="2056" spans="5:8" x14ac:dyDescent="0.25">
      <c r="E2056" t="str">
        <f>""</f>
        <v/>
      </c>
      <c r="F2056" t="str">
        <f>""</f>
        <v/>
      </c>
      <c r="H2056" t="str">
        <f t="shared" si="18"/>
        <v>GUARDIAN</v>
      </c>
    </row>
    <row r="2057" spans="5:8" x14ac:dyDescent="0.25">
      <c r="E2057" t="str">
        <f>""</f>
        <v/>
      </c>
      <c r="F2057" t="str">
        <f>""</f>
        <v/>
      </c>
      <c r="H2057" t="str">
        <f t="shared" si="18"/>
        <v>GUARDIAN</v>
      </c>
    </row>
    <row r="2058" spans="5:8" x14ac:dyDescent="0.25">
      <c r="E2058" t="str">
        <f>""</f>
        <v/>
      </c>
      <c r="F2058" t="str">
        <f>""</f>
        <v/>
      </c>
      <c r="H2058" t="str">
        <f t="shared" si="18"/>
        <v>GUARDIAN</v>
      </c>
    </row>
    <row r="2059" spans="5:8" x14ac:dyDescent="0.25">
      <c r="E2059" t="str">
        <f>""</f>
        <v/>
      </c>
      <c r="F2059" t="str">
        <f>""</f>
        <v/>
      </c>
      <c r="H2059" t="str">
        <f t="shared" si="18"/>
        <v>GUARDIAN</v>
      </c>
    </row>
    <row r="2060" spans="5:8" x14ac:dyDescent="0.25">
      <c r="E2060" t="str">
        <f>""</f>
        <v/>
      </c>
      <c r="F2060" t="str">
        <f>""</f>
        <v/>
      </c>
      <c r="H2060" t="str">
        <f t="shared" si="18"/>
        <v>GUARDIAN</v>
      </c>
    </row>
    <row r="2061" spans="5:8" x14ac:dyDescent="0.25">
      <c r="E2061" t="str">
        <f>"GDC201808223028"</f>
        <v>GDC201808223028</v>
      </c>
      <c r="F2061" t="str">
        <f>"GUARDIAN"</f>
        <v>GUARDIAN</v>
      </c>
      <c r="G2061" s="2">
        <v>97.95</v>
      </c>
      <c r="H2061" t="str">
        <f t="shared" si="18"/>
        <v>GUARDIAN</v>
      </c>
    </row>
    <row r="2062" spans="5:8" x14ac:dyDescent="0.25">
      <c r="E2062" t="str">
        <f>""</f>
        <v/>
      </c>
      <c r="F2062" t="str">
        <f>""</f>
        <v/>
      </c>
      <c r="H2062" t="str">
        <f t="shared" si="18"/>
        <v>GUARDIAN</v>
      </c>
    </row>
    <row r="2063" spans="5:8" x14ac:dyDescent="0.25">
      <c r="E2063" t="str">
        <f>"GDE201808082881"</f>
        <v>GDE201808082881</v>
      </c>
      <c r="F2063" t="str">
        <f>"GUARDIAN"</f>
        <v>GUARDIAN</v>
      </c>
      <c r="G2063" s="2">
        <v>3951.6</v>
      </c>
      <c r="H2063" t="str">
        <f t="shared" si="18"/>
        <v>GUARDIAN</v>
      </c>
    </row>
    <row r="2064" spans="5:8" x14ac:dyDescent="0.25">
      <c r="E2064" t="str">
        <f>""</f>
        <v/>
      </c>
      <c r="F2064" t="str">
        <f>""</f>
        <v/>
      </c>
      <c r="H2064" t="str">
        <f t="shared" si="18"/>
        <v>GUARDIAN</v>
      </c>
    </row>
    <row r="2065" spans="5:8" x14ac:dyDescent="0.25">
      <c r="E2065" t="str">
        <f>""</f>
        <v/>
      </c>
      <c r="F2065" t="str">
        <f>""</f>
        <v/>
      </c>
      <c r="H2065" t="str">
        <f t="shared" si="18"/>
        <v>GUARDIAN</v>
      </c>
    </row>
    <row r="2066" spans="5:8" x14ac:dyDescent="0.25">
      <c r="E2066" t="str">
        <f>""</f>
        <v/>
      </c>
      <c r="F2066" t="str">
        <f>""</f>
        <v/>
      </c>
      <c r="H2066" t="str">
        <f t="shared" si="18"/>
        <v>GUARDIAN</v>
      </c>
    </row>
    <row r="2067" spans="5:8" x14ac:dyDescent="0.25">
      <c r="E2067" t="str">
        <f>""</f>
        <v/>
      </c>
      <c r="F2067" t="str">
        <f>""</f>
        <v/>
      </c>
      <c r="H2067" t="str">
        <f t="shared" si="18"/>
        <v>GUARDIAN</v>
      </c>
    </row>
    <row r="2068" spans="5:8" x14ac:dyDescent="0.25">
      <c r="E2068" t="str">
        <f>""</f>
        <v/>
      </c>
      <c r="F2068" t="str">
        <f>""</f>
        <v/>
      </c>
      <c r="H2068" t="str">
        <f t="shared" si="18"/>
        <v>GUARDIAN</v>
      </c>
    </row>
    <row r="2069" spans="5:8" x14ac:dyDescent="0.25">
      <c r="E2069" t="str">
        <f>""</f>
        <v/>
      </c>
      <c r="F2069" t="str">
        <f>""</f>
        <v/>
      </c>
      <c r="H2069" t="str">
        <f t="shared" si="18"/>
        <v>GUARDIAN</v>
      </c>
    </row>
    <row r="2070" spans="5:8" x14ac:dyDescent="0.25">
      <c r="E2070" t="str">
        <f>""</f>
        <v/>
      </c>
      <c r="F2070" t="str">
        <f>""</f>
        <v/>
      </c>
      <c r="H2070" t="str">
        <f t="shared" si="18"/>
        <v>GUARDIAN</v>
      </c>
    </row>
    <row r="2071" spans="5:8" x14ac:dyDescent="0.25">
      <c r="E2071" t="str">
        <f>""</f>
        <v/>
      </c>
      <c r="F2071" t="str">
        <f>""</f>
        <v/>
      </c>
      <c r="H2071" t="str">
        <f t="shared" si="18"/>
        <v>GUARDIAN</v>
      </c>
    </row>
    <row r="2072" spans="5:8" x14ac:dyDescent="0.25">
      <c r="E2072" t="str">
        <f>""</f>
        <v/>
      </c>
      <c r="F2072" t="str">
        <f>""</f>
        <v/>
      </c>
      <c r="H2072" t="str">
        <f t="shared" si="18"/>
        <v>GUARDIAN</v>
      </c>
    </row>
    <row r="2073" spans="5:8" x14ac:dyDescent="0.25">
      <c r="E2073" t="str">
        <f>""</f>
        <v/>
      </c>
      <c r="F2073" t="str">
        <f>""</f>
        <v/>
      </c>
      <c r="H2073" t="str">
        <f t="shared" si="18"/>
        <v>GUARDIAN</v>
      </c>
    </row>
    <row r="2074" spans="5:8" x14ac:dyDescent="0.25">
      <c r="E2074" t="str">
        <f>""</f>
        <v/>
      </c>
      <c r="F2074" t="str">
        <f>""</f>
        <v/>
      </c>
      <c r="H2074" t="str">
        <f t="shared" si="18"/>
        <v>GUARDIAN</v>
      </c>
    </row>
    <row r="2075" spans="5:8" x14ac:dyDescent="0.25">
      <c r="E2075" t="str">
        <f>""</f>
        <v/>
      </c>
      <c r="F2075" t="str">
        <f>""</f>
        <v/>
      </c>
      <c r="H2075" t="str">
        <f t="shared" si="18"/>
        <v>GUARDIAN</v>
      </c>
    </row>
    <row r="2076" spans="5:8" x14ac:dyDescent="0.25">
      <c r="E2076" t="str">
        <f>""</f>
        <v/>
      </c>
      <c r="F2076" t="str">
        <f>""</f>
        <v/>
      </c>
      <c r="H2076" t="str">
        <f t="shared" si="18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18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18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si="18"/>
        <v>GUARDIAN</v>
      </c>
    </row>
    <row r="2080" spans="5:8" x14ac:dyDescent="0.25">
      <c r="E2080" t="str">
        <f>""</f>
        <v/>
      </c>
      <c r="F2080" t="str">
        <f>""</f>
        <v/>
      </c>
      <c r="H2080" t="str">
        <f t="shared" si="18"/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18"/>
        <v>GUARDIAN</v>
      </c>
    </row>
    <row r="2082" spans="5:8" x14ac:dyDescent="0.25">
      <c r="E2082" t="str">
        <f>""</f>
        <v/>
      </c>
      <c r="F2082" t="str">
        <f>""</f>
        <v/>
      </c>
      <c r="H2082" t="str">
        <f t="shared" si="18"/>
        <v>GUARDIAN</v>
      </c>
    </row>
    <row r="2083" spans="5:8" x14ac:dyDescent="0.25">
      <c r="E2083" t="str">
        <f>""</f>
        <v/>
      </c>
      <c r="F2083" t="str">
        <f>""</f>
        <v/>
      </c>
      <c r="H2083" t="str">
        <f t="shared" si="18"/>
        <v>GUARDIAN</v>
      </c>
    </row>
    <row r="2084" spans="5:8" x14ac:dyDescent="0.25">
      <c r="E2084" t="str">
        <f>""</f>
        <v/>
      </c>
      <c r="F2084" t="str">
        <f>""</f>
        <v/>
      </c>
      <c r="H2084" t="str">
        <f t="shared" si="18"/>
        <v>GUARDIAN</v>
      </c>
    </row>
    <row r="2085" spans="5:8" x14ac:dyDescent="0.25">
      <c r="E2085" t="str">
        <f>""</f>
        <v/>
      </c>
      <c r="F2085" t="str">
        <f>""</f>
        <v/>
      </c>
      <c r="H2085" t="str">
        <f t="shared" si="18"/>
        <v>GUARDIAN</v>
      </c>
    </row>
    <row r="2086" spans="5:8" x14ac:dyDescent="0.25">
      <c r="E2086" t="str">
        <f>""</f>
        <v/>
      </c>
      <c r="F2086" t="str">
        <f>""</f>
        <v/>
      </c>
      <c r="H2086" t="str">
        <f t="shared" si="18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18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18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18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18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si="18"/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18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18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18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18"/>
        <v>GUARDIAN</v>
      </c>
    </row>
    <row r="2096" spans="5:8" x14ac:dyDescent="0.25">
      <c r="E2096" t="str">
        <f>""</f>
        <v/>
      </c>
      <c r="F2096" t="str">
        <f>""</f>
        <v/>
      </c>
      <c r="H2096" t="str">
        <f t="shared" si="18"/>
        <v>GUARDIAN</v>
      </c>
    </row>
    <row r="2097" spans="5:8" x14ac:dyDescent="0.25">
      <c r="E2097" t="str">
        <f>""</f>
        <v/>
      </c>
      <c r="F2097" t="str">
        <f>""</f>
        <v/>
      </c>
      <c r="H2097" t="str">
        <f t="shared" si="18"/>
        <v>GUARDIAN</v>
      </c>
    </row>
    <row r="2098" spans="5:8" x14ac:dyDescent="0.25">
      <c r="E2098" t="str">
        <f>""</f>
        <v/>
      </c>
      <c r="F2098" t="str">
        <f>""</f>
        <v/>
      </c>
      <c r="H2098" t="str">
        <f t="shared" si="18"/>
        <v>GUARDIAN</v>
      </c>
    </row>
    <row r="2099" spans="5:8" x14ac:dyDescent="0.25">
      <c r="E2099" t="str">
        <f>""</f>
        <v/>
      </c>
      <c r="F2099" t="str">
        <f>""</f>
        <v/>
      </c>
      <c r="H2099" t="str">
        <f t="shared" si="18"/>
        <v>GUARDIAN</v>
      </c>
    </row>
    <row r="2100" spans="5:8" x14ac:dyDescent="0.25">
      <c r="E2100" t="str">
        <f>""</f>
        <v/>
      </c>
      <c r="F2100" t="str">
        <f>""</f>
        <v/>
      </c>
      <c r="H2100" t="str">
        <f t="shared" si="18"/>
        <v>GUARDIAN</v>
      </c>
    </row>
    <row r="2101" spans="5:8" x14ac:dyDescent="0.25">
      <c r="E2101" t="str">
        <f>""</f>
        <v/>
      </c>
      <c r="F2101" t="str">
        <f>""</f>
        <v/>
      </c>
      <c r="H2101" t="str">
        <f t="shared" si="18"/>
        <v>GUARDIAN</v>
      </c>
    </row>
    <row r="2102" spans="5:8" x14ac:dyDescent="0.25">
      <c r="E2102" t="str">
        <f>""</f>
        <v/>
      </c>
      <c r="F2102" t="str">
        <f>""</f>
        <v/>
      </c>
      <c r="H2102" t="str">
        <f t="shared" si="18"/>
        <v>GUARDIAN</v>
      </c>
    </row>
    <row r="2103" spans="5:8" x14ac:dyDescent="0.25">
      <c r="E2103" t="str">
        <f>""</f>
        <v/>
      </c>
      <c r="F2103" t="str">
        <f>""</f>
        <v/>
      </c>
      <c r="H2103" t="str">
        <f t="shared" si="18"/>
        <v>GUARDIAN</v>
      </c>
    </row>
    <row r="2104" spans="5:8" x14ac:dyDescent="0.25">
      <c r="E2104" t="str">
        <f>""</f>
        <v/>
      </c>
      <c r="F2104" t="str">
        <f>""</f>
        <v/>
      </c>
      <c r="H2104" t="str">
        <f t="shared" si="18"/>
        <v>GUARDIAN</v>
      </c>
    </row>
    <row r="2105" spans="5:8" x14ac:dyDescent="0.25">
      <c r="E2105" t="str">
        <f>""</f>
        <v/>
      </c>
      <c r="F2105" t="str">
        <f>""</f>
        <v/>
      </c>
      <c r="H2105" t="str">
        <f t="shared" si="18"/>
        <v>GUARDIAN</v>
      </c>
    </row>
    <row r="2106" spans="5:8" x14ac:dyDescent="0.25">
      <c r="E2106" t="str">
        <f>"GDE201808082882"</f>
        <v>GDE201808082882</v>
      </c>
      <c r="F2106" t="str">
        <f>"GUARDIAN"</f>
        <v>GUARDIAN</v>
      </c>
      <c r="G2106" s="2">
        <v>148</v>
      </c>
      <c r="H2106" t="str">
        <f t="shared" si="18"/>
        <v>GUARDIAN</v>
      </c>
    </row>
    <row r="2107" spans="5:8" x14ac:dyDescent="0.25">
      <c r="E2107" t="str">
        <f>"GDE201808223027"</f>
        <v>GDE201808223027</v>
      </c>
      <c r="F2107" t="str">
        <f>"GUARDIAN"</f>
        <v>GUARDIAN</v>
      </c>
      <c r="G2107" s="2">
        <v>3907.2</v>
      </c>
      <c r="H2107" t="str">
        <f t="shared" si="18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18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18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18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si="18"/>
        <v>GUARDIAN</v>
      </c>
    </row>
    <row r="2112" spans="5:8" x14ac:dyDescent="0.25">
      <c r="E2112" t="str">
        <f>""</f>
        <v/>
      </c>
      <c r="F2112" t="str">
        <f>""</f>
        <v/>
      </c>
      <c r="H2112" t="str">
        <f t="shared" si="18"/>
        <v>GUARDIAN</v>
      </c>
    </row>
    <row r="2113" spans="5:8" x14ac:dyDescent="0.25">
      <c r="E2113" t="str">
        <f>""</f>
        <v/>
      </c>
      <c r="F2113" t="str">
        <f>""</f>
        <v/>
      </c>
      <c r="H2113" t="str">
        <f t="shared" si="18"/>
        <v>GUARDIAN</v>
      </c>
    </row>
    <row r="2114" spans="5:8" x14ac:dyDescent="0.25">
      <c r="E2114" t="str">
        <f>""</f>
        <v/>
      </c>
      <c r="F2114" t="str">
        <f>""</f>
        <v/>
      </c>
      <c r="H2114" t="str">
        <f t="shared" si="18"/>
        <v>GUARDIAN</v>
      </c>
    </row>
    <row r="2115" spans="5:8" x14ac:dyDescent="0.25">
      <c r="E2115" t="str">
        <f>""</f>
        <v/>
      </c>
      <c r="F2115" t="str">
        <f>""</f>
        <v/>
      </c>
      <c r="H2115" t="str">
        <f t="shared" ref="H2115:H2178" si="19">"GUARDIAN"</f>
        <v>GUARDIAN</v>
      </c>
    </row>
    <row r="2116" spans="5:8" x14ac:dyDescent="0.25">
      <c r="E2116" t="str">
        <f>""</f>
        <v/>
      </c>
      <c r="F2116" t="str">
        <f>""</f>
        <v/>
      </c>
      <c r="H2116" t="str">
        <f t="shared" si="19"/>
        <v>GUARDIAN</v>
      </c>
    </row>
    <row r="2117" spans="5:8" x14ac:dyDescent="0.25">
      <c r="E2117" t="str">
        <f>""</f>
        <v/>
      </c>
      <c r="F2117" t="str">
        <f>""</f>
        <v/>
      </c>
      <c r="H2117" t="str">
        <f t="shared" si="19"/>
        <v>GUARDIAN</v>
      </c>
    </row>
    <row r="2118" spans="5:8" x14ac:dyDescent="0.25">
      <c r="E2118" t="str">
        <f>""</f>
        <v/>
      </c>
      <c r="F2118" t="str">
        <f>""</f>
        <v/>
      </c>
      <c r="H2118" t="str">
        <f t="shared" si="19"/>
        <v>GUARDIAN</v>
      </c>
    </row>
    <row r="2119" spans="5:8" x14ac:dyDescent="0.25">
      <c r="E2119" t="str">
        <f>""</f>
        <v/>
      </c>
      <c r="F2119" t="str">
        <f>""</f>
        <v/>
      </c>
      <c r="H2119" t="str">
        <f t="shared" si="19"/>
        <v>GUARDIAN</v>
      </c>
    </row>
    <row r="2120" spans="5:8" x14ac:dyDescent="0.25">
      <c r="E2120" t="str">
        <f>""</f>
        <v/>
      </c>
      <c r="F2120" t="str">
        <f>""</f>
        <v/>
      </c>
      <c r="H2120" t="str">
        <f t="shared" si="19"/>
        <v>GUARDIAN</v>
      </c>
    </row>
    <row r="2121" spans="5:8" x14ac:dyDescent="0.25">
      <c r="E2121" t="str">
        <f>""</f>
        <v/>
      </c>
      <c r="F2121" t="str">
        <f>""</f>
        <v/>
      </c>
      <c r="H2121" t="str">
        <f t="shared" si="19"/>
        <v>GUARDIAN</v>
      </c>
    </row>
    <row r="2122" spans="5:8" x14ac:dyDescent="0.25">
      <c r="E2122" t="str">
        <f>""</f>
        <v/>
      </c>
      <c r="F2122" t="str">
        <f>""</f>
        <v/>
      </c>
      <c r="H2122" t="str">
        <f t="shared" si="19"/>
        <v>GUARDIAN</v>
      </c>
    </row>
    <row r="2123" spans="5:8" x14ac:dyDescent="0.25">
      <c r="E2123" t="str">
        <f>""</f>
        <v/>
      </c>
      <c r="F2123" t="str">
        <f>""</f>
        <v/>
      </c>
      <c r="H2123" t="str">
        <f t="shared" si="19"/>
        <v>GUARDIAN</v>
      </c>
    </row>
    <row r="2124" spans="5:8" x14ac:dyDescent="0.25">
      <c r="E2124" t="str">
        <f>""</f>
        <v/>
      </c>
      <c r="F2124" t="str">
        <f>""</f>
        <v/>
      </c>
      <c r="H2124" t="str">
        <f t="shared" si="19"/>
        <v>GUARDIAN</v>
      </c>
    </row>
    <row r="2125" spans="5:8" x14ac:dyDescent="0.25">
      <c r="E2125" t="str">
        <f>""</f>
        <v/>
      </c>
      <c r="F2125" t="str">
        <f>""</f>
        <v/>
      </c>
      <c r="H2125" t="str">
        <f t="shared" si="19"/>
        <v>GUARDIAN</v>
      </c>
    </row>
    <row r="2126" spans="5:8" x14ac:dyDescent="0.25">
      <c r="E2126" t="str">
        <f>""</f>
        <v/>
      </c>
      <c r="F2126" t="str">
        <f>""</f>
        <v/>
      </c>
      <c r="H2126" t="str">
        <f t="shared" si="19"/>
        <v>GUARDIAN</v>
      </c>
    </row>
    <row r="2127" spans="5:8" x14ac:dyDescent="0.25">
      <c r="E2127" t="str">
        <f>""</f>
        <v/>
      </c>
      <c r="F2127" t="str">
        <f>""</f>
        <v/>
      </c>
      <c r="H2127" t="str">
        <f t="shared" si="19"/>
        <v>GUARDIAN</v>
      </c>
    </row>
    <row r="2128" spans="5:8" x14ac:dyDescent="0.25">
      <c r="E2128" t="str">
        <f>""</f>
        <v/>
      </c>
      <c r="F2128" t="str">
        <f>""</f>
        <v/>
      </c>
      <c r="H2128" t="str">
        <f t="shared" si="19"/>
        <v>GUARDIAN</v>
      </c>
    </row>
    <row r="2129" spans="5:8" x14ac:dyDescent="0.25">
      <c r="E2129" t="str">
        <f>""</f>
        <v/>
      </c>
      <c r="F2129" t="str">
        <f>""</f>
        <v/>
      </c>
      <c r="H2129" t="str">
        <f t="shared" si="19"/>
        <v>GUARDIAN</v>
      </c>
    </row>
    <row r="2130" spans="5:8" x14ac:dyDescent="0.25">
      <c r="E2130" t="str">
        <f>""</f>
        <v/>
      </c>
      <c r="F2130" t="str">
        <f>""</f>
        <v/>
      </c>
      <c r="H2130" t="str">
        <f t="shared" si="19"/>
        <v>GUARDIAN</v>
      </c>
    </row>
    <row r="2131" spans="5:8" x14ac:dyDescent="0.25">
      <c r="E2131" t="str">
        <f>""</f>
        <v/>
      </c>
      <c r="F2131" t="str">
        <f>""</f>
        <v/>
      </c>
      <c r="H2131" t="str">
        <f t="shared" si="19"/>
        <v>GUARDIAN</v>
      </c>
    </row>
    <row r="2132" spans="5:8" x14ac:dyDescent="0.25">
      <c r="E2132" t="str">
        <f>""</f>
        <v/>
      </c>
      <c r="F2132" t="str">
        <f>""</f>
        <v/>
      </c>
      <c r="H2132" t="str">
        <f t="shared" si="19"/>
        <v>GUARDIAN</v>
      </c>
    </row>
    <row r="2133" spans="5:8" x14ac:dyDescent="0.25">
      <c r="E2133" t="str">
        <f>""</f>
        <v/>
      </c>
      <c r="F2133" t="str">
        <f>""</f>
        <v/>
      </c>
      <c r="H2133" t="str">
        <f t="shared" si="19"/>
        <v>GUARDIAN</v>
      </c>
    </row>
    <row r="2134" spans="5:8" x14ac:dyDescent="0.25">
      <c r="E2134" t="str">
        <f>""</f>
        <v/>
      </c>
      <c r="F2134" t="str">
        <f>""</f>
        <v/>
      </c>
      <c r="H2134" t="str">
        <f t="shared" si="19"/>
        <v>GUARDIAN</v>
      </c>
    </row>
    <row r="2135" spans="5:8" x14ac:dyDescent="0.25">
      <c r="E2135" t="str">
        <f>""</f>
        <v/>
      </c>
      <c r="F2135" t="str">
        <f>""</f>
        <v/>
      </c>
      <c r="H2135" t="str">
        <f t="shared" si="19"/>
        <v>GUARDIAN</v>
      </c>
    </row>
    <row r="2136" spans="5:8" x14ac:dyDescent="0.25">
      <c r="E2136" t="str">
        <f>""</f>
        <v/>
      </c>
      <c r="F2136" t="str">
        <f>""</f>
        <v/>
      </c>
      <c r="H2136" t="str">
        <f t="shared" si="19"/>
        <v>GUARDIAN</v>
      </c>
    </row>
    <row r="2137" spans="5:8" x14ac:dyDescent="0.25">
      <c r="E2137" t="str">
        <f>""</f>
        <v/>
      </c>
      <c r="F2137" t="str">
        <f>""</f>
        <v/>
      </c>
      <c r="H2137" t="str">
        <f t="shared" si="19"/>
        <v>GUARDIAN</v>
      </c>
    </row>
    <row r="2138" spans="5:8" x14ac:dyDescent="0.25">
      <c r="E2138" t="str">
        <f>""</f>
        <v/>
      </c>
      <c r="F2138" t="str">
        <f>""</f>
        <v/>
      </c>
      <c r="H2138" t="str">
        <f t="shared" si="19"/>
        <v>GUARDIAN</v>
      </c>
    </row>
    <row r="2139" spans="5:8" x14ac:dyDescent="0.25">
      <c r="E2139" t="str">
        <f>""</f>
        <v/>
      </c>
      <c r="F2139" t="str">
        <f>""</f>
        <v/>
      </c>
      <c r="H2139" t="str">
        <f t="shared" si="19"/>
        <v>GUARDIAN</v>
      </c>
    </row>
    <row r="2140" spans="5:8" x14ac:dyDescent="0.25">
      <c r="E2140" t="str">
        <f>""</f>
        <v/>
      </c>
      <c r="F2140" t="str">
        <f>""</f>
        <v/>
      </c>
      <c r="H2140" t="str">
        <f t="shared" si="19"/>
        <v>GUARDIAN</v>
      </c>
    </row>
    <row r="2141" spans="5:8" x14ac:dyDescent="0.25">
      <c r="E2141" t="str">
        <f>""</f>
        <v/>
      </c>
      <c r="F2141" t="str">
        <f>""</f>
        <v/>
      </c>
      <c r="H2141" t="str">
        <f t="shared" si="19"/>
        <v>GUARDIAN</v>
      </c>
    </row>
    <row r="2142" spans="5:8" x14ac:dyDescent="0.25">
      <c r="E2142" t="str">
        <f>""</f>
        <v/>
      </c>
      <c r="F2142" t="str">
        <f>""</f>
        <v/>
      </c>
      <c r="H2142" t="str">
        <f t="shared" si="19"/>
        <v>GUARDIAN</v>
      </c>
    </row>
    <row r="2143" spans="5:8" x14ac:dyDescent="0.25">
      <c r="E2143" t="str">
        <f>""</f>
        <v/>
      </c>
      <c r="F2143" t="str">
        <f>""</f>
        <v/>
      </c>
      <c r="H2143" t="str">
        <f t="shared" si="19"/>
        <v>GUARDIAN</v>
      </c>
    </row>
    <row r="2144" spans="5:8" x14ac:dyDescent="0.25">
      <c r="E2144" t="str">
        <f>""</f>
        <v/>
      </c>
      <c r="F2144" t="str">
        <f>""</f>
        <v/>
      </c>
      <c r="H2144" t="str">
        <f t="shared" si="19"/>
        <v>GUARDIAN</v>
      </c>
    </row>
    <row r="2145" spans="5:8" x14ac:dyDescent="0.25">
      <c r="E2145" t="str">
        <f>""</f>
        <v/>
      </c>
      <c r="F2145" t="str">
        <f>""</f>
        <v/>
      </c>
      <c r="H2145" t="str">
        <f t="shared" si="19"/>
        <v>GUARDIAN</v>
      </c>
    </row>
    <row r="2146" spans="5:8" x14ac:dyDescent="0.25">
      <c r="E2146" t="str">
        <f>""</f>
        <v/>
      </c>
      <c r="F2146" t="str">
        <f>""</f>
        <v/>
      </c>
      <c r="H2146" t="str">
        <f t="shared" si="19"/>
        <v>GUARDIAN</v>
      </c>
    </row>
    <row r="2147" spans="5:8" x14ac:dyDescent="0.25">
      <c r="E2147" t="str">
        <f>""</f>
        <v/>
      </c>
      <c r="F2147" t="str">
        <f>""</f>
        <v/>
      </c>
      <c r="H2147" t="str">
        <f t="shared" si="19"/>
        <v>GUARDIAN</v>
      </c>
    </row>
    <row r="2148" spans="5:8" x14ac:dyDescent="0.25">
      <c r="E2148" t="str">
        <f>""</f>
        <v/>
      </c>
      <c r="F2148" t="str">
        <f>""</f>
        <v/>
      </c>
      <c r="H2148" t="str">
        <f t="shared" si="19"/>
        <v>GUARDIAN</v>
      </c>
    </row>
    <row r="2149" spans="5:8" x14ac:dyDescent="0.25">
      <c r="E2149" t="str">
        <f>""</f>
        <v/>
      </c>
      <c r="F2149" t="str">
        <f>""</f>
        <v/>
      </c>
      <c r="H2149" t="str">
        <f t="shared" si="19"/>
        <v>GUARDIAN</v>
      </c>
    </row>
    <row r="2150" spans="5:8" x14ac:dyDescent="0.25">
      <c r="E2150" t="str">
        <f>"GDE201808223028"</f>
        <v>GDE201808223028</v>
      </c>
      <c r="F2150" t="str">
        <f>"GUARDIAN"</f>
        <v>GUARDIAN</v>
      </c>
      <c r="G2150" s="2">
        <v>148</v>
      </c>
      <c r="H2150" t="str">
        <f t="shared" si="19"/>
        <v>GUARDIAN</v>
      </c>
    </row>
    <row r="2151" spans="5:8" x14ac:dyDescent="0.25">
      <c r="E2151" t="str">
        <f>"GDF201808082881"</f>
        <v>GDF201808082881</v>
      </c>
      <c r="F2151" t="str">
        <f>"GUARDIAN"</f>
        <v>GUARDIAN</v>
      </c>
      <c r="G2151" s="2">
        <v>2172.6</v>
      </c>
      <c r="H2151" t="str">
        <f t="shared" si="19"/>
        <v>GUARDIAN</v>
      </c>
    </row>
    <row r="2152" spans="5:8" x14ac:dyDescent="0.25">
      <c r="E2152" t="str">
        <f>""</f>
        <v/>
      </c>
      <c r="F2152" t="str">
        <f>""</f>
        <v/>
      </c>
      <c r="H2152" t="str">
        <f t="shared" si="19"/>
        <v>GUARDIAN</v>
      </c>
    </row>
    <row r="2153" spans="5:8" x14ac:dyDescent="0.25">
      <c r="E2153" t="str">
        <f>""</f>
        <v/>
      </c>
      <c r="F2153" t="str">
        <f>""</f>
        <v/>
      </c>
      <c r="H2153" t="str">
        <f t="shared" si="19"/>
        <v>GUARDIAN</v>
      </c>
    </row>
    <row r="2154" spans="5:8" x14ac:dyDescent="0.25">
      <c r="E2154" t="str">
        <f>""</f>
        <v/>
      </c>
      <c r="F2154" t="str">
        <f>""</f>
        <v/>
      </c>
      <c r="H2154" t="str">
        <f t="shared" si="19"/>
        <v>GUARDIAN</v>
      </c>
    </row>
    <row r="2155" spans="5:8" x14ac:dyDescent="0.25">
      <c r="E2155" t="str">
        <f>""</f>
        <v/>
      </c>
      <c r="F2155" t="str">
        <f>""</f>
        <v/>
      </c>
      <c r="H2155" t="str">
        <f t="shared" si="19"/>
        <v>GUARDIAN</v>
      </c>
    </row>
    <row r="2156" spans="5:8" x14ac:dyDescent="0.25">
      <c r="E2156" t="str">
        <f>""</f>
        <v/>
      </c>
      <c r="F2156" t="str">
        <f>""</f>
        <v/>
      </c>
      <c r="H2156" t="str">
        <f t="shared" si="19"/>
        <v>GUARDIAN</v>
      </c>
    </row>
    <row r="2157" spans="5:8" x14ac:dyDescent="0.25">
      <c r="E2157" t="str">
        <f>""</f>
        <v/>
      </c>
      <c r="F2157" t="str">
        <f>""</f>
        <v/>
      </c>
      <c r="H2157" t="str">
        <f t="shared" si="19"/>
        <v>GUARDIAN</v>
      </c>
    </row>
    <row r="2158" spans="5:8" x14ac:dyDescent="0.25">
      <c r="E2158" t="str">
        <f>""</f>
        <v/>
      </c>
      <c r="F2158" t="str">
        <f>""</f>
        <v/>
      </c>
      <c r="H2158" t="str">
        <f t="shared" si="19"/>
        <v>GUARDIAN</v>
      </c>
    </row>
    <row r="2159" spans="5:8" x14ac:dyDescent="0.25">
      <c r="E2159" t="str">
        <f>""</f>
        <v/>
      </c>
      <c r="F2159" t="str">
        <f>""</f>
        <v/>
      </c>
      <c r="H2159" t="str">
        <f t="shared" si="19"/>
        <v>GUARDIAN</v>
      </c>
    </row>
    <row r="2160" spans="5:8" x14ac:dyDescent="0.25">
      <c r="E2160" t="str">
        <f>""</f>
        <v/>
      </c>
      <c r="F2160" t="str">
        <f>""</f>
        <v/>
      </c>
      <c r="H2160" t="str">
        <f t="shared" si="19"/>
        <v>GUARDIAN</v>
      </c>
    </row>
    <row r="2161" spans="5:8" x14ac:dyDescent="0.25">
      <c r="E2161" t="str">
        <f>""</f>
        <v/>
      </c>
      <c r="F2161" t="str">
        <f>""</f>
        <v/>
      </c>
      <c r="H2161" t="str">
        <f t="shared" si="19"/>
        <v>GUARDIAN</v>
      </c>
    </row>
    <row r="2162" spans="5:8" x14ac:dyDescent="0.25">
      <c r="E2162" t="str">
        <f>""</f>
        <v/>
      </c>
      <c r="F2162" t="str">
        <f>""</f>
        <v/>
      </c>
      <c r="H2162" t="str">
        <f t="shared" si="19"/>
        <v>GUARDIAN</v>
      </c>
    </row>
    <row r="2163" spans="5:8" x14ac:dyDescent="0.25">
      <c r="E2163" t="str">
        <f>""</f>
        <v/>
      </c>
      <c r="F2163" t="str">
        <f>""</f>
        <v/>
      </c>
      <c r="H2163" t="str">
        <f t="shared" si="19"/>
        <v>GUARDIAN</v>
      </c>
    </row>
    <row r="2164" spans="5:8" x14ac:dyDescent="0.25">
      <c r="E2164" t="str">
        <f>""</f>
        <v/>
      </c>
      <c r="F2164" t="str">
        <f>""</f>
        <v/>
      </c>
      <c r="H2164" t="str">
        <f t="shared" si="19"/>
        <v>GUARDIAN</v>
      </c>
    </row>
    <row r="2165" spans="5:8" x14ac:dyDescent="0.25">
      <c r="E2165" t="str">
        <f>""</f>
        <v/>
      </c>
      <c r="F2165" t="str">
        <f>""</f>
        <v/>
      </c>
      <c r="H2165" t="str">
        <f t="shared" si="19"/>
        <v>GUARDIAN</v>
      </c>
    </row>
    <row r="2166" spans="5:8" x14ac:dyDescent="0.25">
      <c r="E2166" t="str">
        <f>""</f>
        <v/>
      </c>
      <c r="F2166" t="str">
        <f>""</f>
        <v/>
      </c>
      <c r="H2166" t="str">
        <f t="shared" si="19"/>
        <v>GUARDIAN</v>
      </c>
    </row>
    <row r="2167" spans="5:8" x14ac:dyDescent="0.25">
      <c r="E2167" t="str">
        <f>""</f>
        <v/>
      </c>
      <c r="F2167" t="str">
        <f>""</f>
        <v/>
      </c>
      <c r="H2167" t="str">
        <f t="shared" si="19"/>
        <v>GUARDIAN</v>
      </c>
    </row>
    <row r="2168" spans="5:8" x14ac:dyDescent="0.25">
      <c r="E2168" t="str">
        <f>""</f>
        <v/>
      </c>
      <c r="F2168" t="str">
        <f>""</f>
        <v/>
      </c>
      <c r="H2168" t="str">
        <f t="shared" si="19"/>
        <v>GUARDIAN</v>
      </c>
    </row>
    <row r="2169" spans="5:8" x14ac:dyDescent="0.25">
      <c r="E2169" t="str">
        <f>""</f>
        <v/>
      </c>
      <c r="F2169" t="str">
        <f>""</f>
        <v/>
      </c>
      <c r="H2169" t="str">
        <f t="shared" si="19"/>
        <v>GUARDIAN</v>
      </c>
    </row>
    <row r="2170" spans="5:8" x14ac:dyDescent="0.25">
      <c r="E2170" t="str">
        <f>""</f>
        <v/>
      </c>
      <c r="F2170" t="str">
        <f>""</f>
        <v/>
      </c>
      <c r="H2170" t="str">
        <f t="shared" si="19"/>
        <v>GUARDIAN</v>
      </c>
    </row>
    <row r="2171" spans="5:8" x14ac:dyDescent="0.25">
      <c r="E2171" t="str">
        <f>"GDF201808082882"</f>
        <v>GDF201808082882</v>
      </c>
      <c r="F2171" t="str">
        <f>"GUARDIAN"</f>
        <v>GUARDIAN</v>
      </c>
      <c r="G2171" s="2">
        <v>144.84</v>
      </c>
      <c r="H2171" t="str">
        <f t="shared" si="19"/>
        <v>GUARDIAN</v>
      </c>
    </row>
    <row r="2172" spans="5:8" x14ac:dyDescent="0.25">
      <c r="E2172" t="str">
        <f>""</f>
        <v/>
      </c>
      <c r="F2172" t="str">
        <f>""</f>
        <v/>
      </c>
      <c r="H2172" t="str">
        <f t="shared" si="19"/>
        <v>GUARDIAN</v>
      </c>
    </row>
    <row r="2173" spans="5:8" x14ac:dyDescent="0.25">
      <c r="E2173" t="str">
        <f>"GDF201808223027"</f>
        <v>GDF201808223027</v>
      </c>
      <c r="F2173" t="str">
        <f>"GUARDIAN"</f>
        <v>GUARDIAN</v>
      </c>
      <c r="G2173" s="2">
        <v>2172.6</v>
      </c>
      <c r="H2173" t="str">
        <f t="shared" si="19"/>
        <v>GUARDIAN</v>
      </c>
    </row>
    <row r="2174" spans="5:8" x14ac:dyDescent="0.25">
      <c r="E2174" t="str">
        <f>""</f>
        <v/>
      </c>
      <c r="F2174" t="str">
        <f>""</f>
        <v/>
      </c>
      <c r="H2174" t="str">
        <f t="shared" si="19"/>
        <v>GUARDIAN</v>
      </c>
    </row>
    <row r="2175" spans="5:8" x14ac:dyDescent="0.25">
      <c r="E2175" t="str">
        <f>""</f>
        <v/>
      </c>
      <c r="F2175" t="str">
        <f>""</f>
        <v/>
      </c>
      <c r="H2175" t="str">
        <f t="shared" si="19"/>
        <v>GUARDIAN</v>
      </c>
    </row>
    <row r="2176" spans="5:8" x14ac:dyDescent="0.25">
      <c r="E2176" t="str">
        <f>""</f>
        <v/>
      </c>
      <c r="F2176" t="str">
        <f>""</f>
        <v/>
      </c>
      <c r="H2176" t="str">
        <f t="shared" si="19"/>
        <v>GUARDIAN</v>
      </c>
    </row>
    <row r="2177" spans="5:8" x14ac:dyDescent="0.25">
      <c r="E2177" t="str">
        <f>""</f>
        <v/>
      </c>
      <c r="F2177" t="str">
        <f>""</f>
        <v/>
      </c>
      <c r="H2177" t="str">
        <f t="shared" si="19"/>
        <v>GUARDIAN</v>
      </c>
    </row>
    <row r="2178" spans="5:8" x14ac:dyDescent="0.25">
      <c r="E2178" t="str">
        <f>""</f>
        <v/>
      </c>
      <c r="F2178" t="str">
        <f>""</f>
        <v/>
      </c>
      <c r="H2178" t="str">
        <f t="shared" si="19"/>
        <v>GUARDIAN</v>
      </c>
    </row>
    <row r="2179" spans="5:8" x14ac:dyDescent="0.25">
      <c r="E2179" t="str">
        <f>""</f>
        <v/>
      </c>
      <c r="F2179" t="str">
        <f>""</f>
        <v/>
      </c>
      <c r="H2179" t="str">
        <f t="shared" ref="H2179:H2247" si="20">"GUARDIAN"</f>
        <v>GUARDIAN</v>
      </c>
    </row>
    <row r="2180" spans="5:8" x14ac:dyDescent="0.25">
      <c r="E2180" t="str">
        <f>""</f>
        <v/>
      </c>
      <c r="F2180" t="str">
        <f>""</f>
        <v/>
      </c>
      <c r="H2180" t="str">
        <f t="shared" si="20"/>
        <v>GUARDIAN</v>
      </c>
    </row>
    <row r="2181" spans="5:8" x14ac:dyDescent="0.25">
      <c r="E2181" t="str">
        <f>""</f>
        <v/>
      </c>
      <c r="F2181" t="str">
        <f>""</f>
        <v/>
      </c>
      <c r="H2181" t="str">
        <f t="shared" si="20"/>
        <v>GUARDIAN</v>
      </c>
    </row>
    <row r="2182" spans="5:8" x14ac:dyDescent="0.25">
      <c r="E2182" t="str">
        <f>""</f>
        <v/>
      </c>
      <c r="F2182" t="str">
        <f>""</f>
        <v/>
      </c>
      <c r="H2182" t="str">
        <f t="shared" si="20"/>
        <v>GUARDIAN</v>
      </c>
    </row>
    <row r="2183" spans="5:8" x14ac:dyDescent="0.25">
      <c r="E2183" t="str">
        <f>""</f>
        <v/>
      </c>
      <c r="F2183" t="str">
        <f>""</f>
        <v/>
      </c>
      <c r="H2183" t="str">
        <f t="shared" si="20"/>
        <v>GUARDIAN</v>
      </c>
    </row>
    <row r="2184" spans="5:8" x14ac:dyDescent="0.25">
      <c r="E2184" t="str">
        <f>""</f>
        <v/>
      </c>
      <c r="F2184" t="str">
        <f>""</f>
        <v/>
      </c>
      <c r="H2184" t="str">
        <f t="shared" si="20"/>
        <v>GUARDIAN</v>
      </c>
    </row>
    <row r="2185" spans="5:8" x14ac:dyDescent="0.25">
      <c r="E2185" t="str">
        <f>""</f>
        <v/>
      </c>
      <c r="F2185" t="str">
        <f>""</f>
        <v/>
      </c>
      <c r="H2185" t="str">
        <f t="shared" si="20"/>
        <v>GUARDIAN</v>
      </c>
    </row>
    <row r="2186" spans="5:8" x14ac:dyDescent="0.25">
      <c r="E2186" t="str">
        <f>""</f>
        <v/>
      </c>
      <c r="F2186" t="str">
        <f>""</f>
        <v/>
      </c>
      <c r="H2186" t="str">
        <f t="shared" si="20"/>
        <v>GUARDIAN</v>
      </c>
    </row>
    <row r="2187" spans="5:8" x14ac:dyDescent="0.25">
      <c r="E2187" t="str">
        <f>""</f>
        <v/>
      </c>
      <c r="F2187" t="str">
        <f>""</f>
        <v/>
      </c>
      <c r="H2187" t="str">
        <f t="shared" si="20"/>
        <v>GUARDIAN</v>
      </c>
    </row>
    <row r="2188" spans="5:8" x14ac:dyDescent="0.25">
      <c r="E2188" t="str">
        <f>""</f>
        <v/>
      </c>
      <c r="F2188" t="str">
        <f>""</f>
        <v/>
      </c>
      <c r="H2188" t="str">
        <f t="shared" si="20"/>
        <v>GUARDIAN</v>
      </c>
    </row>
    <row r="2189" spans="5:8" x14ac:dyDescent="0.25">
      <c r="E2189" t="str">
        <f>""</f>
        <v/>
      </c>
      <c r="F2189" t="str">
        <f>""</f>
        <v/>
      </c>
      <c r="H2189" t="str">
        <f t="shared" si="20"/>
        <v>GUARDIAN</v>
      </c>
    </row>
    <row r="2190" spans="5:8" x14ac:dyDescent="0.25">
      <c r="E2190" t="str">
        <f>""</f>
        <v/>
      </c>
      <c r="F2190" t="str">
        <f>""</f>
        <v/>
      </c>
      <c r="H2190" t="str">
        <f t="shared" si="20"/>
        <v>GUARDIAN</v>
      </c>
    </row>
    <row r="2191" spans="5:8" x14ac:dyDescent="0.25">
      <c r="E2191" t="str">
        <f>""</f>
        <v/>
      </c>
      <c r="F2191" t="str">
        <f>""</f>
        <v/>
      </c>
      <c r="H2191" t="str">
        <f t="shared" si="20"/>
        <v>GUARDIAN</v>
      </c>
    </row>
    <row r="2192" spans="5:8" x14ac:dyDescent="0.25">
      <c r="E2192" t="str">
        <f>""</f>
        <v/>
      </c>
      <c r="F2192" t="str">
        <f>""</f>
        <v/>
      </c>
      <c r="H2192" t="str">
        <f t="shared" si="20"/>
        <v>GUARDIAN</v>
      </c>
    </row>
    <row r="2193" spans="5:8" x14ac:dyDescent="0.25">
      <c r="E2193" t="str">
        <f>""</f>
        <v/>
      </c>
      <c r="F2193" t="str">
        <f>""</f>
        <v/>
      </c>
      <c r="H2193" t="str">
        <f t="shared" si="20"/>
        <v>GUARDIAN</v>
      </c>
    </row>
    <row r="2194" spans="5:8" x14ac:dyDescent="0.25">
      <c r="E2194" t="str">
        <f>"GDF201808223028"</f>
        <v>GDF201808223028</v>
      </c>
      <c r="F2194" t="str">
        <f>"GUARDIAN"</f>
        <v>GUARDIAN</v>
      </c>
      <c r="G2194" s="2">
        <v>144.84</v>
      </c>
      <c r="H2194" t="str">
        <f t="shared" si="20"/>
        <v>GUARDIAN</v>
      </c>
    </row>
    <row r="2195" spans="5:8" x14ac:dyDescent="0.25">
      <c r="E2195" t="str">
        <f>""</f>
        <v/>
      </c>
      <c r="F2195" t="str">
        <f>""</f>
        <v/>
      </c>
      <c r="H2195" t="str">
        <f t="shared" si="20"/>
        <v>GUARDIAN</v>
      </c>
    </row>
    <row r="2196" spans="5:8" x14ac:dyDescent="0.25">
      <c r="E2196" t="str">
        <f>"GDS201808082881"</f>
        <v>GDS201808082881</v>
      </c>
      <c r="F2196" t="str">
        <f>"GUARDIAN"</f>
        <v>GUARDIAN</v>
      </c>
      <c r="G2196" s="2">
        <v>1759.38</v>
      </c>
      <c r="H2196" t="str">
        <f t="shared" si="20"/>
        <v>GUARDIAN</v>
      </c>
    </row>
    <row r="2197" spans="5:8" x14ac:dyDescent="0.25">
      <c r="E2197" t="str">
        <f>""</f>
        <v/>
      </c>
      <c r="F2197" t="str">
        <f>""</f>
        <v/>
      </c>
      <c r="H2197" t="str">
        <f t="shared" si="20"/>
        <v>GUARDIAN</v>
      </c>
    </row>
    <row r="2198" spans="5:8" x14ac:dyDescent="0.25">
      <c r="E2198" t="str">
        <f>""</f>
        <v/>
      </c>
      <c r="F2198" t="str">
        <f>""</f>
        <v/>
      </c>
      <c r="H2198" t="str">
        <f t="shared" si="20"/>
        <v>GUARDIAN</v>
      </c>
    </row>
    <row r="2199" spans="5:8" x14ac:dyDescent="0.25">
      <c r="E2199" t="str">
        <f>""</f>
        <v/>
      </c>
      <c r="F2199" t="str">
        <f>""</f>
        <v/>
      </c>
      <c r="H2199" t="str">
        <f t="shared" si="20"/>
        <v>GUARDIAN</v>
      </c>
    </row>
    <row r="2200" spans="5:8" x14ac:dyDescent="0.25">
      <c r="E2200" t="str">
        <f>""</f>
        <v/>
      </c>
      <c r="F2200" t="str">
        <f>""</f>
        <v/>
      </c>
      <c r="H2200" t="str">
        <f t="shared" si="20"/>
        <v>GUARDIAN</v>
      </c>
    </row>
    <row r="2201" spans="5:8" x14ac:dyDescent="0.25">
      <c r="E2201" t="str">
        <f>""</f>
        <v/>
      </c>
      <c r="F2201" t="str">
        <f>""</f>
        <v/>
      </c>
      <c r="H2201" t="str">
        <f t="shared" si="20"/>
        <v>GUARDIAN</v>
      </c>
    </row>
    <row r="2202" spans="5:8" x14ac:dyDescent="0.25">
      <c r="E2202" t="str">
        <f>""</f>
        <v/>
      </c>
      <c r="F2202" t="str">
        <f>""</f>
        <v/>
      </c>
      <c r="H2202" t="str">
        <f t="shared" si="20"/>
        <v>GUARDIAN</v>
      </c>
    </row>
    <row r="2203" spans="5:8" x14ac:dyDescent="0.25">
      <c r="E2203" t="str">
        <f>""</f>
        <v/>
      </c>
      <c r="F2203" t="str">
        <f>""</f>
        <v/>
      </c>
      <c r="H2203" t="str">
        <f t="shared" si="20"/>
        <v>GUARDIAN</v>
      </c>
    </row>
    <row r="2204" spans="5:8" x14ac:dyDescent="0.25">
      <c r="E2204" t="str">
        <f>""</f>
        <v/>
      </c>
      <c r="F2204" t="str">
        <f>""</f>
        <v/>
      </c>
      <c r="H2204" t="str">
        <f t="shared" si="20"/>
        <v>GUARDIAN</v>
      </c>
    </row>
    <row r="2205" spans="5:8" x14ac:dyDescent="0.25">
      <c r="E2205" t="str">
        <f>""</f>
        <v/>
      </c>
      <c r="F2205" t="str">
        <f>""</f>
        <v/>
      </c>
      <c r="H2205" t="str">
        <f t="shared" si="20"/>
        <v>GUARDIAN</v>
      </c>
    </row>
    <row r="2206" spans="5:8" x14ac:dyDescent="0.25">
      <c r="E2206" t="str">
        <f>""</f>
        <v/>
      </c>
      <c r="F2206" t="str">
        <f>""</f>
        <v/>
      </c>
      <c r="H2206" t="str">
        <f t="shared" si="20"/>
        <v>GUARDIAN</v>
      </c>
    </row>
    <row r="2207" spans="5:8" x14ac:dyDescent="0.25">
      <c r="E2207" t="str">
        <f>""</f>
        <v/>
      </c>
      <c r="F2207" t="str">
        <f>""</f>
        <v/>
      </c>
      <c r="H2207" t="str">
        <f t="shared" si="20"/>
        <v>GUARDIAN</v>
      </c>
    </row>
    <row r="2208" spans="5:8" x14ac:dyDescent="0.25">
      <c r="E2208" t="str">
        <f>""</f>
        <v/>
      </c>
      <c r="F2208" t="str">
        <f>""</f>
        <v/>
      </c>
      <c r="H2208" t="str">
        <f t="shared" si="20"/>
        <v>GUARDIAN</v>
      </c>
    </row>
    <row r="2209" spans="5:8" x14ac:dyDescent="0.25">
      <c r="E2209" t="str">
        <f>""</f>
        <v/>
      </c>
      <c r="F2209" t="str">
        <f>""</f>
        <v/>
      </c>
      <c r="H2209" t="str">
        <f t="shared" si="20"/>
        <v>GUARDIAN</v>
      </c>
    </row>
    <row r="2210" spans="5:8" x14ac:dyDescent="0.25">
      <c r="E2210" t="str">
        <f>""</f>
        <v/>
      </c>
      <c r="F2210" t="str">
        <f>""</f>
        <v/>
      </c>
      <c r="H2210" t="str">
        <f t="shared" si="20"/>
        <v>GUARDIAN</v>
      </c>
    </row>
    <row r="2211" spans="5:8" x14ac:dyDescent="0.25">
      <c r="E2211" t="str">
        <f>""</f>
        <v/>
      </c>
      <c r="F2211" t="str">
        <f>""</f>
        <v/>
      </c>
      <c r="H2211" t="str">
        <f t="shared" si="20"/>
        <v>GUARDIAN</v>
      </c>
    </row>
    <row r="2212" spans="5:8" x14ac:dyDescent="0.25">
      <c r="E2212" t="str">
        <f>""</f>
        <v/>
      </c>
      <c r="F2212" t="str">
        <f>""</f>
        <v/>
      </c>
      <c r="H2212" t="str">
        <f t="shared" si="20"/>
        <v>GUARDIAN</v>
      </c>
    </row>
    <row r="2213" spans="5:8" x14ac:dyDescent="0.25">
      <c r="E2213" t="str">
        <f>""</f>
        <v/>
      </c>
      <c r="F2213" t="str">
        <f>""</f>
        <v/>
      </c>
      <c r="H2213" t="str">
        <f t="shared" si="20"/>
        <v>GUARDIAN</v>
      </c>
    </row>
    <row r="2214" spans="5:8" x14ac:dyDescent="0.25">
      <c r="E2214" t="str">
        <f>""</f>
        <v/>
      </c>
      <c r="F2214" t="str">
        <f>""</f>
        <v/>
      </c>
      <c r="H2214" t="str">
        <f t="shared" si="20"/>
        <v>GUARDIAN</v>
      </c>
    </row>
    <row r="2215" spans="5:8" x14ac:dyDescent="0.25">
      <c r="E2215" t="str">
        <f>""</f>
        <v/>
      </c>
      <c r="F2215" t="str">
        <f>""</f>
        <v/>
      </c>
      <c r="H2215" t="str">
        <f t="shared" si="20"/>
        <v>GUARDIAN</v>
      </c>
    </row>
    <row r="2216" spans="5:8" x14ac:dyDescent="0.25">
      <c r="E2216" t="str">
        <f>""</f>
        <v/>
      </c>
      <c r="F2216" t="str">
        <f>""</f>
        <v/>
      </c>
      <c r="H2216" t="str">
        <f t="shared" si="20"/>
        <v>GUARDIAN</v>
      </c>
    </row>
    <row r="2217" spans="5:8" x14ac:dyDescent="0.25">
      <c r="E2217" t="str">
        <f>""</f>
        <v/>
      </c>
      <c r="F2217" t="str">
        <f>""</f>
        <v/>
      </c>
      <c r="H2217" t="str">
        <f t="shared" si="20"/>
        <v>GUARDIAN</v>
      </c>
    </row>
    <row r="2218" spans="5:8" x14ac:dyDescent="0.25">
      <c r="E2218" t="str">
        <f>""</f>
        <v/>
      </c>
      <c r="F2218" t="str">
        <f>""</f>
        <v/>
      </c>
      <c r="H2218" t="str">
        <f t="shared" si="20"/>
        <v>GUARDIAN</v>
      </c>
    </row>
    <row r="2219" spans="5:8" x14ac:dyDescent="0.25">
      <c r="E2219" t="str">
        <f>""</f>
        <v/>
      </c>
      <c r="F2219" t="str">
        <f>""</f>
        <v/>
      </c>
      <c r="H2219" t="str">
        <f t="shared" si="20"/>
        <v>GUARDIAN</v>
      </c>
    </row>
    <row r="2220" spans="5:8" x14ac:dyDescent="0.25">
      <c r="E2220" t="str">
        <f>""</f>
        <v/>
      </c>
      <c r="F2220" t="str">
        <f>""</f>
        <v/>
      </c>
      <c r="H2220" t="str">
        <f t="shared" si="20"/>
        <v>GUARDIAN</v>
      </c>
    </row>
    <row r="2221" spans="5:8" x14ac:dyDescent="0.25">
      <c r="E2221" t="str">
        <f>""</f>
        <v/>
      </c>
      <c r="F2221" t="str">
        <f>""</f>
        <v/>
      </c>
      <c r="H2221" t="str">
        <f t="shared" si="20"/>
        <v>GUARDIAN</v>
      </c>
    </row>
    <row r="2222" spans="5:8" x14ac:dyDescent="0.25">
      <c r="E2222" t="str">
        <f>"GDS201808223027"</f>
        <v>GDS201808223027</v>
      </c>
      <c r="F2222" t="str">
        <f>"GUARDIAN"</f>
        <v>GUARDIAN</v>
      </c>
      <c r="G2222" s="2">
        <v>1699.74</v>
      </c>
      <c r="H2222" t="str">
        <f t="shared" si="20"/>
        <v>GUARDIAN</v>
      </c>
    </row>
    <row r="2223" spans="5:8" x14ac:dyDescent="0.25">
      <c r="E2223" t="str">
        <f>""</f>
        <v/>
      </c>
      <c r="F2223" t="str">
        <f>""</f>
        <v/>
      </c>
      <c r="H2223" t="str">
        <f t="shared" si="20"/>
        <v>GUARDIAN</v>
      </c>
    </row>
    <row r="2224" spans="5:8" x14ac:dyDescent="0.25">
      <c r="E2224" t="str">
        <f>""</f>
        <v/>
      </c>
      <c r="F2224" t="str">
        <f>""</f>
        <v/>
      </c>
      <c r="H2224" t="str">
        <f t="shared" si="20"/>
        <v>GUARDIAN</v>
      </c>
    </row>
    <row r="2225" spans="5:8" x14ac:dyDescent="0.25">
      <c r="E2225" t="str">
        <f>""</f>
        <v/>
      </c>
      <c r="F2225" t="str">
        <f>""</f>
        <v/>
      </c>
      <c r="H2225" t="str">
        <f t="shared" si="20"/>
        <v>GUARDIAN</v>
      </c>
    </row>
    <row r="2226" spans="5:8" x14ac:dyDescent="0.25">
      <c r="E2226" t="str">
        <f>""</f>
        <v/>
      </c>
      <c r="F2226" t="str">
        <f>""</f>
        <v/>
      </c>
      <c r="H2226" t="str">
        <f t="shared" si="20"/>
        <v>GUARDIAN</v>
      </c>
    </row>
    <row r="2227" spans="5:8" x14ac:dyDescent="0.25">
      <c r="E2227" t="str">
        <f>""</f>
        <v/>
      </c>
      <c r="F2227" t="str">
        <f>""</f>
        <v/>
      </c>
      <c r="H2227" t="str">
        <f t="shared" si="20"/>
        <v>GUARDIAN</v>
      </c>
    </row>
    <row r="2228" spans="5:8" x14ac:dyDescent="0.25">
      <c r="E2228" t="str">
        <f>""</f>
        <v/>
      </c>
      <c r="F2228" t="str">
        <f>""</f>
        <v/>
      </c>
      <c r="H2228" t="str">
        <f t="shared" si="20"/>
        <v>GUARDIAN</v>
      </c>
    </row>
    <row r="2229" spans="5:8" x14ac:dyDescent="0.25">
      <c r="E2229" t="str">
        <f>""</f>
        <v/>
      </c>
      <c r="F2229" t="str">
        <f>""</f>
        <v/>
      </c>
      <c r="H2229" t="str">
        <f t="shared" si="20"/>
        <v>GUARDIAN</v>
      </c>
    </row>
    <row r="2230" spans="5:8" x14ac:dyDescent="0.25">
      <c r="E2230" t="str">
        <f>""</f>
        <v/>
      </c>
      <c r="F2230" t="str">
        <f>""</f>
        <v/>
      </c>
      <c r="H2230" t="str">
        <f t="shared" si="20"/>
        <v>GUARDIAN</v>
      </c>
    </row>
    <row r="2231" spans="5:8" x14ac:dyDescent="0.25">
      <c r="E2231" t="str">
        <f>""</f>
        <v/>
      </c>
      <c r="F2231" t="str">
        <f>""</f>
        <v/>
      </c>
      <c r="H2231" t="str">
        <f t="shared" si="20"/>
        <v>GUARDIAN</v>
      </c>
    </row>
    <row r="2232" spans="5:8" x14ac:dyDescent="0.25">
      <c r="E2232" t="str">
        <f>""</f>
        <v/>
      </c>
      <c r="F2232" t="str">
        <f>""</f>
        <v/>
      </c>
      <c r="H2232" t="str">
        <f t="shared" si="20"/>
        <v>GUARDIAN</v>
      </c>
    </row>
    <row r="2233" spans="5:8" x14ac:dyDescent="0.25">
      <c r="E2233" t="str">
        <f>""</f>
        <v/>
      </c>
      <c r="F2233" t="str">
        <f>""</f>
        <v/>
      </c>
      <c r="H2233" t="str">
        <f t="shared" si="20"/>
        <v>GUARDIAN</v>
      </c>
    </row>
    <row r="2234" spans="5:8" x14ac:dyDescent="0.25">
      <c r="E2234" t="str">
        <f>""</f>
        <v/>
      </c>
      <c r="F2234" t="str">
        <f>""</f>
        <v/>
      </c>
      <c r="H2234" t="str">
        <f t="shared" si="20"/>
        <v>GUARDIAN</v>
      </c>
    </row>
    <row r="2235" spans="5:8" x14ac:dyDescent="0.25">
      <c r="E2235" t="str">
        <f>""</f>
        <v/>
      </c>
      <c r="F2235" t="str">
        <f>""</f>
        <v/>
      </c>
      <c r="H2235" t="str">
        <f t="shared" si="20"/>
        <v>GUARDIAN</v>
      </c>
    </row>
    <row r="2236" spans="5:8" x14ac:dyDescent="0.25">
      <c r="E2236" t="str">
        <f>""</f>
        <v/>
      </c>
      <c r="F2236" t="str">
        <f>""</f>
        <v/>
      </c>
      <c r="H2236" t="str">
        <f t="shared" si="20"/>
        <v>GUARDIAN</v>
      </c>
    </row>
    <row r="2237" spans="5:8" x14ac:dyDescent="0.25">
      <c r="E2237" t="str">
        <f>""</f>
        <v/>
      </c>
      <c r="F2237" t="str">
        <f>""</f>
        <v/>
      </c>
      <c r="H2237" t="str">
        <f t="shared" si="20"/>
        <v>GUARDIAN</v>
      </c>
    </row>
    <row r="2238" spans="5:8" x14ac:dyDescent="0.25">
      <c r="E2238" t="str">
        <f>""</f>
        <v/>
      </c>
      <c r="F2238" t="str">
        <f>""</f>
        <v/>
      </c>
      <c r="H2238" t="str">
        <f t="shared" si="20"/>
        <v>GUARDIAN</v>
      </c>
    </row>
    <row r="2239" spans="5:8" x14ac:dyDescent="0.25">
      <c r="E2239" t="str">
        <f>""</f>
        <v/>
      </c>
      <c r="F2239" t="str">
        <f>""</f>
        <v/>
      </c>
      <c r="H2239" t="str">
        <f t="shared" si="20"/>
        <v>GUARDIAN</v>
      </c>
    </row>
    <row r="2240" spans="5:8" x14ac:dyDescent="0.25">
      <c r="E2240" t="str">
        <f>""</f>
        <v/>
      </c>
      <c r="F2240" t="str">
        <f>""</f>
        <v/>
      </c>
      <c r="H2240" t="str">
        <f t="shared" si="20"/>
        <v>GUARDIAN</v>
      </c>
    </row>
    <row r="2241" spans="5:8" x14ac:dyDescent="0.25">
      <c r="E2241" t="str">
        <f>""</f>
        <v/>
      </c>
      <c r="F2241" t="str">
        <f>""</f>
        <v/>
      </c>
      <c r="H2241" t="str">
        <f t="shared" si="20"/>
        <v>GUARDIAN</v>
      </c>
    </row>
    <row r="2242" spans="5:8" x14ac:dyDescent="0.25">
      <c r="E2242" t="str">
        <f>""</f>
        <v/>
      </c>
      <c r="F2242" t="str">
        <f>""</f>
        <v/>
      </c>
      <c r="H2242" t="str">
        <f t="shared" si="20"/>
        <v>GUARDIAN</v>
      </c>
    </row>
    <row r="2243" spans="5:8" x14ac:dyDescent="0.25">
      <c r="E2243" t="str">
        <f>""</f>
        <v/>
      </c>
      <c r="F2243" t="str">
        <f>""</f>
        <v/>
      </c>
      <c r="H2243" t="str">
        <f t="shared" si="20"/>
        <v>GUARDIAN</v>
      </c>
    </row>
    <row r="2244" spans="5:8" x14ac:dyDescent="0.25">
      <c r="E2244" t="str">
        <f>""</f>
        <v/>
      </c>
      <c r="F2244" t="str">
        <f>""</f>
        <v/>
      </c>
      <c r="H2244" t="str">
        <f t="shared" si="20"/>
        <v>GUARDIAN</v>
      </c>
    </row>
    <row r="2245" spans="5:8" x14ac:dyDescent="0.25">
      <c r="E2245" t="str">
        <f>""</f>
        <v/>
      </c>
      <c r="F2245" t="str">
        <f>""</f>
        <v/>
      </c>
      <c r="H2245" t="str">
        <f t="shared" si="20"/>
        <v>GUARDIAN</v>
      </c>
    </row>
    <row r="2246" spans="5:8" x14ac:dyDescent="0.25">
      <c r="E2246" t="str">
        <f>""</f>
        <v/>
      </c>
      <c r="F2246" t="str">
        <f>""</f>
        <v/>
      </c>
      <c r="H2246" t="str">
        <f t="shared" si="20"/>
        <v>GUARDIAN</v>
      </c>
    </row>
    <row r="2247" spans="5:8" x14ac:dyDescent="0.25">
      <c r="E2247" t="str">
        <f>""</f>
        <v/>
      </c>
      <c r="F2247" t="str">
        <f>""</f>
        <v/>
      </c>
      <c r="H2247" t="str">
        <f t="shared" si="20"/>
        <v>GUARDIAN</v>
      </c>
    </row>
    <row r="2248" spans="5:8" x14ac:dyDescent="0.25">
      <c r="E2248" t="str">
        <f>"GV1201808082881"</f>
        <v>GV1201808082881</v>
      </c>
      <c r="F2248" t="str">
        <f>"GUARDIAN VISION"</f>
        <v>GUARDIAN VISION</v>
      </c>
      <c r="G2248" s="2">
        <v>375.2</v>
      </c>
      <c r="H2248" t="str">
        <f>"GUARDIAN VISION"</f>
        <v>GUARDIAN VISION</v>
      </c>
    </row>
    <row r="2249" spans="5:8" x14ac:dyDescent="0.25">
      <c r="E2249" t="str">
        <f>"GV1201808223027"</f>
        <v>GV1201808223027</v>
      </c>
      <c r="F2249" t="str">
        <f>"GUARDIAN VISION"</f>
        <v>GUARDIAN VISION</v>
      </c>
      <c r="G2249" s="2">
        <v>375.2</v>
      </c>
      <c r="H2249" t="str">
        <f>"GUARDIAN VISION"</f>
        <v>GUARDIAN VISION</v>
      </c>
    </row>
    <row r="2250" spans="5:8" x14ac:dyDescent="0.25">
      <c r="E2250" t="str">
        <f>"GVE201808082881"</f>
        <v>GVE201808082881</v>
      </c>
      <c r="F2250" t="str">
        <f>"GUARDIAN VISION VENDOR"</f>
        <v>GUARDIAN VISION VENDOR</v>
      </c>
      <c r="G2250" s="2">
        <v>553.5</v>
      </c>
      <c r="H2250" t="str">
        <f>"GUARDIAN VISION VENDOR"</f>
        <v>GUARDIAN VISION VENDOR</v>
      </c>
    </row>
    <row r="2251" spans="5:8" x14ac:dyDescent="0.25">
      <c r="E2251" t="str">
        <f>"GVE201808082882"</f>
        <v>GVE201808082882</v>
      </c>
      <c r="F2251" t="str">
        <f>"GUARDIAN VISION VENDOR"</f>
        <v>GUARDIAN VISION VENDOR</v>
      </c>
      <c r="G2251" s="2">
        <v>25.83</v>
      </c>
      <c r="H2251" t="str">
        <f>"GUARDIAN VISION VENDOR"</f>
        <v>GUARDIAN VISION VENDOR</v>
      </c>
    </row>
    <row r="2252" spans="5:8" x14ac:dyDescent="0.25">
      <c r="E2252" t="str">
        <f>"GVE201808223027"</f>
        <v>GVE201808223027</v>
      </c>
      <c r="F2252" t="str">
        <f>"GUARDIAN VISION VENDOR"</f>
        <v>GUARDIAN VISION VENDOR</v>
      </c>
      <c r="G2252" s="2">
        <v>546.12</v>
      </c>
      <c r="H2252" t="str">
        <f>"GUARDIAN VISION VENDOR"</f>
        <v>GUARDIAN VISION VENDOR</v>
      </c>
    </row>
    <row r="2253" spans="5:8" x14ac:dyDescent="0.25">
      <c r="E2253" t="str">
        <f>"GVE201808223028"</f>
        <v>GVE201808223028</v>
      </c>
      <c r="F2253" t="str">
        <f>"GUARDIAN VISION VENDOR"</f>
        <v>GUARDIAN VISION VENDOR</v>
      </c>
      <c r="G2253" s="2">
        <v>25.83</v>
      </c>
      <c r="H2253" t="str">
        <f>"GUARDIAN VISION VENDOR"</f>
        <v>GUARDIAN VISION VENDOR</v>
      </c>
    </row>
    <row r="2254" spans="5:8" x14ac:dyDescent="0.25">
      <c r="E2254" t="str">
        <f>"GVF201808082881"</f>
        <v>GVF201808082881</v>
      </c>
      <c r="F2254" t="str">
        <f>"GUARDIAN VISION"</f>
        <v>GUARDIAN VISION</v>
      </c>
      <c r="G2254" s="2">
        <v>502.35</v>
      </c>
      <c r="H2254" t="str">
        <f>"GUARDIAN VISION"</f>
        <v>GUARDIAN VISION</v>
      </c>
    </row>
    <row r="2255" spans="5:8" x14ac:dyDescent="0.25">
      <c r="E2255" t="str">
        <f>"GVF201808082882"</f>
        <v>GVF201808082882</v>
      </c>
      <c r="F2255" t="str">
        <f>"GUARDIAN VISION VENDOR"</f>
        <v>GUARDIAN VISION VENDOR</v>
      </c>
      <c r="G2255" s="2">
        <v>29.55</v>
      </c>
      <c r="H2255" t="str">
        <f>"GUARDIAN VISION VENDOR"</f>
        <v>GUARDIAN VISION VENDOR</v>
      </c>
    </row>
    <row r="2256" spans="5:8" x14ac:dyDescent="0.25">
      <c r="E2256" t="str">
        <f>"GVF201808223027"</f>
        <v>GVF201808223027</v>
      </c>
      <c r="F2256" t="str">
        <f>"GUARDIAN VISION"</f>
        <v>GUARDIAN VISION</v>
      </c>
      <c r="G2256" s="2">
        <v>502.35</v>
      </c>
      <c r="H2256" t="str">
        <f>"GUARDIAN VISION"</f>
        <v>GUARDIAN VISION</v>
      </c>
    </row>
    <row r="2257" spans="5:8" x14ac:dyDescent="0.25">
      <c r="E2257" t="str">
        <f>"GVF201808223028"</f>
        <v>GVF201808223028</v>
      </c>
      <c r="F2257" t="str">
        <f>"GUARDIAN VISION VENDOR"</f>
        <v>GUARDIAN VISION VENDOR</v>
      </c>
      <c r="G2257" s="2">
        <v>29.55</v>
      </c>
      <c r="H2257" t="str">
        <f>"GUARDIAN VISION VENDOR"</f>
        <v>GUARDIAN VISION VENDOR</v>
      </c>
    </row>
    <row r="2258" spans="5:8" x14ac:dyDescent="0.25">
      <c r="E2258" t="str">
        <f>"LIA201808082881"</f>
        <v>LIA201808082881</v>
      </c>
      <c r="F2258" t="str">
        <f>"GUARDIAN"</f>
        <v>GUARDIAN</v>
      </c>
      <c r="G2258" s="2">
        <v>185.14</v>
      </c>
      <c r="H2258" t="str">
        <f t="shared" ref="H2258:H2289" si="21">"GUARDIAN"</f>
        <v>GUARDIAN</v>
      </c>
    </row>
    <row r="2259" spans="5:8" x14ac:dyDescent="0.25">
      <c r="E2259" t="str">
        <f>""</f>
        <v/>
      </c>
      <c r="F2259" t="str">
        <f>""</f>
        <v/>
      </c>
      <c r="H2259" t="str">
        <f t="shared" si="21"/>
        <v>GUARDIAN</v>
      </c>
    </row>
    <row r="2260" spans="5:8" x14ac:dyDescent="0.25">
      <c r="E2260" t="str">
        <f>""</f>
        <v/>
      </c>
      <c r="F2260" t="str">
        <f>""</f>
        <v/>
      </c>
      <c r="H2260" t="str">
        <f t="shared" si="21"/>
        <v>GUARDIAN</v>
      </c>
    </row>
    <row r="2261" spans="5:8" x14ac:dyDescent="0.25">
      <c r="E2261" t="str">
        <f>""</f>
        <v/>
      </c>
      <c r="F2261" t="str">
        <f>""</f>
        <v/>
      </c>
      <c r="H2261" t="str">
        <f t="shared" si="21"/>
        <v>GUARDIAN</v>
      </c>
    </row>
    <row r="2262" spans="5:8" x14ac:dyDescent="0.25">
      <c r="E2262" t="str">
        <f>""</f>
        <v/>
      </c>
      <c r="F2262" t="str">
        <f>""</f>
        <v/>
      </c>
      <c r="H2262" t="str">
        <f t="shared" si="21"/>
        <v>GUARDIAN</v>
      </c>
    </row>
    <row r="2263" spans="5:8" x14ac:dyDescent="0.25">
      <c r="E2263" t="str">
        <f>""</f>
        <v/>
      </c>
      <c r="F2263" t="str">
        <f>""</f>
        <v/>
      </c>
      <c r="H2263" t="str">
        <f t="shared" si="21"/>
        <v>GUARDIAN</v>
      </c>
    </row>
    <row r="2264" spans="5:8" x14ac:dyDescent="0.25">
      <c r="E2264" t="str">
        <f>""</f>
        <v/>
      </c>
      <c r="F2264" t="str">
        <f>""</f>
        <v/>
      </c>
      <c r="H2264" t="str">
        <f t="shared" si="21"/>
        <v>GUARDIAN</v>
      </c>
    </row>
    <row r="2265" spans="5:8" x14ac:dyDescent="0.25">
      <c r="E2265" t="str">
        <f>""</f>
        <v/>
      </c>
      <c r="F2265" t="str">
        <f>""</f>
        <v/>
      </c>
      <c r="H2265" t="str">
        <f t="shared" si="21"/>
        <v>GUARDIAN</v>
      </c>
    </row>
    <row r="2266" spans="5:8" x14ac:dyDescent="0.25">
      <c r="E2266" t="str">
        <f>""</f>
        <v/>
      </c>
      <c r="F2266" t="str">
        <f>""</f>
        <v/>
      </c>
      <c r="H2266" t="str">
        <f t="shared" si="21"/>
        <v>GUARDIAN</v>
      </c>
    </row>
    <row r="2267" spans="5:8" x14ac:dyDescent="0.25">
      <c r="E2267" t="str">
        <f>""</f>
        <v/>
      </c>
      <c r="F2267" t="str">
        <f>""</f>
        <v/>
      </c>
      <c r="H2267" t="str">
        <f t="shared" si="21"/>
        <v>GUARDIAN</v>
      </c>
    </row>
    <row r="2268" spans="5:8" x14ac:dyDescent="0.25">
      <c r="E2268" t="str">
        <f>""</f>
        <v/>
      </c>
      <c r="F2268" t="str">
        <f>""</f>
        <v/>
      </c>
      <c r="H2268" t="str">
        <f t="shared" si="21"/>
        <v>GUARDIAN</v>
      </c>
    </row>
    <row r="2269" spans="5:8" x14ac:dyDescent="0.25">
      <c r="E2269" t="str">
        <f>""</f>
        <v/>
      </c>
      <c r="F2269" t="str">
        <f>""</f>
        <v/>
      </c>
      <c r="H2269" t="str">
        <f t="shared" si="21"/>
        <v>GUARDIAN</v>
      </c>
    </row>
    <row r="2270" spans="5:8" x14ac:dyDescent="0.25">
      <c r="E2270" t="str">
        <f>""</f>
        <v/>
      </c>
      <c r="F2270" t="str">
        <f>""</f>
        <v/>
      </c>
      <c r="H2270" t="str">
        <f t="shared" si="21"/>
        <v>GUARDIAN</v>
      </c>
    </row>
    <row r="2271" spans="5:8" x14ac:dyDescent="0.25">
      <c r="E2271" t="str">
        <f>""</f>
        <v/>
      </c>
      <c r="F2271" t="str">
        <f>""</f>
        <v/>
      </c>
      <c r="H2271" t="str">
        <f t="shared" si="21"/>
        <v>GUARDIAN</v>
      </c>
    </row>
    <row r="2272" spans="5:8" x14ac:dyDescent="0.25">
      <c r="E2272" t="str">
        <f>""</f>
        <v/>
      </c>
      <c r="F2272" t="str">
        <f>""</f>
        <v/>
      </c>
      <c r="H2272" t="str">
        <f t="shared" si="21"/>
        <v>GUARDIAN</v>
      </c>
    </row>
    <row r="2273" spans="5:8" x14ac:dyDescent="0.25">
      <c r="E2273" t="str">
        <f>""</f>
        <v/>
      </c>
      <c r="F2273" t="str">
        <f>""</f>
        <v/>
      </c>
      <c r="H2273" t="str">
        <f t="shared" si="21"/>
        <v>GUARDIAN</v>
      </c>
    </row>
    <row r="2274" spans="5:8" x14ac:dyDescent="0.25">
      <c r="E2274" t="str">
        <f>""</f>
        <v/>
      </c>
      <c r="F2274" t="str">
        <f>""</f>
        <v/>
      </c>
      <c r="H2274" t="str">
        <f t="shared" si="21"/>
        <v>GUARDIAN</v>
      </c>
    </row>
    <row r="2275" spans="5:8" x14ac:dyDescent="0.25">
      <c r="E2275" t="str">
        <f>""</f>
        <v/>
      </c>
      <c r="F2275" t="str">
        <f>""</f>
        <v/>
      </c>
      <c r="H2275" t="str">
        <f t="shared" si="21"/>
        <v>GUARDIAN</v>
      </c>
    </row>
    <row r="2276" spans="5:8" x14ac:dyDescent="0.25">
      <c r="E2276" t="str">
        <f>""</f>
        <v/>
      </c>
      <c r="F2276" t="str">
        <f>""</f>
        <v/>
      </c>
      <c r="H2276" t="str">
        <f t="shared" si="21"/>
        <v>GUARDIAN</v>
      </c>
    </row>
    <row r="2277" spans="5:8" x14ac:dyDescent="0.25">
      <c r="E2277" t="str">
        <f>""</f>
        <v/>
      </c>
      <c r="F2277" t="str">
        <f>""</f>
        <v/>
      </c>
      <c r="H2277" t="str">
        <f t="shared" si="21"/>
        <v>GUARDIAN</v>
      </c>
    </row>
    <row r="2278" spans="5:8" x14ac:dyDescent="0.25">
      <c r="E2278" t="str">
        <f>""</f>
        <v/>
      </c>
      <c r="F2278" t="str">
        <f>""</f>
        <v/>
      </c>
      <c r="H2278" t="str">
        <f t="shared" si="21"/>
        <v>GUARDIAN</v>
      </c>
    </row>
    <row r="2279" spans="5:8" x14ac:dyDescent="0.25">
      <c r="E2279" t="str">
        <f>""</f>
        <v/>
      </c>
      <c r="F2279" t="str">
        <f>""</f>
        <v/>
      </c>
      <c r="H2279" t="str">
        <f t="shared" si="21"/>
        <v>GUARDIAN</v>
      </c>
    </row>
    <row r="2280" spans="5:8" x14ac:dyDescent="0.25">
      <c r="E2280" t="str">
        <f>"LIA201808082882"</f>
        <v>LIA201808082882</v>
      </c>
      <c r="F2280" t="str">
        <f>"GUARDIAN"</f>
        <v>GUARDIAN</v>
      </c>
      <c r="G2280" s="2">
        <v>25.78</v>
      </c>
      <c r="H2280" t="str">
        <f t="shared" si="21"/>
        <v>GUARDIAN</v>
      </c>
    </row>
    <row r="2281" spans="5:8" x14ac:dyDescent="0.25">
      <c r="E2281" t="str">
        <f>""</f>
        <v/>
      </c>
      <c r="F2281" t="str">
        <f>""</f>
        <v/>
      </c>
      <c r="H2281" t="str">
        <f t="shared" si="21"/>
        <v>GUARDIAN</v>
      </c>
    </row>
    <row r="2282" spans="5:8" x14ac:dyDescent="0.25">
      <c r="E2282" t="str">
        <f>"LIA201808223027"</f>
        <v>LIA201808223027</v>
      </c>
      <c r="F2282" t="str">
        <f>"GUARDIAN"</f>
        <v>GUARDIAN</v>
      </c>
      <c r="G2282" s="2">
        <v>185.14</v>
      </c>
      <c r="H2282" t="str">
        <f t="shared" si="21"/>
        <v>GUARDIAN</v>
      </c>
    </row>
    <row r="2283" spans="5:8" x14ac:dyDescent="0.25">
      <c r="E2283" t="str">
        <f>""</f>
        <v/>
      </c>
      <c r="F2283" t="str">
        <f>""</f>
        <v/>
      </c>
      <c r="H2283" t="str">
        <f t="shared" si="21"/>
        <v>GUARDIAN</v>
      </c>
    </row>
    <row r="2284" spans="5:8" x14ac:dyDescent="0.25">
      <c r="E2284" t="str">
        <f>""</f>
        <v/>
      </c>
      <c r="F2284" t="str">
        <f>""</f>
        <v/>
      </c>
      <c r="H2284" t="str">
        <f t="shared" si="21"/>
        <v>GUARDIAN</v>
      </c>
    </row>
    <row r="2285" spans="5:8" x14ac:dyDescent="0.25">
      <c r="E2285" t="str">
        <f>""</f>
        <v/>
      </c>
      <c r="F2285" t="str">
        <f>""</f>
        <v/>
      </c>
      <c r="H2285" t="str">
        <f t="shared" si="21"/>
        <v>GUARDIAN</v>
      </c>
    </row>
    <row r="2286" spans="5:8" x14ac:dyDescent="0.25">
      <c r="E2286" t="str">
        <f>""</f>
        <v/>
      </c>
      <c r="F2286" t="str">
        <f>""</f>
        <v/>
      </c>
      <c r="H2286" t="str">
        <f t="shared" si="21"/>
        <v>GUARDIAN</v>
      </c>
    </row>
    <row r="2287" spans="5:8" x14ac:dyDescent="0.25">
      <c r="E2287" t="str">
        <f>""</f>
        <v/>
      </c>
      <c r="F2287" t="str">
        <f>""</f>
        <v/>
      </c>
      <c r="H2287" t="str">
        <f t="shared" si="21"/>
        <v>GUARDIAN</v>
      </c>
    </row>
    <row r="2288" spans="5:8" x14ac:dyDescent="0.25">
      <c r="E2288" t="str">
        <f>""</f>
        <v/>
      </c>
      <c r="F2288" t="str">
        <f>""</f>
        <v/>
      </c>
      <c r="H2288" t="str">
        <f t="shared" si="21"/>
        <v>GUARDIAN</v>
      </c>
    </row>
    <row r="2289" spans="5:8" x14ac:dyDescent="0.25">
      <c r="E2289" t="str">
        <f>""</f>
        <v/>
      </c>
      <c r="F2289" t="str">
        <f>""</f>
        <v/>
      </c>
      <c r="H2289" t="str">
        <f t="shared" si="21"/>
        <v>GUARDIAN</v>
      </c>
    </row>
    <row r="2290" spans="5:8" x14ac:dyDescent="0.25">
      <c r="E2290" t="str">
        <f>""</f>
        <v/>
      </c>
      <c r="F2290" t="str">
        <f>""</f>
        <v/>
      </c>
      <c r="H2290" t="str">
        <f t="shared" ref="H2290:H2321" si="22">"GUARDIAN"</f>
        <v>GUARDIAN</v>
      </c>
    </row>
    <row r="2291" spans="5:8" x14ac:dyDescent="0.25">
      <c r="E2291" t="str">
        <f>""</f>
        <v/>
      </c>
      <c r="F2291" t="str">
        <f>""</f>
        <v/>
      </c>
      <c r="H2291" t="str">
        <f t="shared" si="22"/>
        <v>GUARDIAN</v>
      </c>
    </row>
    <row r="2292" spans="5:8" x14ac:dyDescent="0.25">
      <c r="E2292" t="str">
        <f>""</f>
        <v/>
      </c>
      <c r="F2292" t="str">
        <f>""</f>
        <v/>
      </c>
      <c r="H2292" t="str">
        <f t="shared" si="22"/>
        <v>GUARDIAN</v>
      </c>
    </row>
    <row r="2293" spans="5:8" x14ac:dyDescent="0.25">
      <c r="E2293" t="str">
        <f>""</f>
        <v/>
      </c>
      <c r="F2293" t="str">
        <f>""</f>
        <v/>
      </c>
      <c r="H2293" t="str">
        <f t="shared" si="22"/>
        <v>GUARDIAN</v>
      </c>
    </row>
    <row r="2294" spans="5:8" x14ac:dyDescent="0.25">
      <c r="E2294" t="str">
        <f>""</f>
        <v/>
      </c>
      <c r="F2294" t="str">
        <f>""</f>
        <v/>
      </c>
      <c r="H2294" t="str">
        <f t="shared" si="22"/>
        <v>GUARDIAN</v>
      </c>
    </row>
    <row r="2295" spans="5:8" x14ac:dyDescent="0.25">
      <c r="E2295" t="str">
        <f>""</f>
        <v/>
      </c>
      <c r="F2295" t="str">
        <f>""</f>
        <v/>
      </c>
      <c r="H2295" t="str">
        <f t="shared" si="22"/>
        <v>GUARDIAN</v>
      </c>
    </row>
    <row r="2296" spans="5:8" x14ac:dyDescent="0.25">
      <c r="E2296" t="str">
        <f>""</f>
        <v/>
      </c>
      <c r="F2296" t="str">
        <f>""</f>
        <v/>
      </c>
      <c r="H2296" t="str">
        <f t="shared" si="22"/>
        <v>GUARDIAN</v>
      </c>
    </row>
    <row r="2297" spans="5:8" x14ac:dyDescent="0.25">
      <c r="E2297" t="str">
        <f>""</f>
        <v/>
      </c>
      <c r="F2297" t="str">
        <f>""</f>
        <v/>
      </c>
      <c r="H2297" t="str">
        <f t="shared" si="22"/>
        <v>GUARDIAN</v>
      </c>
    </row>
    <row r="2298" spans="5:8" x14ac:dyDescent="0.25">
      <c r="E2298" t="str">
        <f>""</f>
        <v/>
      </c>
      <c r="F2298" t="str">
        <f>""</f>
        <v/>
      </c>
      <c r="H2298" t="str">
        <f t="shared" si="22"/>
        <v>GUARDIAN</v>
      </c>
    </row>
    <row r="2299" spans="5:8" x14ac:dyDescent="0.25">
      <c r="E2299" t="str">
        <f>""</f>
        <v/>
      </c>
      <c r="F2299" t="str">
        <f>""</f>
        <v/>
      </c>
      <c r="H2299" t="str">
        <f t="shared" si="22"/>
        <v>GUARDIAN</v>
      </c>
    </row>
    <row r="2300" spans="5:8" x14ac:dyDescent="0.25">
      <c r="E2300" t="str">
        <f>""</f>
        <v/>
      </c>
      <c r="F2300" t="str">
        <f>""</f>
        <v/>
      </c>
      <c r="H2300" t="str">
        <f t="shared" si="22"/>
        <v>GUARDIAN</v>
      </c>
    </row>
    <row r="2301" spans="5:8" x14ac:dyDescent="0.25">
      <c r="E2301" t="str">
        <f>""</f>
        <v/>
      </c>
      <c r="F2301" t="str">
        <f>""</f>
        <v/>
      </c>
      <c r="H2301" t="str">
        <f t="shared" si="22"/>
        <v>GUARDIAN</v>
      </c>
    </row>
    <row r="2302" spans="5:8" x14ac:dyDescent="0.25">
      <c r="E2302" t="str">
        <f>""</f>
        <v/>
      </c>
      <c r="F2302" t="str">
        <f>""</f>
        <v/>
      </c>
      <c r="H2302" t="str">
        <f t="shared" si="22"/>
        <v>GUARDIAN</v>
      </c>
    </row>
    <row r="2303" spans="5:8" x14ac:dyDescent="0.25">
      <c r="E2303" t="str">
        <f>""</f>
        <v/>
      </c>
      <c r="F2303" t="str">
        <f>""</f>
        <v/>
      </c>
      <c r="H2303" t="str">
        <f t="shared" si="22"/>
        <v>GUARDIAN</v>
      </c>
    </row>
    <row r="2304" spans="5:8" x14ac:dyDescent="0.25">
      <c r="E2304" t="str">
        <f>"LIA201808223028"</f>
        <v>LIA201808223028</v>
      </c>
      <c r="F2304" t="str">
        <f>"GUARDIAN"</f>
        <v>GUARDIAN</v>
      </c>
      <c r="G2304" s="2">
        <v>25.78</v>
      </c>
      <c r="H2304" t="str">
        <f t="shared" si="22"/>
        <v>GUARDIAN</v>
      </c>
    </row>
    <row r="2305" spans="5:8" x14ac:dyDescent="0.25">
      <c r="E2305" t="str">
        <f>""</f>
        <v/>
      </c>
      <c r="F2305" t="str">
        <f>""</f>
        <v/>
      </c>
      <c r="H2305" t="str">
        <f t="shared" si="22"/>
        <v>GUARDIAN</v>
      </c>
    </row>
    <row r="2306" spans="5:8" x14ac:dyDescent="0.25">
      <c r="E2306" t="str">
        <f>"LIC201808082881"</f>
        <v>LIC201808082881</v>
      </c>
      <c r="F2306" t="str">
        <f>"GUARDIAN"</f>
        <v>GUARDIAN</v>
      </c>
      <c r="G2306" s="2">
        <v>33.200000000000003</v>
      </c>
      <c r="H2306" t="str">
        <f t="shared" si="22"/>
        <v>GUARDIAN</v>
      </c>
    </row>
    <row r="2307" spans="5:8" x14ac:dyDescent="0.25">
      <c r="E2307" t="str">
        <f>"LIC201808082882"</f>
        <v>LIC201808082882</v>
      </c>
      <c r="F2307" t="str">
        <f>"GUARDIAN"</f>
        <v>GUARDIAN</v>
      </c>
      <c r="G2307" s="2">
        <v>1.05</v>
      </c>
      <c r="H2307" t="str">
        <f t="shared" si="22"/>
        <v>GUARDIAN</v>
      </c>
    </row>
    <row r="2308" spans="5:8" x14ac:dyDescent="0.25">
      <c r="E2308" t="str">
        <f>"LIC201808223027"</f>
        <v>LIC201808223027</v>
      </c>
      <c r="F2308" t="str">
        <f>"GUARDIAN"</f>
        <v>GUARDIAN</v>
      </c>
      <c r="G2308" s="2">
        <v>33.200000000000003</v>
      </c>
      <c r="H2308" t="str">
        <f t="shared" si="22"/>
        <v>GUARDIAN</v>
      </c>
    </row>
    <row r="2309" spans="5:8" x14ac:dyDescent="0.25">
      <c r="E2309" t="str">
        <f>"LIC201808223028"</f>
        <v>LIC201808223028</v>
      </c>
      <c r="F2309" t="str">
        <f>"GUARDIAN"</f>
        <v>GUARDIAN</v>
      </c>
      <c r="G2309" s="2">
        <v>1.05</v>
      </c>
      <c r="H2309" t="str">
        <f t="shared" si="22"/>
        <v>GUARDIAN</v>
      </c>
    </row>
    <row r="2310" spans="5:8" x14ac:dyDescent="0.25">
      <c r="E2310" t="str">
        <f>"LIE201808082881"</f>
        <v>LIE201808082881</v>
      </c>
      <c r="F2310" t="str">
        <f>"GUARDIAN"</f>
        <v>GUARDIAN</v>
      </c>
      <c r="G2310" s="2">
        <v>3216.2</v>
      </c>
      <c r="H2310" t="str">
        <f t="shared" si="22"/>
        <v>GUARDIAN</v>
      </c>
    </row>
    <row r="2311" spans="5:8" x14ac:dyDescent="0.25">
      <c r="E2311" t="str">
        <f>""</f>
        <v/>
      </c>
      <c r="F2311" t="str">
        <f>""</f>
        <v/>
      </c>
      <c r="H2311" t="str">
        <f t="shared" si="22"/>
        <v>GUARDIAN</v>
      </c>
    </row>
    <row r="2312" spans="5:8" x14ac:dyDescent="0.25">
      <c r="E2312" t="str">
        <f>""</f>
        <v/>
      </c>
      <c r="F2312" t="str">
        <f>""</f>
        <v/>
      </c>
      <c r="H2312" t="str">
        <f t="shared" si="22"/>
        <v>GUARDIAN</v>
      </c>
    </row>
    <row r="2313" spans="5:8" x14ac:dyDescent="0.25">
      <c r="E2313" t="str">
        <f>""</f>
        <v/>
      </c>
      <c r="F2313" t="str">
        <f>""</f>
        <v/>
      </c>
      <c r="H2313" t="str">
        <f t="shared" si="22"/>
        <v>GUARDIAN</v>
      </c>
    </row>
    <row r="2314" spans="5:8" x14ac:dyDescent="0.25">
      <c r="E2314" t="str">
        <f>""</f>
        <v/>
      </c>
      <c r="F2314" t="str">
        <f>""</f>
        <v/>
      </c>
      <c r="H2314" t="str">
        <f t="shared" si="22"/>
        <v>GUARDIAN</v>
      </c>
    </row>
    <row r="2315" spans="5:8" x14ac:dyDescent="0.25">
      <c r="E2315" t="str">
        <f>""</f>
        <v/>
      </c>
      <c r="F2315" t="str">
        <f>""</f>
        <v/>
      </c>
      <c r="H2315" t="str">
        <f t="shared" si="22"/>
        <v>GUARDIAN</v>
      </c>
    </row>
    <row r="2316" spans="5:8" x14ac:dyDescent="0.25">
      <c r="E2316" t="str">
        <f>""</f>
        <v/>
      </c>
      <c r="F2316" t="str">
        <f>""</f>
        <v/>
      </c>
      <c r="H2316" t="str">
        <f t="shared" si="22"/>
        <v>GUARDIAN</v>
      </c>
    </row>
    <row r="2317" spans="5:8" x14ac:dyDescent="0.25">
      <c r="E2317" t="str">
        <f>""</f>
        <v/>
      </c>
      <c r="F2317" t="str">
        <f>""</f>
        <v/>
      </c>
      <c r="H2317" t="str">
        <f t="shared" si="22"/>
        <v>GUARDIAN</v>
      </c>
    </row>
    <row r="2318" spans="5:8" x14ac:dyDescent="0.25">
      <c r="E2318" t="str">
        <f>""</f>
        <v/>
      </c>
      <c r="F2318" t="str">
        <f>""</f>
        <v/>
      </c>
      <c r="H2318" t="str">
        <f t="shared" si="22"/>
        <v>GUARDIAN</v>
      </c>
    </row>
    <row r="2319" spans="5:8" x14ac:dyDescent="0.25">
      <c r="E2319" t="str">
        <f>""</f>
        <v/>
      </c>
      <c r="F2319" t="str">
        <f>""</f>
        <v/>
      </c>
      <c r="H2319" t="str">
        <f t="shared" si="22"/>
        <v>GUARDIAN</v>
      </c>
    </row>
    <row r="2320" spans="5:8" x14ac:dyDescent="0.25">
      <c r="E2320" t="str">
        <f>""</f>
        <v/>
      </c>
      <c r="F2320" t="str">
        <f>""</f>
        <v/>
      </c>
      <c r="H2320" t="str">
        <f t="shared" si="22"/>
        <v>GUARDIAN</v>
      </c>
    </row>
    <row r="2321" spans="5:8" x14ac:dyDescent="0.25">
      <c r="E2321" t="str">
        <f>""</f>
        <v/>
      </c>
      <c r="F2321" t="str">
        <f>""</f>
        <v/>
      </c>
      <c r="H2321" t="str">
        <f t="shared" si="22"/>
        <v>GUARDIAN</v>
      </c>
    </row>
    <row r="2322" spans="5:8" x14ac:dyDescent="0.25">
      <c r="E2322" t="str">
        <f>""</f>
        <v/>
      </c>
      <c r="F2322" t="str">
        <f>""</f>
        <v/>
      </c>
      <c r="H2322" t="str">
        <f t="shared" ref="H2322:H2353" si="23">"GUARDIAN"</f>
        <v>GUARDIAN</v>
      </c>
    </row>
    <row r="2323" spans="5:8" x14ac:dyDescent="0.25">
      <c r="E2323" t="str">
        <f>""</f>
        <v/>
      </c>
      <c r="F2323" t="str">
        <f>""</f>
        <v/>
      </c>
      <c r="H2323" t="str">
        <f t="shared" si="23"/>
        <v>GUARDIAN</v>
      </c>
    </row>
    <row r="2324" spans="5:8" x14ac:dyDescent="0.25">
      <c r="E2324" t="str">
        <f>""</f>
        <v/>
      </c>
      <c r="F2324" t="str">
        <f>""</f>
        <v/>
      </c>
      <c r="H2324" t="str">
        <f t="shared" si="23"/>
        <v>GUARDIAN</v>
      </c>
    </row>
    <row r="2325" spans="5:8" x14ac:dyDescent="0.25">
      <c r="E2325" t="str">
        <f>""</f>
        <v/>
      </c>
      <c r="F2325" t="str">
        <f>""</f>
        <v/>
      </c>
      <c r="H2325" t="str">
        <f t="shared" si="23"/>
        <v>GUARDIAN</v>
      </c>
    </row>
    <row r="2326" spans="5:8" x14ac:dyDescent="0.25">
      <c r="E2326" t="str">
        <f>""</f>
        <v/>
      </c>
      <c r="F2326" t="str">
        <f>""</f>
        <v/>
      </c>
      <c r="H2326" t="str">
        <f t="shared" si="23"/>
        <v>GUARDIAN</v>
      </c>
    </row>
    <row r="2327" spans="5:8" x14ac:dyDescent="0.25">
      <c r="E2327" t="str">
        <f>""</f>
        <v/>
      </c>
      <c r="F2327" t="str">
        <f>""</f>
        <v/>
      </c>
      <c r="H2327" t="str">
        <f t="shared" si="23"/>
        <v>GUARDIAN</v>
      </c>
    </row>
    <row r="2328" spans="5:8" x14ac:dyDescent="0.25">
      <c r="E2328" t="str">
        <f>""</f>
        <v/>
      </c>
      <c r="F2328" t="str">
        <f>""</f>
        <v/>
      </c>
      <c r="H2328" t="str">
        <f t="shared" si="23"/>
        <v>GUARDIAN</v>
      </c>
    </row>
    <row r="2329" spans="5:8" x14ac:dyDescent="0.25">
      <c r="E2329" t="str">
        <f>""</f>
        <v/>
      </c>
      <c r="F2329" t="str">
        <f>""</f>
        <v/>
      </c>
      <c r="H2329" t="str">
        <f t="shared" si="23"/>
        <v>GUARDIAN</v>
      </c>
    </row>
    <row r="2330" spans="5:8" x14ac:dyDescent="0.25">
      <c r="E2330" t="str">
        <f>""</f>
        <v/>
      </c>
      <c r="F2330" t="str">
        <f>""</f>
        <v/>
      </c>
      <c r="H2330" t="str">
        <f t="shared" si="23"/>
        <v>GUARDIAN</v>
      </c>
    </row>
    <row r="2331" spans="5:8" x14ac:dyDescent="0.25">
      <c r="E2331" t="str">
        <f>""</f>
        <v/>
      </c>
      <c r="F2331" t="str">
        <f>""</f>
        <v/>
      </c>
      <c r="H2331" t="str">
        <f t="shared" si="23"/>
        <v>GUARDIAN</v>
      </c>
    </row>
    <row r="2332" spans="5:8" x14ac:dyDescent="0.25">
      <c r="E2332" t="str">
        <f>""</f>
        <v/>
      </c>
      <c r="F2332" t="str">
        <f>""</f>
        <v/>
      </c>
      <c r="H2332" t="str">
        <f t="shared" si="23"/>
        <v>GUARDIAN</v>
      </c>
    </row>
    <row r="2333" spans="5:8" x14ac:dyDescent="0.25">
      <c r="E2333" t="str">
        <f>""</f>
        <v/>
      </c>
      <c r="F2333" t="str">
        <f>""</f>
        <v/>
      </c>
      <c r="H2333" t="str">
        <f t="shared" si="23"/>
        <v>GUARDIAN</v>
      </c>
    </row>
    <row r="2334" spans="5:8" x14ac:dyDescent="0.25">
      <c r="E2334" t="str">
        <f>""</f>
        <v/>
      </c>
      <c r="F2334" t="str">
        <f>""</f>
        <v/>
      </c>
      <c r="H2334" t="str">
        <f t="shared" si="23"/>
        <v>GUARDIAN</v>
      </c>
    </row>
    <row r="2335" spans="5:8" x14ac:dyDescent="0.25">
      <c r="E2335" t="str">
        <f>""</f>
        <v/>
      </c>
      <c r="F2335" t="str">
        <f>""</f>
        <v/>
      </c>
      <c r="H2335" t="str">
        <f t="shared" si="23"/>
        <v>GUARDIAN</v>
      </c>
    </row>
    <row r="2336" spans="5:8" x14ac:dyDescent="0.25">
      <c r="E2336" t="str">
        <f>""</f>
        <v/>
      </c>
      <c r="F2336" t="str">
        <f>""</f>
        <v/>
      </c>
      <c r="H2336" t="str">
        <f t="shared" si="23"/>
        <v>GUARDIAN</v>
      </c>
    </row>
    <row r="2337" spans="5:8" x14ac:dyDescent="0.25">
      <c r="E2337" t="str">
        <f>""</f>
        <v/>
      </c>
      <c r="F2337" t="str">
        <f>""</f>
        <v/>
      </c>
      <c r="H2337" t="str">
        <f t="shared" si="23"/>
        <v>GUARDIAN</v>
      </c>
    </row>
    <row r="2338" spans="5:8" x14ac:dyDescent="0.25">
      <c r="E2338" t="str">
        <f>""</f>
        <v/>
      </c>
      <c r="F2338" t="str">
        <f>""</f>
        <v/>
      </c>
      <c r="H2338" t="str">
        <f t="shared" si="23"/>
        <v>GUARDIAN</v>
      </c>
    </row>
    <row r="2339" spans="5:8" x14ac:dyDescent="0.25">
      <c r="E2339" t="str">
        <f>""</f>
        <v/>
      </c>
      <c r="F2339" t="str">
        <f>""</f>
        <v/>
      </c>
      <c r="H2339" t="str">
        <f t="shared" si="23"/>
        <v>GUARDIAN</v>
      </c>
    </row>
    <row r="2340" spans="5:8" x14ac:dyDescent="0.25">
      <c r="E2340" t="str">
        <f>""</f>
        <v/>
      </c>
      <c r="F2340" t="str">
        <f>""</f>
        <v/>
      </c>
      <c r="H2340" t="str">
        <f t="shared" si="23"/>
        <v>GUARDIAN</v>
      </c>
    </row>
    <row r="2341" spans="5:8" x14ac:dyDescent="0.25">
      <c r="E2341" t="str">
        <f>""</f>
        <v/>
      </c>
      <c r="F2341" t="str">
        <f>""</f>
        <v/>
      </c>
      <c r="H2341" t="str">
        <f t="shared" si="23"/>
        <v>GUARDIAN</v>
      </c>
    </row>
    <row r="2342" spans="5:8" x14ac:dyDescent="0.25">
      <c r="E2342" t="str">
        <f>""</f>
        <v/>
      </c>
      <c r="F2342" t="str">
        <f>""</f>
        <v/>
      </c>
      <c r="H2342" t="str">
        <f t="shared" si="23"/>
        <v>GUARDIAN</v>
      </c>
    </row>
    <row r="2343" spans="5:8" x14ac:dyDescent="0.25">
      <c r="E2343" t="str">
        <f>""</f>
        <v/>
      </c>
      <c r="F2343" t="str">
        <f>""</f>
        <v/>
      </c>
      <c r="H2343" t="str">
        <f t="shared" si="23"/>
        <v>GUARDIAN</v>
      </c>
    </row>
    <row r="2344" spans="5:8" x14ac:dyDescent="0.25">
      <c r="E2344" t="str">
        <f>""</f>
        <v/>
      </c>
      <c r="F2344" t="str">
        <f>""</f>
        <v/>
      </c>
      <c r="H2344" t="str">
        <f t="shared" si="23"/>
        <v>GUARDIAN</v>
      </c>
    </row>
    <row r="2345" spans="5:8" x14ac:dyDescent="0.25">
      <c r="E2345" t="str">
        <f>""</f>
        <v/>
      </c>
      <c r="F2345" t="str">
        <f>""</f>
        <v/>
      </c>
      <c r="H2345" t="str">
        <f t="shared" si="23"/>
        <v>GUARDIAN</v>
      </c>
    </row>
    <row r="2346" spans="5:8" x14ac:dyDescent="0.25">
      <c r="E2346" t="str">
        <f>""</f>
        <v/>
      </c>
      <c r="F2346" t="str">
        <f>""</f>
        <v/>
      </c>
      <c r="H2346" t="str">
        <f t="shared" si="23"/>
        <v>GUARDIAN</v>
      </c>
    </row>
    <row r="2347" spans="5:8" x14ac:dyDescent="0.25">
      <c r="E2347" t="str">
        <f>""</f>
        <v/>
      </c>
      <c r="F2347" t="str">
        <f>""</f>
        <v/>
      </c>
      <c r="H2347" t="str">
        <f t="shared" si="23"/>
        <v>GUARDIAN</v>
      </c>
    </row>
    <row r="2348" spans="5:8" x14ac:dyDescent="0.25">
      <c r="E2348" t="str">
        <f>""</f>
        <v/>
      </c>
      <c r="F2348" t="str">
        <f>""</f>
        <v/>
      </c>
      <c r="H2348" t="str">
        <f t="shared" si="23"/>
        <v>GUARDIAN</v>
      </c>
    </row>
    <row r="2349" spans="5:8" x14ac:dyDescent="0.25">
      <c r="E2349" t="str">
        <f>""</f>
        <v/>
      </c>
      <c r="F2349" t="str">
        <f>""</f>
        <v/>
      </c>
      <c r="H2349" t="str">
        <f t="shared" si="23"/>
        <v>GUARDIAN</v>
      </c>
    </row>
    <row r="2350" spans="5:8" x14ac:dyDescent="0.25">
      <c r="E2350" t="str">
        <f>""</f>
        <v/>
      </c>
      <c r="F2350" t="str">
        <f>""</f>
        <v/>
      </c>
      <c r="H2350" t="str">
        <f t="shared" si="23"/>
        <v>GUARDIAN</v>
      </c>
    </row>
    <row r="2351" spans="5:8" x14ac:dyDescent="0.25">
      <c r="E2351" t="str">
        <f>""</f>
        <v/>
      </c>
      <c r="F2351" t="str">
        <f>""</f>
        <v/>
      </c>
      <c r="H2351" t="str">
        <f t="shared" si="23"/>
        <v>GUARDIAN</v>
      </c>
    </row>
    <row r="2352" spans="5:8" x14ac:dyDescent="0.25">
      <c r="E2352" t="str">
        <f>""</f>
        <v/>
      </c>
      <c r="F2352" t="str">
        <f>""</f>
        <v/>
      </c>
      <c r="H2352" t="str">
        <f t="shared" si="23"/>
        <v>GUARDIAN</v>
      </c>
    </row>
    <row r="2353" spans="5:8" x14ac:dyDescent="0.25">
      <c r="E2353" t="str">
        <f>""</f>
        <v/>
      </c>
      <c r="F2353" t="str">
        <f>""</f>
        <v/>
      </c>
      <c r="H2353" t="str">
        <f t="shared" si="23"/>
        <v>GUARDIAN</v>
      </c>
    </row>
    <row r="2354" spans="5:8" x14ac:dyDescent="0.25">
      <c r="E2354" t="str">
        <f>""</f>
        <v/>
      </c>
      <c r="F2354" t="str">
        <f>""</f>
        <v/>
      </c>
      <c r="H2354" t="str">
        <f t="shared" ref="H2354:H2385" si="24">"GUARDIAN"</f>
        <v>GUARDIAN</v>
      </c>
    </row>
    <row r="2355" spans="5:8" x14ac:dyDescent="0.25">
      <c r="E2355" t="str">
        <f>""</f>
        <v/>
      </c>
      <c r="F2355" t="str">
        <f>""</f>
        <v/>
      </c>
      <c r="H2355" t="str">
        <f t="shared" si="24"/>
        <v>GUARDIAN</v>
      </c>
    </row>
    <row r="2356" spans="5:8" x14ac:dyDescent="0.25">
      <c r="E2356" t="str">
        <f>""</f>
        <v/>
      </c>
      <c r="F2356" t="str">
        <f>""</f>
        <v/>
      </c>
      <c r="H2356" t="str">
        <f t="shared" si="24"/>
        <v>GUARDIAN</v>
      </c>
    </row>
    <row r="2357" spans="5:8" x14ac:dyDescent="0.25">
      <c r="E2357" t="str">
        <f>""</f>
        <v/>
      </c>
      <c r="F2357" t="str">
        <f>""</f>
        <v/>
      </c>
      <c r="H2357" t="str">
        <f t="shared" si="24"/>
        <v>GUARDIAN</v>
      </c>
    </row>
    <row r="2358" spans="5:8" x14ac:dyDescent="0.25">
      <c r="E2358" t="str">
        <f>""</f>
        <v/>
      </c>
      <c r="F2358" t="str">
        <f>""</f>
        <v/>
      </c>
      <c r="H2358" t="str">
        <f t="shared" si="24"/>
        <v>GUARDIAN</v>
      </c>
    </row>
    <row r="2359" spans="5:8" x14ac:dyDescent="0.25">
      <c r="E2359" t="str">
        <f>"LIE201808082882"</f>
        <v>LIE201808082882</v>
      </c>
      <c r="F2359" t="str">
        <f>"GUARDIAN"</f>
        <v>GUARDIAN</v>
      </c>
      <c r="G2359" s="2">
        <v>95.5</v>
      </c>
      <c r="H2359" t="str">
        <f t="shared" si="24"/>
        <v>GUARDIAN</v>
      </c>
    </row>
    <row r="2360" spans="5:8" x14ac:dyDescent="0.25">
      <c r="E2360" t="str">
        <f>""</f>
        <v/>
      </c>
      <c r="F2360" t="str">
        <f>""</f>
        <v/>
      </c>
      <c r="H2360" t="str">
        <f t="shared" si="24"/>
        <v>GUARDIAN</v>
      </c>
    </row>
    <row r="2361" spans="5:8" x14ac:dyDescent="0.25">
      <c r="E2361" t="str">
        <f>"LIE201808223027"</f>
        <v>LIE201808223027</v>
      </c>
      <c r="F2361" t="str">
        <f>"GUARDIAN"</f>
        <v>GUARDIAN</v>
      </c>
      <c r="G2361" s="2">
        <v>3195.8</v>
      </c>
      <c r="H2361" t="str">
        <f t="shared" si="24"/>
        <v>GUARDIAN</v>
      </c>
    </row>
    <row r="2362" spans="5:8" x14ac:dyDescent="0.25">
      <c r="E2362" t="str">
        <f>""</f>
        <v/>
      </c>
      <c r="F2362" t="str">
        <f>""</f>
        <v/>
      </c>
      <c r="H2362" t="str">
        <f t="shared" si="24"/>
        <v>GUARDIAN</v>
      </c>
    </row>
    <row r="2363" spans="5:8" x14ac:dyDescent="0.25">
      <c r="E2363" t="str">
        <f>""</f>
        <v/>
      </c>
      <c r="F2363" t="str">
        <f>""</f>
        <v/>
      </c>
      <c r="H2363" t="str">
        <f t="shared" si="24"/>
        <v>GUARDIAN</v>
      </c>
    </row>
    <row r="2364" spans="5:8" x14ac:dyDescent="0.25">
      <c r="E2364" t="str">
        <f>""</f>
        <v/>
      </c>
      <c r="F2364" t="str">
        <f>""</f>
        <v/>
      </c>
      <c r="H2364" t="str">
        <f t="shared" si="24"/>
        <v>GUARDIAN</v>
      </c>
    </row>
    <row r="2365" spans="5:8" x14ac:dyDescent="0.25">
      <c r="E2365" t="str">
        <f>""</f>
        <v/>
      </c>
      <c r="F2365" t="str">
        <f>""</f>
        <v/>
      </c>
      <c r="H2365" t="str">
        <f t="shared" si="24"/>
        <v>GUARDIAN</v>
      </c>
    </row>
    <row r="2366" spans="5:8" x14ac:dyDescent="0.25">
      <c r="E2366" t="str">
        <f>""</f>
        <v/>
      </c>
      <c r="F2366" t="str">
        <f>""</f>
        <v/>
      </c>
      <c r="H2366" t="str">
        <f t="shared" si="24"/>
        <v>GUARDIAN</v>
      </c>
    </row>
    <row r="2367" spans="5:8" x14ac:dyDescent="0.25">
      <c r="E2367" t="str">
        <f>""</f>
        <v/>
      </c>
      <c r="F2367" t="str">
        <f>""</f>
        <v/>
      </c>
      <c r="H2367" t="str">
        <f t="shared" si="24"/>
        <v>GUARDIAN</v>
      </c>
    </row>
    <row r="2368" spans="5:8" x14ac:dyDescent="0.25">
      <c r="E2368" t="str">
        <f>""</f>
        <v/>
      </c>
      <c r="F2368" t="str">
        <f>""</f>
        <v/>
      </c>
      <c r="H2368" t="str">
        <f t="shared" si="24"/>
        <v>GUARDIAN</v>
      </c>
    </row>
    <row r="2369" spans="5:8" x14ac:dyDescent="0.25">
      <c r="E2369" t="str">
        <f>""</f>
        <v/>
      </c>
      <c r="F2369" t="str">
        <f>""</f>
        <v/>
      </c>
      <c r="H2369" t="str">
        <f t="shared" si="24"/>
        <v>GUARDIAN</v>
      </c>
    </row>
    <row r="2370" spans="5:8" x14ac:dyDescent="0.25">
      <c r="E2370" t="str">
        <f>""</f>
        <v/>
      </c>
      <c r="F2370" t="str">
        <f>""</f>
        <v/>
      </c>
      <c r="H2370" t="str">
        <f t="shared" si="24"/>
        <v>GUARDIAN</v>
      </c>
    </row>
    <row r="2371" spans="5:8" x14ac:dyDescent="0.25">
      <c r="E2371" t="str">
        <f>""</f>
        <v/>
      </c>
      <c r="F2371" t="str">
        <f>""</f>
        <v/>
      </c>
      <c r="H2371" t="str">
        <f t="shared" si="24"/>
        <v>GUARDIAN</v>
      </c>
    </row>
    <row r="2372" spans="5:8" x14ac:dyDescent="0.25">
      <c r="E2372" t="str">
        <f>""</f>
        <v/>
      </c>
      <c r="F2372" t="str">
        <f>""</f>
        <v/>
      </c>
      <c r="H2372" t="str">
        <f t="shared" si="24"/>
        <v>GUARDIAN</v>
      </c>
    </row>
    <row r="2373" spans="5:8" x14ac:dyDescent="0.25">
      <c r="E2373" t="str">
        <f>""</f>
        <v/>
      </c>
      <c r="F2373" t="str">
        <f>""</f>
        <v/>
      </c>
      <c r="H2373" t="str">
        <f t="shared" si="24"/>
        <v>GUARDIAN</v>
      </c>
    </row>
    <row r="2374" spans="5:8" x14ac:dyDescent="0.25">
      <c r="E2374" t="str">
        <f>""</f>
        <v/>
      </c>
      <c r="F2374" t="str">
        <f>""</f>
        <v/>
      </c>
      <c r="H2374" t="str">
        <f t="shared" si="24"/>
        <v>GUARDIAN</v>
      </c>
    </row>
    <row r="2375" spans="5:8" x14ac:dyDescent="0.25">
      <c r="E2375" t="str">
        <f>""</f>
        <v/>
      </c>
      <c r="F2375" t="str">
        <f>""</f>
        <v/>
      </c>
      <c r="H2375" t="str">
        <f t="shared" si="24"/>
        <v>GUARDIAN</v>
      </c>
    </row>
    <row r="2376" spans="5:8" x14ac:dyDescent="0.25">
      <c r="E2376" t="str">
        <f>""</f>
        <v/>
      </c>
      <c r="F2376" t="str">
        <f>""</f>
        <v/>
      </c>
      <c r="H2376" t="str">
        <f t="shared" si="24"/>
        <v>GUARDIAN</v>
      </c>
    </row>
    <row r="2377" spans="5:8" x14ac:dyDescent="0.25">
      <c r="E2377" t="str">
        <f>""</f>
        <v/>
      </c>
      <c r="F2377" t="str">
        <f>""</f>
        <v/>
      </c>
      <c r="H2377" t="str">
        <f t="shared" si="24"/>
        <v>GUARDIAN</v>
      </c>
    </row>
    <row r="2378" spans="5:8" x14ac:dyDescent="0.25">
      <c r="E2378" t="str">
        <f>""</f>
        <v/>
      </c>
      <c r="F2378" t="str">
        <f>""</f>
        <v/>
      </c>
      <c r="H2378" t="str">
        <f t="shared" si="24"/>
        <v>GUARDIAN</v>
      </c>
    </row>
    <row r="2379" spans="5:8" x14ac:dyDescent="0.25">
      <c r="E2379" t="str">
        <f>""</f>
        <v/>
      </c>
      <c r="F2379" t="str">
        <f>""</f>
        <v/>
      </c>
      <c r="H2379" t="str">
        <f t="shared" si="24"/>
        <v>GUARDIAN</v>
      </c>
    </row>
    <row r="2380" spans="5:8" x14ac:dyDescent="0.25">
      <c r="E2380" t="str">
        <f>""</f>
        <v/>
      </c>
      <c r="F2380" t="str">
        <f>""</f>
        <v/>
      </c>
      <c r="H2380" t="str">
        <f t="shared" si="24"/>
        <v>GUARDIAN</v>
      </c>
    </row>
    <row r="2381" spans="5:8" x14ac:dyDescent="0.25">
      <c r="E2381" t="str">
        <f>""</f>
        <v/>
      </c>
      <c r="F2381" t="str">
        <f>""</f>
        <v/>
      </c>
      <c r="H2381" t="str">
        <f t="shared" si="24"/>
        <v>GUARDIAN</v>
      </c>
    </row>
    <row r="2382" spans="5:8" x14ac:dyDescent="0.25">
      <c r="E2382" t="str">
        <f>""</f>
        <v/>
      </c>
      <c r="F2382" t="str">
        <f>""</f>
        <v/>
      </c>
      <c r="H2382" t="str">
        <f t="shared" si="24"/>
        <v>GUARDIAN</v>
      </c>
    </row>
    <row r="2383" spans="5:8" x14ac:dyDescent="0.25">
      <c r="E2383" t="str">
        <f>""</f>
        <v/>
      </c>
      <c r="F2383" t="str">
        <f>""</f>
        <v/>
      </c>
      <c r="H2383" t="str">
        <f t="shared" si="24"/>
        <v>GUARDIAN</v>
      </c>
    </row>
    <row r="2384" spans="5:8" x14ac:dyDescent="0.25">
      <c r="E2384" t="str">
        <f>""</f>
        <v/>
      </c>
      <c r="F2384" t="str">
        <f>""</f>
        <v/>
      </c>
      <c r="H2384" t="str">
        <f t="shared" si="24"/>
        <v>GUARDIAN</v>
      </c>
    </row>
    <row r="2385" spans="5:8" x14ac:dyDescent="0.25">
      <c r="E2385" t="str">
        <f>""</f>
        <v/>
      </c>
      <c r="F2385" t="str">
        <f>""</f>
        <v/>
      </c>
      <c r="H2385" t="str">
        <f t="shared" si="24"/>
        <v>GUARDIAN</v>
      </c>
    </row>
    <row r="2386" spans="5:8" x14ac:dyDescent="0.25">
      <c r="E2386" t="str">
        <f>""</f>
        <v/>
      </c>
      <c r="F2386" t="str">
        <f>""</f>
        <v/>
      </c>
      <c r="H2386" t="str">
        <f t="shared" ref="H2386:H2421" si="25">"GUARDIAN"</f>
        <v>GUARDIAN</v>
      </c>
    </row>
    <row r="2387" spans="5:8" x14ac:dyDescent="0.25">
      <c r="E2387" t="str">
        <f>""</f>
        <v/>
      </c>
      <c r="F2387" t="str">
        <f>""</f>
        <v/>
      </c>
      <c r="H2387" t="str">
        <f t="shared" si="25"/>
        <v>GUARDIAN</v>
      </c>
    </row>
    <row r="2388" spans="5:8" x14ac:dyDescent="0.25">
      <c r="E2388" t="str">
        <f>""</f>
        <v/>
      </c>
      <c r="F2388" t="str">
        <f>""</f>
        <v/>
      </c>
      <c r="H2388" t="str">
        <f t="shared" si="25"/>
        <v>GUARDIAN</v>
      </c>
    </row>
    <row r="2389" spans="5:8" x14ac:dyDescent="0.25">
      <c r="E2389" t="str">
        <f>""</f>
        <v/>
      </c>
      <c r="F2389" t="str">
        <f>""</f>
        <v/>
      </c>
      <c r="H2389" t="str">
        <f t="shared" si="25"/>
        <v>GUARDIAN</v>
      </c>
    </row>
    <row r="2390" spans="5:8" x14ac:dyDescent="0.25">
      <c r="E2390" t="str">
        <f>""</f>
        <v/>
      </c>
      <c r="F2390" t="str">
        <f>""</f>
        <v/>
      </c>
      <c r="H2390" t="str">
        <f t="shared" si="25"/>
        <v>GUARDIAN</v>
      </c>
    </row>
    <row r="2391" spans="5:8" x14ac:dyDescent="0.25">
      <c r="E2391" t="str">
        <f>""</f>
        <v/>
      </c>
      <c r="F2391" t="str">
        <f>""</f>
        <v/>
      </c>
      <c r="H2391" t="str">
        <f t="shared" si="25"/>
        <v>GUARDIAN</v>
      </c>
    </row>
    <row r="2392" spans="5:8" x14ac:dyDescent="0.25">
      <c r="E2392" t="str">
        <f>""</f>
        <v/>
      </c>
      <c r="F2392" t="str">
        <f>""</f>
        <v/>
      </c>
      <c r="H2392" t="str">
        <f t="shared" si="25"/>
        <v>GUARDIAN</v>
      </c>
    </row>
    <row r="2393" spans="5:8" x14ac:dyDescent="0.25">
      <c r="E2393" t="str">
        <f>""</f>
        <v/>
      </c>
      <c r="F2393" t="str">
        <f>""</f>
        <v/>
      </c>
      <c r="H2393" t="str">
        <f t="shared" si="25"/>
        <v>GUARDIAN</v>
      </c>
    </row>
    <row r="2394" spans="5:8" x14ac:dyDescent="0.25">
      <c r="E2394" t="str">
        <f>""</f>
        <v/>
      </c>
      <c r="F2394" t="str">
        <f>""</f>
        <v/>
      </c>
      <c r="H2394" t="str">
        <f t="shared" si="25"/>
        <v>GUARDIAN</v>
      </c>
    </row>
    <row r="2395" spans="5:8" x14ac:dyDescent="0.25">
      <c r="E2395" t="str">
        <f>""</f>
        <v/>
      </c>
      <c r="F2395" t="str">
        <f>""</f>
        <v/>
      </c>
      <c r="H2395" t="str">
        <f t="shared" si="25"/>
        <v>GUARDIAN</v>
      </c>
    </row>
    <row r="2396" spans="5:8" x14ac:dyDescent="0.25">
      <c r="E2396" t="str">
        <f>""</f>
        <v/>
      </c>
      <c r="F2396" t="str">
        <f>""</f>
        <v/>
      </c>
      <c r="H2396" t="str">
        <f t="shared" si="25"/>
        <v>GUARDIAN</v>
      </c>
    </row>
    <row r="2397" spans="5:8" x14ac:dyDescent="0.25">
      <c r="E2397" t="str">
        <f>""</f>
        <v/>
      </c>
      <c r="F2397" t="str">
        <f>""</f>
        <v/>
      </c>
      <c r="H2397" t="str">
        <f t="shared" si="25"/>
        <v>GUARDIAN</v>
      </c>
    </row>
    <row r="2398" spans="5:8" x14ac:dyDescent="0.25">
      <c r="E2398" t="str">
        <f>""</f>
        <v/>
      </c>
      <c r="F2398" t="str">
        <f>""</f>
        <v/>
      </c>
      <c r="H2398" t="str">
        <f t="shared" si="25"/>
        <v>GUARDIAN</v>
      </c>
    </row>
    <row r="2399" spans="5:8" x14ac:dyDescent="0.25">
      <c r="E2399" t="str">
        <f>""</f>
        <v/>
      </c>
      <c r="F2399" t="str">
        <f>""</f>
        <v/>
      </c>
      <c r="H2399" t="str">
        <f t="shared" si="25"/>
        <v>GUARDIAN</v>
      </c>
    </row>
    <row r="2400" spans="5:8" x14ac:dyDescent="0.25">
      <c r="E2400" t="str">
        <f>""</f>
        <v/>
      </c>
      <c r="F2400" t="str">
        <f>""</f>
        <v/>
      </c>
      <c r="H2400" t="str">
        <f t="shared" si="25"/>
        <v>GUARDIAN</v>
      </c>
    </row>
    <row r="2401" spans="5:8" x14ac:dyDescent="0.25">
      <c r="E2401" t="str">
        <f>""</f>
        <v/>
      </c>
      <c r="F2401" t="str">
        <f>""</f>
        <v/>
      </c>
      <c r="H2401" t="str">
        <f t="shared" si="25"/>
        <v>GUARDIAN</v>
      </c>
    </row>
    <row r="2402" spans="5:8" x14ac:dyDescent="0.25">
      <c r="E2402" t="str">
        <f>""</f>
        <v/>
      </c>
      <c r="F2402" t="str">
        <f>""</f>
        <v/>
      </c>
      <c r="H2402" t="str">
        <f t="shared" si="25"/>
        <v>GUARDIAN</v>
      </c>
    </row>
    <row r="2403" spans="5:8" x14ac:dyDescent="0.25">
      <c r="E2403" t="str">
        <f>""</f>
        <v/>
      </c>
      <c r="F2403" t="str">
        <f>""</f>
        <v/>
      </c>
      <c r="H2403" t="str">
        <f t="shared" si="25"/>
        <v>GUARDIAN</v>
      </c>
    </row>
    <row r="2404" spans="5:8" x14ac:dyDescent="0.25">
      <c r="E2404" t="str">
        <f>""</f>
        <v/>
      </c>
      <c r="F2404" t="str">
        <f>""</f>
        <v/>
      </c>
      <c r="H2404" t="str">
        <f t="shared" si="25"/>
        <v>GUARDIAN</v>
      </c>
    </row>
    <row r="2405" spans="5:8" x14ac:dyDescent="0.25">
      <c r="E2405" t="str">
        <f>""</f>
        <v/>
      </c>
      <c r="F2405" t="str">
        <f>""</f>
        <v/>
      </c>
      <c r="H2405" t="str">
        <f t="shared" si="25"/>
        <v>GUARDIAN</v>
      </c>
    </row>
    <row r="2406" spans="5:8" x14ac:dyDescent="0.25">
      <c r="E2406" t="str">
        <f>""</f>
        <v/>
      </c>
      <c r="F2406" t="str">
        <f>""</f>
        <v/>
      </c>
      <c r="H2406" t="str">
        <f t="shared" si="25"/>
        <v>GUARDIAN</v>
      </c>
    </row>
    <row r="2407" spans="5:8" x14ac:dyDescent="0.25">
      <c r="E2407" t="str">
        <f>""</f>
        <v/>
      </c>
      <c r="F2407" t="str">
        <f>""</f>
        <v/>
      </c>
      <c r="H2407" t="str">
        <f t="shared" si="25"/>
        <v>GUARDIAN</v>
      </c>
    </row>
    <row r="2408" spans="5:8" x14ac:dyDescent="0.25">
      <c r="E2408" t="str">
        <f>""</f>
        <v/>
      </c>
      <c r="F2408" t="str">
        <f>""</f>
        <v/>
      </c>
      <c r="H2408" t="str">
        <f t="shared" si="25"/>
        <v>GUARDIAN</v>
      </c>
    </row>
    <row r="2409" spans="5:8" x14ac:dyDescent="0.25">
      <c r="E2409" t="str">
        <f>""</f>
        <v/>
      </c>
      <c r="F2409" t="str">
        <f>""</f>
        <v/>
      </c>
      <c r="H2409" t="str">
        <f t="shared" si="25"/>
        <v>GUARDIAN</v>
      </c>
    </row>
    <row r="2410" spans="5:8" x14ac:dyDescent="0.25">
      <c r="E2410" t="str">
        <f>"LIE201808223028"</f>
        <v>LIE201808223028</v>
      </c>
      <c r="F2410" t="str">
        <f>"GUARDIAN"</f>
        <v>GUARDIAN</v>
      </c>
      <c r="G2410" s="2">
        <v>95.5</v>
      </c>
      <c r="H2410" t="str">
        <f t="shared" si="25"/>
        <v>GUARDIAN</v>
      </c>
    </row>
    <row r="2411" spans="5:8" x14ac:dyDescent="0.25">
      <c r="E2411" t="str">
        <f>""</f>
        <v/>
      </c>
      <c r="F2411" t="str">
        <f>""</f>
        <v/>
      </c>
      <c r="H2411" t="str">
        <f t="shared" si="25"/>
        <v>GUARDIAN</v>
      </c>
    </row>
    <row r="2412" spans="5:8" x14ac:dyDescent="0.25">
      <c r="E2412" t="str">
        <f>"LIS201808082881"</f>
        <v>LIS201808082881</v>
      </c>
      <c r="F2412" t="str">
        <f t="shared" ref="F2412:F2421" si="26">"GUARDIAN"</f>
        <v>GUARDIAN</v>
      </c>
      <c r="G2412" s="2">
        <v>392.27</v>
      </c>
      <c r="H2412" t="str">
        <f t="shared" si="25"/>
        <v>GUARDIAN</v>
      </c>
    </row>
    <row r="2413" spans="5:8" x14ac:dyDescent="0.25">
      <c r="E2413" t="str">
        <f>"LIS201808082882"</f>
        <v>LIS201808082882</v>
      </c>
      <c r="F2413" t="str">
        <f t="shared" si="26"/>
        <v>GUARDIAN</v>
      </c>
      <c r="G2413" s="2">
        <v>31.03</v>
      </c>
      <c r="H2413" t="str">
        <f t="shared" si="25"/>
        <v>GUARDIAN</v>
      </c>
    </row>
    <row r="2414" spans="5:8" x14ac:dyDescent="0.25">
      <c r="E2414" t="str">
        <f>"LIS201808223027"</f>
        <v>LIS201808223027</v>
      </c>
      <c r="F2414" t="str">
        <f t="shared" si="26"/>
        <v>GUARDIAN</v>
      </c>
      <c r="G2414" s="2">
        <v>385.77</v>
      </c>
      <c r="H2414" t="str">
        <f t="shared" si="25"/>
        <v>GUARDIAN</v>
      </c>
    </row>
    <row r="2415" spans="5:8" x14ac:dyDescent="0.25">
      <c r="E2415" t="str">
        <f>"LIS201808223028"</f>
        <v>LIS201808223028</v>
      </c>
      <c r="F2415" t="str">
        <f t="shared" si="26"/>
        <v>GUARDIAN</v>
      </c>
      <c r="G2415" s="2">
        <v>31.03</v>
      </c>
      <c r="H2415" t="str">
        <f t="shared" si="25"/>
        <v>GUARDIAN</v>
      </c>
    </row>
    <row r="2416" spans="5:8" x14ac:dyDescent="0.25">
      <c r="E2416" t="str">
        <f>"LTD201808082881"</f>
        <v>LTD201808082881</v>
      </c>
      <c r="F2416" t="str">
        <f t="shared" si="26"/>
        <v>GUARDIAN</v>
      </c>
      <c r="G2416" s="2">
        <v>882.83</v>
      </c>
      <c r="H2416" t="str">
        <f t="shared" si="25"/>
        <v>GUARDIAN</v>
      </c>
    </row>
    <row r="2417" spans="1:8" x14ac:dyDescent="0.25">
      <c r="E2417" t="str">
        <f>"LTD201808223027"</f>
        <v>LTD201808223027</v>
      </c>
      <c r="F2417" t="str">
        <f t="shared" si="26"/>
        <v>GUARDIAN</v>
      </c>
      <c r="G2417" s="2">
        <v>837.35</v>
      </c>
      <c r="H2417" t="str">
        <f t="shared" si="25"/>
        <v>GUARDIAN</v>
      </c>
    </row>
    <row r="2418" spans="1:8" x14ac:dyDescent="0.25">
      <c r="A2418" t="s">
        <v>598</v>
      </c>
      <c r="B2418">
        <v>0</v>
      </c>
      <c r="C2418" s="3">
        <v>112.44</v>
      </c>
      <c r="D2418" s="1">
        <v>43341</v>
      </c>
      <c r="E2418" t="str">
        <f>"AEG201808082881"</f>
        <v>AEG201808082881</v>
      </c>
      <c r="F2418" t="str">
        <f t="shared" si="26"/>
        <v>GUARDIAN</v>
      </c>
      <c r="G2418" s="2">
        <v>6.66</v>
      </c>
      <c r="H2418" t="str">
        <f t="shared" si="25"/>
        <v>GUARDIAN</v>
      </c>
    </row>
    <row r="2419" spans="1:8" x14ac:dyDescent="0.25">
      <c r="E2419" t="str">
        <f>"AEG201808223027"</f>
        <v>AEG201808223027</v>
      </c>
      <c r="F2419" t="str">
        <f t="shared" si="26"/>
        <v>GUARDIAN</v>
      </c>
      <c r="G2419" s="2">
        <v>6.66</v>
      </c>
      <c r="H2419" t="str">
        <f t="shared" si="25"/>
        <v>GUARDIAN</v>
      </c>
    </row>
    <row r="2420" spans="1:8" x14ac:dyDescent="0.25">
      <c r="E2420" t="str">
        <f>"AFG201808082881"</f>
        <v>AFG201808082881</v>
      </c>
      <c r="F2420" t="str">
        <f t="shared" si="26"/>
        <v>GUARDIAN</v>
      </c>
      <c r="G2420" s="2">
        <v>49.56</v>
      </c>
      <c r="H2420" t="str">
        <f t="shared" si="25"/>
        <v>GUARDIAN</v>
      </c>
    </row>
    <row r="2421" spans="1:8" x14ac:dyDescent="0.25">
      <c r="E2421" t="str">
        <f>"AFG201808223027"</f>
        <v>AFG201808223027</v>
      </c>
      <c r="F2421" t="str">
        <f t="shared" si="26"/>
        <v>GUARDIAN</v>
      </c>
      <c r="G2421" s="2">
        <v>49.56</v>
      </c>
      <c r="H2421" t="str">
        <f t="shared" si="25"/>
        <v>GUARDIAN</v>
      </c>
    </row>
    <row r="2422" spans="1:8" x14ac:dyDescent="0.25">
      <c r="A2422" t="s">
        <v>599</v>
      </c>
      <c r="B2422">
        <v>46539</v>
      </c>
      <c r="C2422" s="3">
        <v>238.43</v>
      </c>
      <c r="D2422" s="1">
        <v>43322</v>
      </c>
      <c r="E2422" t="str">
        <f>"IJ2201808082881"</f>
        <v>IJ2201808082881</v>
      </c>
      <c r="F2422" t="str">
        <f>"LISA JACKSON 2 IRS LEVY"</f>
        <v>LISA JACKSON 2 IRS LEVY</v>
      </c>
      <c r="G2422" s="2">
        <v>238.43</v>
      </c>
      <c r="H2422" t="str">
        <f>"LISA JACKSON 2 IRS LEVY"</f>
        <v>LISA JACKSON 2 IRS LEVY</v>
      </c>
    </row>
    <row r="2423" spans="1:8" x14ac:dyDescent="0.25">
      <c r="A2423" t="s">
        <v>599</v>
      </c>
      <c r="B2423">
        <v>46566</v>
      </c>
      <c r="C2423" s="3">
        <v>238.43</v>
      </c>
      <c r="D2423" s="1">
        <v>43336</v>
      </c>
      <c r="E2423" t="str">
        <f>"IJ2201808223027"</f>
        <v>IJ2201808223027</v>
      </c>
      <c r="F2423" t="str">
        <f>"LISA JACKSON 2 IRS LEVY"</f>
        <v>LISA JACKSON 2 IRS LEVY</v>
      </c>
      <c r="G2423" s="2">
        <v>238.43</v>
      </c>
      <c r="H2423" t="str">
        <f>"LISA JACKSON 2 IRS LEVY"</f>
        <v>LISA JACKSON 2 IRS LEVY</v>
      </c>
    </row>
    <row r="2424" spans="1:8" x14ac:dyDescent="0.25">
      <c r="A2424" t="s">
        <v>600</v>
      </c>
      <c r="B2424">
        <v>0</v>
      </c>
      <c r="C2424" s="3">
        <v>215823.35</v>
      </c>
      <c r="D2424" s="1">
        <v>43322</v>
      </c>
      <c r="E2424" t="str">
        <f>"T1 201808082881"</f>
        <v>T1 201808082881</v>
      </c>
      <c r="F2424" t="str">
        <f>"FEDERAL WITHHOLDING"</f>
        <v>FEDERAL WITHHOLDING</v>
      </c>
      <c r="G2424" s="2">
        <v>69485.89</v>
      </c>
      <c r="H2424" t="str">
        <f>"FEDERAL WITHHOLDING"</f>
        <v>FEDERAL WITHHOLDING</v>
      </c>
    </row>
    <row r="2425" spans="1:8" x14ac:dyDescent="0.25">
      <c r="E2425" t="str">
        <f>"T1 201808082882"</f>
        <v>T1 201808082882</v>
      </c>
      <c r="F2425" t="str">
        <f>"FEDERAL WITHHOLDING"</f>
        <v>FEDERAL WITHHOLDING</v>
      </c>
      <c r="G2425" s="2">
        <v>2773.68</v>
      </c>
      <c r="H2425" t="str">
        <f>"FEDERAL WITHHOLDING"</f>
        <v>FEDERAL WITHHOLDING</v>
      </c>
    </row>
    <row r="2426" spans="1:8" x14ac:dyDescent="0.25">
      <c r="E2426" t="str">
        <f>"T1 201808082883"</f>
        <v>T1 201808082883</v>
      </c>
      <c r="F2426" t="str">
        <f>"FEDERAL WITHHOLDING"</f>
        <v>FEDERAL WITHHOLDING</v>
      </c>
      <c r="G2426" s="2">
        <v>4805.38</v>
      </c>
      <c r="H2426" t="str">
        <f>"FEDERAL WITHHOLDING"</f>
        <v>FEDERAL WITHHOLDING</v>
      </c>
    </row>
    <row r="2427" spans="1:8" x14ac:dyDescent="0.25">
      <c r="E2427" t="str">
        <f>"T3 201808082881"</f>
        <v>T3 201808082881</v>
      </c>
      <c r="F2427" t="str">
        <f>"SOCIAL SECURITY TAXES"</f>
        <v>SOCIAL SECURITY TAXES</v>
      </c>
      <c r="G2427" s="2">
        <v>102331.66</v>
      </c>
      <c r="H2427" t="str">
        <f t="shared" ref="H2427:H2458" si="27">"SOCIAL SECURITY TAXES"</f>
        <v>SOCIAL SECURITY TAXES</v>
      </c>
    </row>
    <row r="2428" spans="1:8" x14ac:dyDescent="0.25">
      <c r="E2428" t="str">
        <f>""</f>
        <v/>
      </c>
      <c r="F2428" t="str">
        <f>""</f>
        <v/>
      </c>
      <c r="H2428" t="str">
        <f t="shared" si="27"/>
        <v>SOCIAL SECURITY TAXES</v>
      </c>
    </row>
    <row r="2429" spans="1:8" x14ac:dyDescent="0.25">
      <c r="E2429" t="str">
        <f>""</f>
        <v/>
      </c>
      <c r="F2429" t="str">
        <f>""</f>
        <v/>
      </c>
      <c r="H2429" t="str">
        <f t="shared" si="27"/>
        <v>SOCIAL SECURITY TAXES</v>
      </c>
    </row>
    <row r="2430" spans="1:8" x14ac:dyDescent="0.25">
      <c r="E2430" t="str">
        <f>""</f>
        <v/>
      </c>
      <c r="F2430" t="str">
        <f>""</f>
        <v/>
      </c>
      <c r="H2430" t="str">
        <f t="shared" si="27"/>
        <v>SOCIAL SECURITY TAXES</v>
      </c>
    </row>
    <row r="2431" spans="1:8" x14ac:dyDescent="0.25">
      <c r="E2431" t="str">
        <f>""</f>
        <v/>
      </c>
      <c r="F2431" t="str">
        <f>""</f>
        <v/>
      </c>
      <c r="H2431" t="str">
        <f t="shared" si="27"/>
        <v>SOCIAL SECURITY TAXES</v>
      </c>
    </row>
    <row r="2432" spans="1:8" x14ac:dyDescent="0.25">
      <c r="E2432" t="str">
        <f>""</f>
        <v/>
      </c>
      <c r="F2432" t="str">
        <f>""</f>
        <v/>
      </c>
      <c r="H2432" t="str">
        <f t="shared" si="27"/>
        <v>SOCIAL SECURITY TAXES</v>
      </c>
    </row>
    <row r="2433" spans="5:8" x14ac:dyDescent="0.25">
      <c r="E2433" t="str">
        <f>""</f>
        <v/>
      </c>
      <c r="F2433" t="str">
        <f>""</f>
        <v/>
      </c>
      <c r="H2433" t="str">
        <f t="shared" si="27"/>
        <v>SOCIAL SECURITY TAXES</v>
      </c>
    </row>
    <row r="2434" spans="5:8" x14ac:dyDescent="0.25">
      <c r="E2434" t="str">
        <f>""</f>
        <v/>
      </c>
      <c r="F2434" t="str">
        <f>""</f>
        <v/>
      </c>
      <c r="H2434" t="str">
        <f t="shared" si="27"/>
        <v>SOCIAL SECURITY TAXES</v>
      </c>
    </row>
    <row r="2435" spans="5:8" x14ac:dyDescent="0.25">
      <c r="E2435" t="str">
        <f>""</f>
        <v/>
      </c>
      <c r="F2435" t="str">
        <f>""</f>
        <v/>
      </c>
      <c r="H2435" t="str">
        <f t="shared" si="27"/>
        <v>SOCIAL SECURITY TAXES</v>
      </c>
    </row>
    <row r="2436" spans="5:8" x14ac:dyDescent="0.25">
      <c r="E2436" t="str">
        <f>""</f>
        <v/>
      </c>
      <c r="F2436" t="str">
        <f>""</f>
        <v/>
      </c>
      <c r="H2436" t="str">
        <f t="shared" si="27"/>
        <v>SOCIAL SECURITY TAXES</v>
      </c>
    </row>
    <row r="2437" spans="5:8" x14ac:dyDescent="0.25">
      <c r="E2437" t="str">
        <f>""</f>
        <v/>
      </c>
      <c r="F2437" t="str">
        <f>""</f>
        <v/>
      </c>
      <c r="H2437" t="str">
        <f t="shared" si="27"/>
        <v>SOCIAL SECURITY TAXES</v>
      </c>
    </row>
    <row r="2438" spans="5:8" x14ac:dyDescent="0.25">
      <c r="E2438" t="str">
        <f>""</f>
        <v/>
      </c>
      <c r="F2438" t="str">
        <f>""</f>
        <v/>
      </c>
      <c r="H2438" t="str">
        <f t="shared" si="27"/>
        <v>SOCIAL SECURITY TAXES</v>
      </c>
    </row>
    <row r="2439" spans="5:8" x14ac:dyDescent="0.25">
      <c r="E2439" t="str">
        <f>""</f>
        <v/>
      </c>
      <c r="F2439" t="str">
        <f>""</f>
        <v/>
      </c>
      <c r="H2439" t="str">
        <f t="shared" si="27"/>
        <v>SOCIAL SECURITY TAXES</v>
      </c>
    </row>
    <row r="2440" spans="5:8" x14ac:dyDescent="0.25">
      <c r="E2440" t="str">
        <f>""</f>
        <v/>
      </c>
      <c r="F2440" t="str">
        <f>""</f>
        <v/>
      </c>
      <c r="H2440" t="str">
        <f t="shared" si="27"/>
        <v>SOCIAL SECURITY TAXES</v>
      </c>
    </row>
    <row r="2441" spans="5:8" x14ac:dyDescent="0.25">
      <c r="E2441" t="str">
        <f>""</f>
        <v/>
      </c>
      <c r="F2441" t="str">
        <f>""</f>
        <v/>
      </c>
      <c r="H2441" t="str">
        <f t="shared" si="27"/>
        <v>SOCIAL SECURITY TAXES</v>
      </c>
    </row>
    <row r="2442" spans="5:8" x14ac:dyDescent="0.25">
      <c r="E2442" t="str">
        <f>""</f>
        <v/>
      </c>
      <c r="F2442" t="str">
        <f>""</f>
        <v/>
      </c>
      <c r="H2442" t="str">
        <f t="shared" si="27"/>
        <v>SOCIAL SECURITY TAXES</v>
      </c>
    </row>
    <row r="2443" spans="5:8" x14ac:dyDescent="0.25">
      <c r="E2443" t="str">
        <f>""</f>
        <v/>
      </c>
      <c r="F2443" t="str">
        <f>""</f>
        <v/>
      </c>
      <c r="H2443" t="str">
        <f t="shared" si="27"/>
        <v>SOCIAL SECURITY TAXES</v>
      </c>
    </row>
    <row r="2444" spans="5:8" x14ac:dyDescent="0.25">
      <c r="E2444" t="str">
        <f>""</f>
        <v/>
      </c>
      <c r="F2444" t="str">
        <f>""</f>
        <v/>
      </c>
      <c r="H2444" t="str">
        <f t="shared" si="27"/>
        <v>SOCIAL SECURITY TAXES</v>
      </c>
    </row>
    <row r="2445" spans="5:8" x14ac:dyDescent="0.25">
      <c r="E2445" t="str">
        <f>""</f>
        <v/>
      </c>
      <c r="F2445" t="str">
        <f>""</f>
        <v/>
      </c>
      <c r="H2445" t="str">
        <f t="shared" si="27"/>
        <v>SOCIAL SECURITY TAXES</v>
      </c>
    </row>
    <row r="2446" spans="5:8" x14ac:dyDescent="0.25">
      <c r="E2446" t="str">
        <f>""</f>
        <v/>
      </c>
      <c r="F2446" t="str">
        <f>""</f>
        <v/>
      </c>
      <c r="H2446" t="str">
        <f t="shared" si="27"/>
        <v>SOCIAL SECURITY TAXES</v>
      </c>
    </row>
    <row r="2447" spans="5:8" x14ac:dyDescent="0.25">
      <c r="E2447" t="str">
        <f>""</f>
        <v/>
      </c>
      <c r="F2447" t="str">
        <f>""</f>
        <v/>
      </c>
      <c r="H2447" t="str">
        <f t="shared" si="27"/>
        <v>SOCIAL SECURITY TAXES</v>
      </c>
    </row>
    <row r="2448" spans="5:8" x14ac:dyDescent="0.25">
      <c r="E2448" t="str">
        <f>""</f>
        <v/>
      </c>
      <c r="F2448" t="str">
        <f>""</f>
        <v/>
      </c>
      <c r="H2448" t="str">
        <f t="shared" si="27"/>
        <v>SOCIAL SECURITY TAXES</v>
      </c>
    </row>
    <row r="2449" spans="5:8" x14ac:dyDescent="0.25">
      <c r="E2449" t="str">
        <f>""</f>
        <v/>
      </c>
      <c r="F2449" t="str">
        <f>""</f>
        <v/>
      </c>
      <c r="H2449" t="str">
        <f t="shared" si="27"/>
        <v>SOCIAL SECURITY TAXES</v>
      </c>
    </row>
    <row r="2450" spans="5:8" x14ac:dyDescent="0.25">
      <c r="E2450" t="str">
        <f>""</f>
        <v/>
      </c>
      <c r="F2450" t="str">
        <f>""</f>
        <v/>
      </c>
      <c r="H2450" t="str">
        <f t="shared" si="27"/>
        <v>SOCIAL SECURITY TAXES</v>
      </c>
    </row>
    <row r="2451" spans="5:8" x14ac:dyDescent="0.25">
      <c r="E2451" t="str">
        <f>""</f>
        <v/>
      </c>
      <c r="F2451" t="str">
        <f>""</f>
        <v/>
      </c>
      <c r="H2451" t="str">
        <f t="shared" si="27"/>
        <v>SOCIAL SECURITY TAXES</v>
      </c>
    </row>
    <row r="2452" spans="5:8" x14ac:dyDescent="0.25">
      <c r="E2452" t="str">
        <f>""</f>
        <v/>
      </c>
      <c r="F2452" t="str">
        <f>""</f>
        <v/>
      </c>
      <c r="H2452" t="str">
        <f t="shared" si="27"/>
        <v>SOCIAL SECURITY TAXES</v>
      </c>
    </row>
    <row r="2453" spans="5:8" x14ac:dyDescent="0.25">
      <c r="E2453" t="str">
        <f>""</f>
        <v/>
      </c>
      <c r="F2453" t="str">
        <f>""</f>
        <v/>
      </c>
      <c r="H2453" t="str">
        <f t="shared" si="27"/>
        <v>SOCIAL SECURITY TAXES</v>
      </c>
    </row>
    <row r="2454" spans="5:8" x14ac:dyDescent="0.25">
      <c r="E2454" t="str">
        <f>""</f>
        <v/>
      </c>
      <c r="F2454" t="str">
        <f>""</f>
        <v/>
      </c>
      <c r="H2454" t="str">
        <f t="shared" si="27"/>
        <v>SOCIAL SECURITY TAXES</v>
      </c>
    </row>
    <row r="2455" spans="5:8" x14ac:dyDescent="0.25">
      <c r="E2455" t="str">
        <f>""</f>
        <v/>
      </c>
      <c r="F2455" t="str">
        <f>""</f>
        <v/>
      </c>
      <c r="H2455" t="str">
        <f t="shared" si="27"/>
        <v>SOCIAL SECURITY TAXES</v>
      </c>
    </row>
    <row r="2456" spans="5:8" x14ac:dyDescent="0.25">
      <c r="E2456" t="str">
        <f>""</f>
        <v/>
      </c>
      <c r="F2456" t="str">
        <f>""</f>
        <v/>
      </c>
      <c r="H2456" t="str">
        <f t="shared" si="27"/>
        <v>SOCIAL SECURITY TAXES</v>
      </c>
    </row>
    <row r="2457" spans="5:8" x14ac:dyDescent="0.25">
      <c r="E2457" t="str">
        <f>""</f>
        <v/>
      </c>
      <c r="F2457" t="str">
        <f>""</f>
        <v/>
      </c>
      <c r="H2457" t="str">
        <f t="shared" si="27"/>
        <v>SOCIAL SECURITY TAXES</v>
      </c>
    </row>
    <row r="2458" spans="5:8" x14ac:dyDescent="0.25">
      <c r="E2458" t="str">
        <f>""</f>
        <v/>
      </c>
      <c r="F2458" t="str">
        <f>""</f>
        <v/>
      </c>
      <c r="H2458" t="str">
        <f t="shared" si="27"/>
        <v>SOCIAL SECURITY TAXES</v>
      </c>
    </row>
    <row r="2459" spans="5:8" x14ac:dyDescent="0.25">
      <c r="E2459" t="str">
        <f>""</f>
        <v/>
      </c>
      <c r="F2459" t="str">
        <f>""</f>
        <v/>
      </c>
      <c r="H2459" t="str">
        <f t="shared" ref="H2459:H2483" si="28">"SOCIAL SECURITY TAXES"</f>
        <v>SOCIAL SECURITY TAXES</v>
      </c>
    </row>
    <row r="2460" spans="5:8" x14ac:dyDescent="0.25">
      <c r="E2460" t="str">
        <f>""</f>
        <v/>
      </c>
      <c r="F2460" t="str">
        <f>""</f>
        <v/>
      </c>
      <c r="H2460" t="str">
        <f t="shared" si="28"/>
        <v>SOCIAL SECURITY TAXES</v>
      </c>
    </row>
    <row r="2461" spans="5:8" x14ac:dyDescent="0.25">
      <c r="E2461" t="str">
        <f>""</f>
        <v/>
      </c>
      <c r="F2461" t="str">
        <f>""</f>
        <v/>
      </c>
      <c r="H2461" t="str">
        <f t="shared" si="28"/>
        <v>SOCIAL SECURITY TAXES</v>
      </c>
    </row>
    <row r="2462" spans="5:8" x14ac:dyDescent="0.25">
      <c r="E2462" t="str">
        <f>""</f>
        <v/>
      </c>
      <c r="F2462" t="str">
        <f>""</f>
        <v/>
      </c>
      <c r="H2462" t="str">
        <f t="shared" si="28"/>
        <v>SOCIAL SECURITY TAXES</v>
      </c>
    </row>
    <row r="2463" spans="5:8" x14ac:dyDescent="0.25">
      <c r="E2463" t="str">
        <f>""</f>
        <v/>
      </c>
      <c r="F2463" t="str">
        <f>""</f>
        <v/>
      </c>
      <c r="H2463" t="str">
        <f t="shared" si="28"/>
        <v>SOCIAL SECURITY TAXES</v>
      </c>
    </row>
    <row r="2464" spans="5:8" x14ac:dyDescent="0.25">
      <c r="E2464" t="str">
        <f>""</f>
        <v/>
      </c>
      <c r="F2464" t="str">
        <f>""</f>
        <v/>
      </c>
      <c r="H2464" t="str">
        <f t="shared" si="28"/>
        <v>SOCIAL SECURITY TAXES</v>
      </c>
    </row>
    <row r="2465" spans="5:8" x14ac:dyDescent="0.25">
      <c r="E2465" t="str">
        <f>""</f>
        <v/>
      </c>
      <c r="F2465" t="str">
        <f>""</f>
        <v/>
      </c>
      <c r="H2465" t="str">
        <f t="shared" si="28"/>
        <v>SOCIAL SECURITY TAXES</v>
      </c>
    </row>
    <row r="2466" spans="5:8" x14ac:dyDescent="0.25">
      <c r="E2466" t="str">
        <f>""</f>
        <v/>
      </c>
      <c r="F2466" t="str">
        <f>""</f>
        <v/>
      </c>
      <c r="H2466" t="str">
        <f t="shared" si="28"/>
        <v>SOCIAL SECURITY TAXES</v>
      </c>
    </row>
    <row r="2467" spans="5:8" x14ac:dyDescent="0.25">
      <c r="E2467" t="str">
        <f>""</f>
        <v/>
      </c>
      <c r="F2467" t="str">
        <f>""</f>
        <v/>
      </c>
      <c r="H2467" t="str">
        <f t="shared" si="28"/>
        <v>SOCIAL SECURITY TAXES</v>
      </c>
    </row>
    <row r="2468" spans="5:8" x14ac:dyDescent="0.25">
      <c r="E2468" t="str">
        <f>""</f>
        <v/>
      </c>
      <c r="F2468" t="str">
        <f>""</f>
        <v/>
      </c>
      <c r="H2468" t="str">
        <f t="shared" si="28"/>
        <v>SOCIAL SECURITY TAXES</v>
      </c>
    </row>
    <row r="2469" spans="5:8" x14ac:dyDescent="0.25">
      <c r="E2469" t="str">
        <f>""</f>
        <v/>
      </c>
      <c r="F2469" t="str">
        <f>""</f>
        <v/>
      </c>
      <c r="H2469" t="str">
        <f t="shared" si="28"/>
        <v>SOCIAL SECURITY TAXES</v>
      </c>
    </row>
    <row r="2470" spans="5:8" x14ac:dyDescent="0.25">
      <c r="E2470" t="str">
        <f>""</f>
        <v/>
      </c>
      <c r="F2470" t="str">
        <f>""</f>
        <v/>
      </c>
      <c r="H2470" t="str">
        <f t="shared" si="28"/>
        <v>SOCIAL SECURITY TAXES</v>
      </c>
    </row>
    <row r="2471" spans="5:8" x14ac:dyDescent="0.25">
      <c r="E2471" t="str">
        <f>""</f>
        <v/>
      </c>
      <c r="F2471" t="str">
        <f>""</f>
        <v/>
      </c>
      <c r="H2471" t="str">
        <f t="shared" si="28"/>
        <v>SOCIAL SECURITY TAXES</v>
      </c>
    </row>
    <row r="2472" spans="5:8" x14ac:dyDescent="0.25">
      <c r="E2472" t="str">
        <f>""</f>
        <v/>
      </c>
      <c r="F2472" t="str">
        <f>""</f>
        <v/>
      </c>
      <c r="H2472" t="str">
        <f t="shared" si="28"/>
        <v>SOCIAL SECURITY TAXES</v>
      </c>
    </row>
    <row r="2473" spans="5:8" x14ac:dyDescent="0.25">
      <c r="E2473" t="str">
        <f>""</f>
        <v/>
      </c>
      <c r="F2473" t="str">
        <f>""</f>
        <v/>
      </c>
      <c r="H2473" t="str">
        <f t="shared" si="28"/>
        <v>SOCIAL SECURITY TAXES</v>
      </c>
    </row>
    <row r="2474" spans="5:8" x14ac:dyDescent="0.25">
      <c r="E2474" t="str">
        <f>""</f>
        <v/>
      </c>
      <c r="F2474" t="str">
        <f>""</f>
        <v/>
      </c>
      <c r="H2474" t="str">
        <f t="shared" si="28"/>
        <v>SOCIAL SECURITY TAXES</v>
      </c>
    </row>
    <row r="2475" spans="5:8" x14ac:dyDescent="0.25">
      <c r="E2475" t="str">
        <f>""</f>
        <v/>
      </c>
      <c r="F2475" t="str">
        <f>""</f>
        <v/>
      </c>
      <c r="H2475" t="str">
        <f t="shared" si="28"/>
        <v>SOCIAL SECURITY TAXES</v>
      </c>
    </row>
    <row r="2476" spans="5:8" x14ac:dyDescent="0.25">
      <c r="E2476" t="str">
        <f>""</f>
        <v/>
      </c>
      <c r="F2476" t="str">
        <f>""</f>
        <v/>
      </c>
      <c r="H2476" t="str">
        <f t="shared" si="28"/>
        <v>SOCIAL SECURITY TAXES</v>
      </c>
    </row>
    <row r="2477" spans="5:8" x14ac:dyDescent="0.25">
      <c r="E2477" t="str">
        <f>""</f>
        <v/>
      </c>
      <c r="F2477" t="str">
        <f>""</f>
        <v/>
      </c>
      <c r="H2477" t="str">
        <f t="shared" si="28"/>
        <v>SOCIAL SECURITY TAXES</v>
      </c>
    </row>
    <row r="2478" spans="5:8" x14ac:dyDescent="0.25">
      <c r="E2478" t="str">
        <f>""</f>
        <v/>
      </c>
      <c r="F2478" t="str">
        <f>""</f>
        <v/>
      </c>
      <c r="H2478" t="str">
        <f t="shared" si="28"/>
        <v>SOCIAL SECURITY TAXES</v>
      </c>
    </row>
    <row r="2479" spans="5:8" x14ac:dyDescent="0.25">
      <c r="E2479" t="str">
        <f>""</f>
        <v/>
      </c>
      <c r="F2479" t="str">
        <f>""</f>
        <v/>
      </c>
      <c r="H2479" t="str">
        <f t="shared" si="28"/>
        <v>SOCIAL SECURITY TAXES</v>
      </c>
    </row>
    <row r="2480" spans="5:8" x14ac:dyDescent="0.25">
      <c r="E2480" t="str">
        <f>"T3 201808082882"</f>
        <v>T3 201808082882</v>
      </c>
      <c r="F2480" t="str">
        <f>"SOCIAL SECURITY TAXES"</f>
        <v>SOCIAL SECURITY TAXES</v>
      </c>
      <c r="G2480" s="2">
        <v>3920.44</v>
      </c>
      <c r="H2480" t="str">
        <f t="shared" si="28"/>
        <v>SOCIAL SECURITY TAXES</v>
      </c>
    </row>
    <row r="2481" spans="5:8" x14ac:dyDescent="0.25">
      <c r="E2481" t="str">
        <f>""</f>
        <v/>
      </c>
      <c r="F2481" t="str">
        <f>""</f>
        <v/>
      </c>
      <c r="H2481" t="str">
        <f t="shared" si="28"/>
        <v>SOCIAL SECURITY TAXES</v>
      </c>
    </row>
    <row r="2482" spans="5:8" x14ac:dyDescent="0.25">
      <c r="E2482" t="str">
        <f>"T3 201808082883"</f>
        <v>T3 201808082883</v>
      </c>
      <c r="F2482" t="str">
        <f>"SOCIAL SECURITY TAXES"</f>
        <v>SOCIAL SECURITY TAXES</v>
      </c>
      <c r="G2482" s="2">
        <v>6205.78</v>
      </c>
      <c r="H2482" t="str">
        <f t="shared" si="28"/>
        <v>SOCIAL SECURITY TAXES</v>
      </c>
    </row>
    <row r="2483" spans="5:8" x14ac:dyDescent="0.25">
      <c r="E2483" t="str">
        <f>""</f>
        <v/>
      </c>
      <c r="F2483" t="str">
        <f>""</f>
        <v/>
      </c>
      <c r="H2483" t="str">
        <f t="shared" si="28"/>
        <v>SOCIAL SECURITY TAXES</v>
      </c>
    </row>
    <row r="2484" spans="5:8" x14ac:dyDescent="0.25">
      <c r="E2484" t="str">
        <f>"T4 201808082881"</f>
        <v>T4 201808082881</v>
      </c>
      <c r="F2484" t="str">
        <f>"MEDICARE TAXES"</f>
        <v>MEDICARE TAXES</v>
      </c>
      <c r="G2484" s="2">
        <v>23932.26</v>
      </c>
      <c r="H2484" t="str">
        <f t="shared" ref="H2484:H2515" si="29">"MEDICARE TAXES"</f>
        <v>MEDICARE TAXES</v>
      </c>
    </row>
    <row r="2485" spans="5:8" x14ac:dyDescent="0.25">
      <c r="E2485" t="str">
        <f>""</f>
        <v/>
      </c>
      <c r="F2485" t="str">
        <f>""</f>
        <v/>
      </c>
      <c r="H2485" t="str">
        <f t="shared" si="29"/>
        <v>MEDICARE TAXES</v>
      </c>
    </row>
    <row r="2486" spans="5:8" x14ac:dyDescent="0.25">
      <c r="E2486" t="str">
        <f>""</f>
        <v/>
      </c>
      <c r="F2486" t="str">
        <f>""</f>
        <v/>
      </c>
      <c r="H2486" t="str">
        <f t="shared" si="29"/>
        <v>MEDICARE TAXES</v>
      </c>
    </row>
    <row r="2487" spans="5:8" x14ac:dyDescent="0.25">
      <c r="E2487" t="str">
        <f>""</f>
        <v/>
      </c>
      <c r="F2487" t="str">
        <f>""</f>
        <v/>
      </c>
      <c r="H2487" t="str">
        <f t="shared" si="29"/>
        <v>MEDICARE TAXES</v>
      </c>
    </row>
    <row r="2488" spans="5:8" x14ac:dyDescent="0.25">
      <c r="E2488" t="str">
        <f>""</f>
        <v/>
      </c>
      <c r="F2488" t="str">
        <f>""</f>
        <v/>
      </c>
      <c r="H2488" t="str">
        <f t="shared" si="29"/>
        <v>MEDICARE TAXES</v>
      </c>
    </row>
    <row r="2489" spans="5:8" x14ac:dyDescent="0.25">
      <c r="E2489" t="str">
        <f>""</f>
        <v/>
      </c>
      <c r="F2489" t="str">
        <f>""</f>
        <v/>
      </c>
      <c r="H2489" t="str">
        <f t="shared" si="29"/>
        <v>MEDICARE TAXES</v>
      </c>
    </row>
    <row r="2490" spans="5:8" x14ac:dyDescent="0.25">
      <c r="E2490" t="str">
        <f>""</f>
        <v/>
      </c>
      <c r="F2490" t="str">
        <f>""</f>
        <v/>
      </c>
      <c r="H2490" t="str">
        <f t="shared" si="29"/>
        <v>MEDICARE TAXES</v>
      </c>
    </row>
    <row r="2491" spans="5:8" x14ac:dyDescent="0.25">
      <c r="E2491" t="str">
        <f>""</f>
        <v/>
      </c>
      <c r="F2491" t="str">
        <f>""</f>
        <v/>
      </c>
      <c r="H2491" t="str">
        <f t="shared" si="29"/>
        <v>MEDICARE TAXES</v>
      </c>
    </row>
    <row r="2492" spans="5:8" x14ac:dyDescent="0.25">
      <c r="E2492" t="str">
        <f>""</f>
        <v/>
      </c>
      <c r="F2492" t="str">
        <f>""</f>
        <v/>
      </c>
      <c r="H2492" t="str">
        <f t="shared" si="29"/>
        <v>MEDICARE TAXES</v>
      </c>
    </row>
    <row r="2493" spans="5:8" x14ac:dyDescent="0.25">
      <c r="E2493" t="str">
        <f>""</f>
        <v/>
      </c>
      <c r="F2493" t="str">
        <f>""</f>
        <v/>
      </c>
      <c r="H2493" t="str">
        <f t="shared" si="29"/>
        <v>MEDICARE TAXES</v>
      </c>
    </row>
    <row r="2494" spans="5:8" x14ac:dyDescent="0.25">
      <c r="E2494" t="str">
        <f>""</f>
        <v/>
      </c>
      <c r="F2494" t="str">
        <f>""</f>
        <v/>
      </c>
      <c r="H2494" t="str">
        <f t="shared" si="29"/>
        <v>MEDICARE TAXES</v>
      </c>
    </row>
    <row r="2495" spans="5:8" x14ac:dyDescent="0.25">
      <c r="E2495" t="str">
        <f>""</f>
        <v/>
      </c>
      <c r="F2495" t="str">
        <f>""</f>
        <v/>
      </c>
      <c r="H2495" t="str">
        <f t="shared" si="29"/>
        <v>MEDICARE TAXES</v>
      </c>
    </row>
    <row r="2496" spans="5:8" x14ac:dyDescent="0.25">
      <c r="E2496" t="str">
        <f>""</f>
        <v/>
      </c>
      <c r="F2496" t="str">
        <f>""</f>
        <v/>
      </c>
      <c r="H2496" t="str">
        <f t="shared" si="29"/>
        <v>MEDICARE TAXES</v>
      </c>
    </row>
    <row r="2497" spans="5:8" x14ac:dyDescent="0.25">
      <c r="E2497" t="str">
        <f>""</f>
        <v/>
      </c>
      <c r="F2497" t="str">
        <f>""</f>
        <v/>
      </c>
      <c r="H2497" t="str">
        <f t="shared" si="29"/>
        <v>MEDICARE TAXES</v>
      </c>
    </row>
    <row r="2498" spans="5:8" x14ac:dyDescent="0.25">
      <c r="E2498" t="str">
        <f>""</f>
        <v/>
      </c>
      <c r="F2498" t="str">
        <f>""</f>
        <v/>
      </c>
      <c r="H2498" t="str">
        <f t="shared" si="29"/>
        <v>MEDICARE TAXES</v>
      </c>
    </row>
    <row r="2499" spans="5:8" x14ac:dyDescent="0.25">
      <c r="E2499" t="str">
        <f>""</f>
        <v/>
      </c>
      <c r="F2499" t="str">
        <f>""</f>
        <v/>
      </c>
      <c r="H2499" t="str">
        <f t="shared" si="29"/>
        <v>MEDICARE TAXES</v>
      </c>
    </row>
    <row r="2500" spans="5:8" x14ac:dyDescent="0.25">
      <c r="E2500" t="str">
        <f>""</f>
        <v/>
      </c>
      <c r="F2500" t="str">
        <f>""</f>
        <v/>
      </c>
      <c r="H2500" t="str">
        <f t="shared" si="29"/>
        <v>MEDICARE TAXES</v>
      </c>
    </row>
    <row r="2501" spans="5:8" x14ac:dyDescent="0.25">
      <c r="E2501" t="str">
        <f>""</f>
        <v/>
      </c>
      <c r="F2501" t="str">
        <f>""</f>
        <v/>
      </c>
      <c r="H2501" t="str">
        <f t="shared" si="29"/>
        <v>MEDICARE TAXES</v>
      </c>
    </row>
    <row r="2502" spans="5:8" x14ac:dyDescent="0.25">
      <c r="E2502" t="str">
        <f>""</f>
        <v/>
      </c>
      <c r="F2502" t="str">
        <f>""</f>
        <v/>
      </c>
      <c r="H2502" t="str">
        <f t="shared" si="29"/>
        <v>MEDICARE TAXES</v>
      </c>
    </row>
    <row r="2503" spans="5:8" x14ac:dyDescent="0.25">
      <c r="E2503" t="str">
        <f>""</f>
        <v/>
      </c>
      <c r="F2503" t="str">
        <f>""</f>
        <v/>
      </c>
      <c r="H2503" t="str">
        <f t="shared" si="29"/>
        <v>MEDICARE TAXES</v>
      </c>
    </row>
    <row r="2504" spans="5:8" x14ac:dyDescent="0.25">
      <c r="E2504" t="str">
        <f>""</f>
        <v/>
      </c>
      <c r="F2504" t="str">
        <f>""</f>
        <v/>
      </c>
      <c r="H2504" t="str">
        <f t="shared" si="29"/>
        <v>MEDICARE TAXES</v>
      </c>
    </row>
    <row r="2505" spans="5:8" x14ac:dyDescent="0.25">
      <c r="E2505" t="str">
        <f>""</f>
        <v/>
      </c>
      <c r="F2505" t="str">
        <f>""</f>
        <v/>
      </c>
      <c r="H2505" t="str">
        <f t="shared" si="29"/>
        <v>MEDICARE TAXES</v>
      </c>
    </row>
    <row r="2506" spans="5:8" x14ac:dyDescent="0.25">
      <c r="E2506" t="str">
        <f>""</f>
        <v/>
      </c>
      <c r="F2506" t="str">
        <f>""</f>
        <v/>
      </c>
      <c r="H2506" t="str">
        <f t="shared" si="29"/>
        <v>MEDICARE TAXES</v>
      </c>
    </row>
    <row r="2507" spans="5:8" x14ac:dyDescent="0.25">
      <c r="E2507" t="str">
        <f>""</f>
        <v/>
      </c>
      <c r="F2507" t="str">
        <f>""</f>
        <v/>
      </c>
      <c r="H2507" t="str">
        <f t="shared" si="29"/>
        <v>MEDICARE TAXES</v>
      </c>
    </row>
    <row r="2508" spans="5:8" x14ac:dyDescent="0.25">
      <c r="E2508" t="str">
        <f>""</f>
        <v/>
      </c>
      <c r="F2508" t="str">
        <f>""</f>
        <v/>
      </c>
      <c r="H2508" t="str">
        <f t="shared" si="29"/>
        <v>MEDICARE TAXES</v>
      </c>
    </row>
    <row r="2509" spans="5:8" x14ac:dyDescent="0.25">
      <c r="E2509" t="str">
        <f>""</f>
        <v/>
      </c>
      <c r="F2509" t="str">
        <f>""</f>
        <v/>
      </c>
      <c r="H2509" t="str">
        <f t="shared" si="29"/>
        <v>MEDICARE TAXES</v>
      </c>
    </row>
    <row r="2510" spans="5:8" x14ac:dyDescent="0.25">
      <c r="E2510" t="str">
        <f>""</f>
        <v/>
      </c>
      <c r="F2510" t="str">
        <f>""</f>
        <v/>
      </c>
      <c r="H2510" t="str">
        <f t="shared" si="29"/>
        <v>MEDICARE TAXES</v>
      </c>
    </row>
    <row r="2511" spans="5:8" x14ac:dyDescent="0.25">
      <c r="E2511" t="str">
        <f>""</f>
        <v/>
      </c>
      <c r="F2511" t="str">
        <f>""</f>
        <v/>
      </c>
      <c r="H2511" t="str">
        <f t="shared" si="29"/>
        <v>MEDICARE TAXES</v>
      </c>
    </row>
    <row r="2512" spans="5:8" x14ac:dyDescent="0.25">
      <c r="E2512" t="str">
        <f>""</f>
        <v/>
      </c>
      <c r="F2512" t="str">
        <f>""</f>
        <v/>
      </c>
      <c r="H2512" t="str">
        <f t="shared" si="29"/>
        <v>MEDICARE TAXES</v>
      </c>
    </row>
    <row r="2513" spans="5:8" x14ac:dyDescent="0.25">
      <c r="E2513" t="str">
        <f>""</f>
        <v/>
      </c>
      <c r="F2513" t="str">
        <f>""</f>
        <v/>
      </c>
      <c r="H2513" t="str">
        <f t="shared" si="29"/>
        <v>MEDICARE TAXES</v>
      </c>
    </row>
    <row r="2514" spans="5:8" x14ac:dyDescent="0.25">
      <c r="E2514" t="str">
        <f>""</f>
        <v/>
      </c>
      <c r="F2514" t="str">
        <f>""</f>
        <v/>
      </c>
      <c r="H2514" t="str">
        <f t="shared" si="29"/>
        <v>MEDICARE TAXES</v>
      </c>
    </row>
    <row r="2515" spans="5:8" x14ac:dyDescent="0.25">
      <c r="E2515" t="str">
        <f>""</f>
        <v/>
      </c>
      <c r="F2515" t="str">
        <f>""</f>
        <v/>
      </c>
      <c r="H2515" t="str">
        <f t="shared" si="29"/>
        <v>MEDICARE TAXES</v>
      </c>
    </row>
    <row r="2516" spans="5:8" x14ac:dyDescent="0.25">
      <c r="E2516" t="str">
        <f>""</f>
        <v/>
      </c>
      <c r="F2516" t="str">
        <f>""</f>
        <v/>
      </c>
      <c r="H2516" t="str">
        <f t="shared" ref="H2516:H2540" si="30">"MEDICARE TAXES"</f>
        <v>MEDICARE TAXES</v>
      </c>
    </row>
    <row r="2517" spans="5:8" x14ac:dyDescent="0.25">
      <c r="E2517" t="str">
        <f>""</f>
        <v/>
      </c>
      <c r="F2517" t="str">
        <f>""</f>
        <v/>
      </c>
      <c r="H2517" t="str">
        <f t="shared" si="30"/>
        <v>MEDICARE TAXES</v>
      </c>
    </row>
    <row r="2518" spans="5:8" x14ac:dyDescent="0.25">
      <c r="E2518" t="str">
        <f>""</f>
        <v/>
      </c>
      <c r="F2518" t="str">
        <f>""</f>
        <v/>
      </c>
      <c r="H2518" t="str">
        <f t="shared" si="30"/>
        <v>MEDICARE TAXES</v>
      </c>
    </row>
    <row r="2519" spans="5:8" x14ac:dyDescent="0.25">
      <c r="E2519" t="str">
        <f>""</f>
        <v/>
      </c>
      <c r="F2519" t="str">
        <f>""</f>
        <v/>
      </c>
      <c r="H2519" t="str">
        <f t="shared" si="30"/>
        <v>MEDICARE TAXES</v>
      </c>
    </row>
    <row r="2520" spans="5:8" x14ac:dyDescent="0.25">
      <c r="E2520" t="str">
        <f>""</f>
        <v/>
      </c>
      <c r="F2520" t="str">
        <f>""</f>
        <v/>
      </c>
      <c r="H2520" t="str">
        <f t="shared" si="30"/>
        <v>MEDICARE TAXES</v>
      </c>
    </row>
    <row r="2521" spans="5:8" x14ac:dyDescent="0.25">
      <c r="E2521" t="str">
        <f>""</f>
        <v/>
      </c>
      <c r="F2521" t="str">
        <f>""</f>
        <v/>
      </c>
      <c r="H2521" t="str">
        <f t="shared" si="30"/>
        <v>MEDICARE TAXES</v>
      </c>
    </row>
    <row r="2522" spans="5:8" x14ac:dyDescent="0.25">
      <c r="E2522" t="str">
        <f>""</f>
        <v/>
      </c>
      <c r="F2522" t="str">
        <f>""</f>
        <v/>
      </c>
      <c r="H2522" t="str">
        <f t="shared" si="30"/>
        <v>MEDICARE TAXES</v>
      </c>
    </row>
    <row r="2523" spans="5:8" x14ac:dyDescent="0.25">
      <c r="E2523" t="str">
        <f>""</f>
        <v/>
      </c>
      <c r="F2523" t="str">
        <f>""</f>
        <v/>
      </c>
      <c r="H2523" t="str">
        <f t="shared" si="30"/>
        <v>MEDICARE TAXES</v>
      </c>
    </row>
    <row r="2524" spans="5:8" x14ac:dyDescent="0.25">
      <c r="E2524" t="str">
        <f>""</f>
        <v/>
      </c>
      <c r="F2524" t="str">
        <f>""</f>
        <v/>
      </c>
      <c r="H2524" t="str">
        <f t="shared" si="30"/>
        <v>MEDICARE TAXES</v>
      </c>
    </row>
    <row r="2525" spans="5:8" x14ac:dyDescent="0.25">
      <c r="E2525" t="str">
        <f>""</f>
        <v/>
      </c>
      <c r="F2525" t="str">
        <f>""</f>
        <v/>
      </c>
      <c r="H2525" t="str">
        <f t="shared" si="30"/>
        <v>MEDICARE TAXES</v>
      </c>
    </row>
    <row r="2526" spans="5:8" x14ac:dyDescent="0.25">
      <c r="E2526" t="str">
        <f>""</f>
        <v/>
      </c>
      <c r="F2526" t="str">
        <f>""</f>
        <v/>
      </c>
      <c r="H2526" t="str">
        <f t="shared" si="30"/>
        <v>MEDICARE TAXES</v>
      </c>
    </row>
    <row r="2527" spans="5:8" x14ac:dyDescent="0.25">
      <c r="E2527" t="str">
        <f>""</f>
        <v/>
      </c>
      <c r="F2527" t="str">
        <f>""</f>
        <v/>
      </c>
      <c r="H2527" t="str">
        <f t="shared" si="30"/>
        <v>MEDICARE TAXES</v>
      </c>
    </row>
    <row r="2528" spans="5:8" x14ac:dyDescent="0.25">
      <c r="E2528" t="str">
        <f>""</f>
        <v/>
      </c>
      <c r="F2528" t="str">
        <f>""</f>
        <v/>
      </c>
      <c r="H2528" t="str">
        <f t="shared" si="30"/>
        <v>MEDICARE TAXES</v>
      </c>
    </row>
    <row r="2529" spans="1:8" x14ac:dyDescent="0.25">
      <c r="E2529" t="str">
        <f>""</f>
        <v/>
      </c>
      <c r="F2529" t="str">
        <f>""</f>
        <v/>
      </c>
      <c r="H2529" t="str">
        <f t="shared" si="30"/>
        <v>MEDICARE TAXES</v>
      </c>
    </row>
    <row r="2530" spans="1:8" x14ac:dyDescent="0.25">
      <c r="E2530" t="str">
        <f>""</f>
        <v/>
      </c>
      <c r="F2530" t="str">
        <f>""</f>
        <v/>
      </c>
      <c r="H2530" t="str">
        <f t="shared" si="30"/>
        <v>MEDICARE TAXES</v>
      </c>
    </row>
    <row r="2531" spans="1:8" x14ac:dyDescent="0.25">
      <c r="E2531" t="str">
        <f>""</f>
        <v/>
      </c>
      <c r="F2531" t="str">
        <f>""</f>
        <v/>
      </c>
      <c r="H2531" t="str">
        <f t="shared" si="30"/>
        <v>MEDICARE TAXES</v>
      </c>
    </row>
    <row r="2532" spans="1:8" x14ac:dyDescent="0.25">
      <c r="E2532" t="str">
        <f>""</f>
        <v/>
      </c>
      <c r="F2532" t="str">
        <f>""</f>
        <v/>
      </c>
      <c r="H2532" t="str">
        <f t="shared" si="30"/>
        <v>MEDICARE TAXES</v>
      </c>
    </row>
    <row r="2533" spans="1:8" x14ac:dyDescent="0.25">
      <c r="E2533" t="str">
        <f>""</f>
        <v/>
      </c>
      <c r="F2533" t="str">
        <f>""</f>
        <v/>
      </c>
      <c r="H2533" t="str">
        <f t="shared" si="30"/>
        <v>MEDICARE TAXES</v>
      </c>
    </row>
    <row r="2534" spans="1:8" x14ac:dyDescent="0.25">
      <c r="E2534" t="str">
        <f>""</f>
        <v/>
      </c>
      <c r="F2534" t="str">
        <f>""</f>
        <v/>
      </c>
      <c r="H2534" t="str">
        <f t="shared" si="30"/>
        <v>MEDICARE TAXES</v>
      </c>
    </row>
    <row r="2535" spans="1:8" x14ac:dyDescent="0.25">
      <c r="E2535" t="str">
        <f>""</f>
        <v/>
      </c>
      <c r="F2535" t="str">
        <f>""</f>
        <v/>
      </c>
      <c r="H2535" t="str">
        <f t="shared" si="30"/>
        <v>MEDICARE TAXES</v>
      </c>
    </row>
    <row r="2536" spans="1:8" x14ac:dyDescent="0.25">
      <c r="E2536" t="str">
        <f>""</f>
        <v/>
      </c>
      <c r="F2536" t="str">
        <f>""</f>
        <v/>
      </c>
      <c r="H2536" t="str">
        <f t="shared" si="30"/>
        <v>MEDICARE TAXES</v>
      </c>
    </row>
    <row r="2537" spans="1:8" x14ac:dyDescent="0.25">
      <c r="E2537" t="str">
        <f>"T4 201808082882"</f>
        <v>T4 201808082882</v>
      </c>
      <c r="F2537" t="str">
        <f>"MEDICARE TAXES"</f>
        <v>MEDICARE TAXES</v>
      </c>
      <c r="G2537" s="2">
        <v>916.88</v>
      </c>
      <c r="H2537" t="str">
        <f t="shared" si="30"/>
        <v>MEDICARE TAXES</v>
      </c>
    </row>
    <row r="2538" spans="1:8" x14ac:dyDescent="0.25">
      <c r="E2538" t="str">
        <f>""</f>
        <v/>
      </c>
      <c r="F2538" t="str">
        <f>""</f>
        <v/>
      </c>
      <c r="H2538" t="str">
        <f t="shared" si="30"/>
        <v>MEDICARE TAXES</v>
      </c>
    </row>
    <row r="2539" spans="1:8" x14ac:dyDescent="0.25">
      <c r="E2539" t="str">
        <f>"T4 201808082883"</f>
        <v>T4 201808082883</v>
      </c>
      <c r="F2539" t="str">
        <f>"MEDICARE TAXES"</f>
        <v>MEDICARE TAXES</v>
      </c>
      <c r="G2539" s="2">
        <v>1451.38</v>
      </c>
      <c r="H2539" t="str">
        <f t="shared" si="30"/>
        <v>MEDICARE TAXES</v>
      </c>
    </row>
    <row r="2540" spans="1:8" x14ac:dyDescent="0.25">
      <c r="E2540" t="str">
        <f>""</f>
        <v/>
      </c>
      <c r="F2540" t="str">
        <f>""</f>
        <v/>
      </c>
      <c r="H2540" t="str">
        <f t="shared" si="30"/>
        <v>MEDICARE TAXES</v>
      </c>
    </row>
    <row r="2541" spans="1:8" x14ac:dyDescent="0.25">
      <c r="A2541" t="s">
        <v>600</v>
      </c>
      <c r="B2541">
        <v>0</v>
      </c>
      <c r="C2541" s="3">
        <v>209071.91</v>
      </c>
      <c r="D2541" s="1">
        <v>43336</v>
      </c>
      <c r="E2541" t="str">
        <f>"T1 201808223027"</f>
        <v>T1 201808223027</v>
      </c>
      <c r="F2541" t="str">
        <f>"FEDERAL WITHHOLDING"</f>
        <v>FEDERAL WITHHOLDING</v>
      </c>
      <c r="G2541" s="2">
        <v>66993.81</v>
      </c>
      <c r="H2541" t="str">
        <f>"FEDERAL WITHHOLDING"</f>
        <v>FEDERAL WITHHOLDING</v>
      </c>
    </row>
    <row r="2542" spans="1:8" x14ac:dyDescent="0.25">
      <c r="E2542" t="str">
        <f>"T1 201808223028"</f>
        <v>T1 201808223028</v>
      </c>
      <c r="F2542" t="str">
        <f>"FEDERAL WITHHOLDING"</f>
        <v>FEDERAL WITHHOLDING</v>
      </c>
      <c r="G2542" s="2">
        <v>2798.44</v>
      </c>
      <c r="H2542" t="str">
        <f>"FEDERAL WITHHOLDING"</f>
        <v>FEDERAL WITHHOLDING</v>
      </c>
    </row>
    <row r="2543" spans="1:8" x14ac:dyDescent="0.25">
      <c r="E2543" t="str">
        <f>"T1 201808223029"</f>
        <v>T1 201808223029</v>
      </c>
      <c r="F2543" t="str">
        <f>"FEDERAL WITHHOLDING"</f>
        <v>FEDERAL WITHHOLDING</v>
      </c>
      <c r="G2543" s="2">
        <v>3339.6</v>
      </c>
      <c r="H2543" t="str">
        <f>"FEDERAL WITHHOLDING"</f>
        <v>FEDERAL WITHHOLDING</v>
      </c>
    </row>
    <row r="2544" spans="1:8" x14ac:dyDescent="0.25">
      <c r="E2544" t="str">
        <f>"T3 201808223027"</f>
        <v>T3 201808223027</v>
      </c>
      <c r="F2544" t="str">
        <f>"SOCIAL SECURITY TAXES"</f>
        <v>SOCIAL SECURITY TAXES</v>
      </c>
      <c r="G2544" s="2">
        <v>101126.58</v>
      </c>
      <c r="H2544" t="str">
        <f t="shared" ref="H2544:H2575" si="31">"SOCIAL SECURITY TAXES"</f>
        <v>SOCIAL SECURITY TAXES</v>
      </c>
    </row>
    <row r="2545" spans="5:8" x14ac:dyDescent="0.25">
      <c r="E2545" t="str">
        <f>""</f>
        <v/>
      </c>
      <c r="F2545" t="str">
        <f>""</f>
        <v/>
      </c>
      <c r="H2545" t="str">
        <f t="shared" si="31"/>
        <v>SOCIAL SECURITY TAXES</v>
      </c>
    </row>
    <row r="2546" spans="5:8" x14ac:dyDescent="0.25">
      <c r="E2546" t="str">
        <f>""</f>
        <v/>
      </c>
      <c r="F2546" t="str">
        <f>""</f>
        <v/>
      </c>
      <c r="H2546" t="str">
        <f t="shared" si="31"/>
        <v>SOCIAL SECURITY TAXES</v>
      </c>
    </row>
    <row r="2547" spans="5:8" x14ac:dyDescent="0.25">
      <c r="E2547" t="str">
        <f>""</f>
        <v/>
      </c>
      <c r="F2547" t="str">
        <f>""</f>
        <v/>
      </c>
      <c r="H2547" t="str">
        <f t="shared" si="31"/>
        <v>SOCIAL SECURITY TAXES</v>
      </c>
    </row>
    <row r="2548" spans="5:8" x14ac:dyDescent="0.25">
      <c r="E2548" t="str">
        <f>""</f>
        <v/>
      </c>
      <c r="F2548" t="str">
        <f>""</f>
        <v/>
      </c>
      <c r="H2548" t="str">
        <f t="shared" si="31"/>
        <v>SOCIAL SECURITY TAXES</v>
      </c>
    </row>
    <row r="2549" spans="5:8" x14ac:dyDescent="0.25">
      <c r="E2549" t="str">
        <f>""</f>
        <v/>
      </c>
      <c r="F2549" t="str">
        <f>""</f>
        <v/>
      </c>
      <c r="H2549" t="str">
        <f t="shared" si="31"/>
        <v>SOCIAL SECURITY TAXES</v>
      </c>
    </row>
    <row r="2550" spans="5:8" x14ac:dyDescent="0.25">
      <c r="E2550" t="str">
        <f>""</f>
        <v/>
      </c>
      <c r="F2550" t="str">
        <f>""</f>
        <v/>
      </c>
      <c r="H2550" t="str">
        <f t="shared" si="31"/>
        <v>SOCIAL SECURITY TAXES</v>
      </c>
    </row>
    <row r="2551" spans="5:8" x14ac:dyDescent="0.25">
      <c r="E2551" t="str">
        <f>""</f>
        <v/>
      </c>
      <c r="F2551" t="str">
        <f>""</f>
        <v/>
      </c>
      <c r="H2551" t="str">
        <f t="shared" si="31"/>
        <v>SOCIAL SECURITY TAXES</v>
      </c>
    </row>
    <row r="2552" spans="5:8" x14ac:dyDescent="0.25">
      <c r="E2552" t="str">
        <f>""</f>
        <v/>
      </c>
      <c r="F2552" t="str">
        <f>""</f>
        <v/>
      </c>
      <c r="H2552" t="str">
        <f t="shared" si="31"/>
        <v>SOCIAL SECURITY TAXES</v>
      </c>
    </row>
    <row r="2553" spans="5:8" x14ac:dyDescent="0.25">
      <c r="E2553" t="str">
        <f>""</f>
        <v/>
      </c>
      <c r="F2553" t="str">
        <f>""</f>
        <v/>
      </c>
      <c r="H2553" t="str">
        <f t="shared" si="31"/>
        <v>SOCIAL SECURITY TAXES</v>
      </c>
    </row>
    <row r="2554" spans="5:8" x14ac:dyDescent="0.25">
      <c r="E2554" t="str">
        <f>""</f>
        <v/>
      </c>
      <c r="F2554" t="str">
        <f>""</f>
        <v/>
      </c>
      <c r="H2554" t="str">
        <f t="shared" si="31"/>
        <v>SOCIAL SECURITY TAXES</v>
      </c>
    </row>
    <row r="2555" spans="5:8" x14ac:dyDescent="0.25">
      <c r="E2555" t="str">
        <f>""</f>
        <v/>
      </c>
      <c r="F2555" t="str">
        <f>""</f>
        <v/>
      </c>
      <c r="H2555" t="str">
        <f t="shared" si="31"/>
        <v>SOCIAL SECURITY TAXES</v>
      </c>
    </row>
    <row r="2556" spans="5:8" x14ac:dyDescent="0.25">
      <c r="E2556" t="str">
        <f>""</f>
        <v/>
      </c>
      <c r="F2556" t="str">
        <f>""</f>
        <v/>
      </c>
      <c r="H2556" t="str">
        <f t="shared" si="31"/>
        <v>SOCIAL SECURITY TAXES</v>
      </c>
    </row>
    <row r="2557" spans="5:8" x14ac:dyDescent="0.25">
      <c r="E2557" t="str">
        <f>""</f>
        <v/>
      </c>
      <c r="F2557" t="str">
        <f>""</f>
        <v/>
      </c>
      <c r="H2557" t="str">
        <f t="shared" si="31"/>
        <v>SOCIAL SECURITY TAXES</v>
      </c>
    </row>
    <row r="2558" spans="5:8" x14ac:dyDescent="0.25">
      <c r="E2558" t="str">
        <f>""</f>
        <v/>
      </c>
      <c r="F2558" t="str">
        <f>""</f>
        <v/>
      </c>
      <c r="H2558" t="str">
        <f t="shared" si="31"/>
        <v>SOCIAL SECURITY TAXES</v>
      </c>
    </row>
    <row r="2559" spans="5:8" x14ac:dyDescent="0.25">
      <c r="E2559" t="str">
        <f>""</f>
        <v/>
      </c>
      <c r="F2559" t="str">
        <f>""</f>
        <v/>
      </c>
      <c r="H2559" t="str">
        <f t="shared" si="31"/>
        <v>SOCIAL SECURITY TAXES</v>
      </c>
    </row>
    <row r="2560" spans="5:8" x14ac:dyDescent="0.25">
      <c r="E2560" t="str">
        <f>""</f>
        <v/>
      </c>
      <c r="F2560" t="str">
        <f>""</f>
        <v/>
      </c>
      <c r="H2560" t="str">
        <f t="shared" si="31"/>
        <v>SOCIAL SECURITY TAXES</v>
      </c>
    </row>
    <row r="2561" spans="5:8" x14ac:dyDescent="0.25">
      <c r="E2561" t="str">
        <f>""</f>
        <v/>
      </c>
      <c r="F2561" t="str">
        <f>""</f>
        <v/>
      </c>
      <c r="H2561" t="str">
        <f t="shared" si="31"/>
        <v>SOCIAL SECURITY TAXES</v>
      </c>
    </row>
    <row r="2562" spans="5:8" x14ac:dyDescent="0.25">
      <c r="E2562" t="str">
        <f>""</f>
        <v/>
      </c>
      <c r="F2562" t="str">
        <f>""</f>
        <v/>
      </c>
      <c r="H2562" t="str">
        <f t="shared" si="31"/>
        <v>SOCIAL SECURITY TAXES</v>
      </c>
    </row>
    <row r="2563" spans="5:8" x14ac:dyDescent="0.25">
      <c r="E2563" t="str">
        <f>""</f>
        <v/>
      </c>
      <c r="F2563" t="str">
        <f>""</f>
        <v/>
      </c>
      <c r="H2563" t="str">
        <f t="shared" si="31"/>
        <v>SOCIAL SECURITY TAXES</v>
      </c>
    </row>
    <row r="2564" spans="5:8" x14ac:dyDescent="0.25">
      <c r="E2564" t="str">
        <f>""</f>
        <v/>
      </c>
      <c r="F2564" t="str">
        <f>""</f>
        <v/>
      </c>
      <c r="H2564" t="str">
        <f t="shared" si="31"/>
        <v>SOCIAL SECURITY TAXES</v>
      </c>
    </row>
    <row r="2565" spans="5:8" x14ac:dyDescent="0.25">
      <c r="E2565" t="str">
        <f>""</f>
        <v/>
      </c>
      <c r="F2565" t="str">
        <f>""</f>
        <v/>
      </c>
      <c r="H2565" t="str">
        <f t="shared" si="31"/>
        <v>SOCIAL SECURITY TAXES</v>
      </c>
    </row>
    <row r="2566" spans="5:8" x14ac:dyDescent="0.25">
      <c r="E2566" t="str">
        <f>""</f>
        <v/>
      </c>
      <c r="F2566" t="str">
        <f>""</f>
        <v/>
      </c>
      <c r="H2566" t="str">
        <f t="shared" si="31"/>
        <v>SOCIAL SECURITY TAXES</v>
      </c>
    </row>
    <row r="2567" spans="5:8" x14ac:dyDescent="0.25">
      <c r="E2567" t="str">
        <f>""</f>
        <v/>
      </c>
      <c r="F2567" t="str">
        <f>""</f>
        <v/>
      </c>
      <c r="H2567" t="str">
        <f t="shared" si="31"/>
        <v>SOCIAL SECURITY TAXES</v>
      </c>
    </row>
    <row r="2568" spans="5:8" x14ac:dyDescent="0.25">
      <c r="E2568" t="str">
        <f>""</f>
        <v/>
      </c>
      <c r="F2568" t="str">
        <f>""</f>
        <v/>
      </c>
      <c r="H2568" t="str">
        <f t="shared" si="31"/>
        <v>SOCIAL SECURITY TAXES</v>
      </c>
    </row>
    <row r="2569" spans="5:8" x14ac:dyDescent="0.25">
      <c r="E2569" t="str">
        <f>""</f>
        <v/>
      </c>
      <c r="F2569" t="str">
        <f>""</f>
        <v/>
      </c>
      <c r="H2569" t="str">
        <f t="shared" si="31"/>
        <v>SOCIAL SECURITY TAXES</v>
      </c>
    </row>
    <row r="2570" spans="5:8" x14ac:dyDescent="0.25">
      <c r="E2570" t="str">
        <f>""</f>
        <v/>
      </c>
      <c r="F2570" t="str">
        <f>""</f>
        <v/>
      </c>
      <c r="H2570" t="str">
        <f t="shared" si="31"/>
        <v>SOCIAL SECURITY TAXES</v>
      </c>
    </row>
    <row r="2571" spans="5:8" x14ac:dyDescent="0.25">
      <c r="E2571" t="str">
        <f>""</f>
        <v/>
      </c>
      <c r="F2571" t="str">
        <f>""</f>
        <v/>
      </c>
      <c r="H2571" t="str">
        <f t="shared" si="31"/>
        <v>SOCIAL SECURITY TAXES</v>
      </c>
    </row>
    <row r="2572" spans="5:8" x14ac:dyDescent="0.25">
      <c r="E2572" t="str">
        <f>""</f>
        <v/>
      </c>
      <c r="F2572" t="str">
        <f>""</f>
        <v/>
      </c>
      <c r="H2572" t="str">
        <f t="shared" si="31"/>
        <v>SOCIAL SECURITY TAXES</v>
      </c>
    </row>
    <row r="2573" spans="5:8" x14ac:dyDescent="0.25">
      <c r="E2573" t="str">
        <f>""</f>
        <v/>
      </c>
      <c r="F2573" t="str">
        <f>""</f>
        <v/>
      </c>
      <c r="H2573" t="str">
        <f t="shared" si="31"/>
        <v>SOCIAL SECURITY TAXES</v>
      </c>
    </row>
    <row r="2574" spans="5:8" x14ac:dyDescent="0.25">
      <c r="E2574" t="str">
        <f>""</f>
        <v/>
      </c>
      <c r="F2574" t="str">
        <f>""</f>
        <v/>
      </c>
      <c r="H2574" t="str">
        <f t="shared" si="31"/>
        <v>SOCIAL SECURITY TAXES</v>
      </c>
    </row>
    <row r="2575" spans="5:8" x14ac:dyDescent="0.25">
      <c r="E2575" t="str">
        <f>""</f>
        <v/>
      </c>
      <c r="F2575" t="str">
        <f>""</f>
        <v/>
      </c>
      <c r="H2575" t="str">
        <f t="shared" si="31"/>
        <v>SOCIAL SECURITY TAXES</v>
      </c>
    </row>
    <row r="2576" spans="5:8" x14ac:dyDescent="0.25">
      <c r="E2576" t="str">
        <f>""</f>
        <v/>
      </c>
      <c r="F2576" t="str">
        <f>""</f>
        <v/>
      </c>
      <c r="H2576" t="str">
        <f t="shared" ref="H2576:H2600" si="32">"SOCIAL SECURITY TAXES"</f>
        <v>SOCIAL SECURITY TAXES</v>
      </c>
    </row>
    <row r="2577" spans="5:8" x14ac:dyDescent="0.25">
      <c r="E2577" t="str">
        <f>""</f>
        <v/>
      </c>
      <c r="F2577" t="str">
        <f>""</f>
        <v/>
      </c>
      <c r="H2577" t="str">
        <f t="shared" si="32"/>
        <v>SOCIAL SECURITY TAXES</v>
      </c>
    </row>
    <row r="2578" spans="5:8" x14ac:dyDescent="0.25">
      <c r="E2578" t="str">
        <f>""</f>
        <v/>
      </c>
      <c r="F2578" t="str">
        <f>""</f>
        <v/>
      </c>
      <c r="H2578" t="str">
        <f t="shared" si="32"/>
        <v>SOCIAL SECURITY TAXES</v>
      </c>
    </row>
    <row r="2579" spans="5:8" x14ac:dyDescent="0.25">
      <c r="E2579" t="str">
        <f>""</f>
        <v/>
      </c>
      <c r="F2579" t="str">
        <f>""</f>
        <v/>
      </c>
      <c r="H2579" t="str">
        <f t="shared" si="32"/>
        <v>SOCIAL SECURITY TAXES</v>
      </c>
    </row>
    <row r="2580" spans="5:8" x14ac:dyDescent="0.25">
      <c r="E2580" t="str">
        <f>""</f>
        <v/>
      </c>
      <c r="F2580" t="str">
        <f>""</f>
        <v/>
      </c>
      <c r="H2580" t="str">
        <f t="shared" si="32"/>
        <v>SOCIAL SECURITY TAXES</v>
      </c>
    </row>
    <row r="2581" spans="5:8" x14ac:dyDescent="0.25">
      <c r="E2581" t="str">
        <f>""</f>
        <v/>
      </c>
      <c r="F2581" t="str">
        <f>""</f>
        <v/>
      </c>
      <c r="H2581" t="str">
        <f t="shared" si="32"/>
        <v>SOCIAL SECURITY TAXES</v>
      </c>
    </row>
    <row r="2582" spans="5:8" x14ac:dyDescent="0.25">
      <c r="E2582" t="str">
        <f>""</f>
        <v/>
      </c>
      <c r="F2582" t="str">
        <f>""</f>
        <v/>
      </c>
      <c r="H2582" t="str">
        <f t="shared" si="32"/>
        <v>SOCIAL SECURITY TAXES</v>
      </c>
    </row>
    <row r="2583" spans="5:8" x14ac:dyDescent="0.25">
      <c r="E2583" t="str">
        <f>""</f>
        <v/>
      </c>
      <c r="F2583" t="str">
        <f>""</f>
        <v/>
      </c>
      <c r="H2583" t="str">
        <f t="shared" si="32"/>
        <v>SOCIAL SECURITY TAXES</v>
      </c>
    </row>
    <row r="2584" spans="5:8" x14ac:dyDescent="0.25">
      <c r="E2584" t="str">
        <f>""</f>
        <v/>
      </c>
      <c r="F2584" t="str">
        <f>""</f>
        <v/>
      </c>
      <c r="H2584" t="str">
        <f t="shared" si="32"/>
        <v>SOCIAL SECURITY TAXES</v>
      </c>
    </row>
    <row r="2585" spans="5:8" x14ac:dyDescent="0.25">
      <c r="E2585" t="str">
        <f>""</f>
        <v/>
      </c>
      <c r="F2585" t="str">
        <f>""</f>
        <v/>
      </c>
      <c r="H2585" t="str">
        <f t="shared" si="32"/>
        <v>SOCIAL SECURITY TAXES</v>
      </c>
    </row>
    <row r="2586" spans="5:8" x14ac:dyDescent="0.25">
      <c r="E2586" t="str">
        <f>""</f>
        <v/>
      </c>
      <c r="F2586" t="str">
        <f>""</f>
        <v/>
      </c>
      <c r="H2586" t="str">
        <f t="shared" si="32"/>
        <v>SOCIAL SECURITY TAXES</v>
      </c>
    </row>
    <row r="2587" spans="5:8" x14ac:dyDescent="0.25">
      <c r="E2587" t="str">
        <f>""</f>
        <v/>
      </c>
      <c r="F2587" t="str">
        <f>""</f>
        <v/>
      </c>
      <c r="H2587" t="str">
        <f t="shared" si="32"/>
        <v>SOCIAL SECURITY TAXES</v>
      </c>
    </row>
    <row r="2588" spans="5:8" x14ac:dyDescent="0.25">
      <c r="E2588" t="str">
        <f>""</f>
        <v/>
      </c>
      <c r="F2588" t="str">
        <f>""</f>
        <v/>
      </c>
      <c r="H2588" t="str">
        <f t="shared" si="32"/>
        <v>SOCIAL SECURITY TAXES</v>
      </c>
    </row>
    <row r="2589" spans="5:8" x14ac:dyDescent="0.25">
      <c r="E2589" t="str">
        <f>""</f>
        <v/>
      </c>
      <c r="F2589" t="str">
        <f>""</f>
        <v/>
      </c>
      <c r="H2589" t="str">
        <f t="shared" si="32"/>
        <v>SOCIAL SECURITY TAXES</v>
      </c>
    </row>
    <row r="2590" spans="5:8" x14ac:dyDescent="0.25">
      <c r="E2590" t="str">
        <f>""</f>
        <v/>
      </c>
      <c r="F2590" t="str">
        <f>""</f>
        <v/>
      </c>
      <c r="H2590" t="str">
        <f t="shared" si="32"/>
        <v>SOCIAL SECURITY TAXES</v>
      </c>
    </row>
    <row r="2591" spans="5:8" x14ac:dyDescent="0.25">
      <c r="E2591" t="str">
        <f>""</f>
        <v/>
      </c>
      <c r="F2591" t="str">
        <f>""</f>
        <v/>
      </c>
      <c r="H2591" t="str">
        <f t="shared" si="32"/>
        <v>SOCIAL SECURITY TAXES</v>
      </c>
    </row>
    <row r="2592" spans="5:8" x14ac:dyDescent="0.25">
      <c r="E2592" t="str">
        <f>""</f>
        <v/>
      </c>
      <c r="F2592" t="str">
        <f>""</f>
        <v/>
      </c>
      <c r="H2592" t="str">
        <f t="shared" si="32"/>
        <v>SOCIAL SECURITY TAXES</v>
      </c>
    </row>
    <row r="2593" spans="5:8" x14ac:dyDescent="0.25">
      <c r="E2593" t="str">
        <f>""</f>
        <v/>
      </c>
      <c r="F2593" t="str">
        <f>""</f>
        <v/>
      </c>
      <c r="H2593" t="str">
        <f t="shared" si="32"/>
        <v>SOCIAL SECURITY TAXES</v>
      </c>
    </row>
    <row r="2594" spans="5:8" x14ac:dyDescent="0.25">
      <c r="E2594" t="str">
        <f>""</f>
        <v/>
      </c>
      <c r="F2594" t="str">
        <f>""</f>
        <v/>
      </c>
      <c r="H2594" t="str">
        <f t="shared" si="32"/>
        <v>SOCIAL SECURITY TAXES</v>
      </c>
    </row>
    <row r="2595" spans="5:8" x14ac:dyDescent="0.25">
      <c r="E2595" t="str">
        <f>""</f>
        <v/>
      </c>
      <c r="F2595" t="str">
        <f>""</f>
        <v/>
      </c>
      <c r="H2595" t="str">
        <f t="shared" si="32"/>
        <v>SOCIAL SECURITY TAXES</v>
      </c>
    </row>
    <row r="2596" spans="5:8" x14ac:dyDescent="0.25">
      <c r="E2596" t="str">
        <f>""</f>
        <v/>
      </c>
      <c r="F2596" t="str">
        <f>""</f>
        <v/>
      </c>
      <c r="H2596" t="str">
        <f t="shared" si="32"/>
        <v>SOCIAL SECURITY TAXES</v>
      </c>
    </row>
    <row r="2597" spans="5:8" x14ac:dyDescent="0.25">
      <c r="E2597" t="str">
        <f>"T3 201808223028"</f>
        <v>T3 201808223028</v>
      </c>
      <c r="F2597" t="str">
        <f>"SOCIAL SECURITY TAXES"</f>
        <v>SOCIAL SECURITY TAXES</v>
      </c>
      <c r="G2597" s="2">
        <v>3981.5</v>
      </c>
      <c r="H2597" t="str">
        <f t="shared" si="32"/>
        <v>SOCIAL SECURITY TAXES</v>
      </c>
    </row>
    <row r="2598" spans="5:8" x14ac:dyDescent="0.25">
      <c r="E2598" t="str">
        <f>""</f>
        <v/>
      </c>
      <c r="F2598" t="str">
        <f>""</f>
        <v/>
      </c>
      <c r="H2598" t="str">
        <f t="shared" si="32"/>
        <v>SOCIAL SECURITY TAXES</v>
      </c>
    </row>
    <row r="2599" spans="5:8" x14ac:dyDescent="0.25">
      <c r="E2599" t="str">
        <f>"T3 201808223029"</f>
        <v>T3 201808223029</v>
      </c>
      <c r="F2599" t="str">
        <f>"SOCIAL SECURITY TAXES"</f>
        <v>SOCIAL SECURITY TAXES</v>
      </c>
      <c r="G2599" s="2">
        <v>5065.62</v>
      </c>
      <c r="H2599" t="str">
        <f t="shared" si="32"/>
        <v>SOCIAL SECURITY TAXES</v>
      </c>
    </row>
    <row r="2600" spans="5:8" x14ac:dyDescent="0.25">
      <c r="E2600" t="str">
        <f>""</f>
        <v/>
      </c>
      <c r="F2600" t="str">
        <f>""</f>
        <v/>
      </c>
      <c r="H2600" t="str">
        <f t="shared" si="32"/>
        <v>SOCIAL SECURITY TAXES</v>
      </c>
    </row>
    <row r="2601" spans="5:8" x14ac:dyDescent="0.25">
      <c r="E2601" t="str">
        <f>"T4 201808223027"</f>
        <v>T4 201808223027</v>
      </c>
      <c r="F2601" t="str">
        <f>"MEDICARE TAXES"</f>
        <v>MEDICARE TAXES</v>
      </c>
      <c r="G2601" s="2">
        <v>23650.48</v>
      </c>
      <c r="H2601" t="str">
        <f t="shared" ref="H2601:H2632" si="33">"MEDICARE TAXES"</f>
        <v>MEDICARE TAXES</v>
      </c>
    </row>
    <row r="2602" spans="5:8" x14ac:dyDescent="0.25">
      <c r="E2602" t="str">
        <f>""</f>
        <v/>
      </c>
      <c r="F2602" t="str">
        <f>""</f>
        <v/>
      </c>
      <c r="H2602" t="str">
        <f t="shared" si="33"/>
        <v>MEDICARE TAXES</v>
      </c>
    </row>
    <row r="2603" spans="5:8" x14ac:dyDescent="0.25">
      <c r="E2603" t="str">
        <f>""</f>
        <v/>
      </c>
      <c r="F2603" t="str">
        <f>""</f>
        <v/>
      </c>
      <c r="H2603" t="str">
        <f t="shared" si="33"/>
        <v>MEDICARE TAXES</v>
      </c>
    </row>
    <row r="2604" spans="5:8" x14ac:dyDescent="0.25">
      <c r="E2604" t="str">
        <f>""</f>
        <v/>
      </c>
      <c r="F2604" t="str">
        <f>""</f>
        <v/>
      </c>
      <c r="H2604" t="str">
        <f t="shared" si="33"/>
        <v>MEDICARE TAXES</v>
      </c>
    </row>
    <row r="2605" spans="5:8" x14ac:dyDescent="0.25">
      <c r="E2605" t="str">
        <f>""</f>
        <v/>
      </c>
      <c r="F2605" t="str">
        <f>""</f>
        <v/>
      </c>
      <c r="H2605" t="str">
        <f t="shared" si="33"/>
        <v>MEDICARE TAXES</v>
      </c>
    </row>
    <row r="2606" spans="5:8" x14ac:dyDescent="0.25">
      <c r="E2606" t="str">
        <f>""</f>
        <v/>
      </c>
      <c r="F2606" t="str">
        <f>""</f>
        <v/>
      </c>
      <c r="H2606" t="str">
        <f t="shared" si="33"/>
        <v>MEDICARE TAXES</v>
      </c>
    </row>
    <row r="2607" spans="5:8" x14ac:dyDescent="0.25">
      <c r="E2607" t="str">
        <f>""</f>
        <v/>
      </c>
      <c r="F2607" t="str">
        <f>""</f>
        <v/>
      </c>
      <c r="H2607" t="str">
        <f t="shared" si="33"/>
        <v>MEDICARE TAXES</v>
      </c>
    </row>
    <row r="2608" spans="5:8" x14ac:dyDescent="0.25">
      <c r="E2608" t="str">
        <f>""</f>
        <v/>
      </c>
      <c r="F2608" t="str">
        <f>""</f>
        <v/>
      </c>
      <c r="H2608" t="str">
        <f t="shared" si="33"/>
        <v>MEDICARE TAXES</v>
      </c>
    </row>
    <row r="2609" spans="5:8" x14ac:dyDescent="0.25">
      <c r="E2609" t="str">
        <f>""</f>
        <v/>
      </c>
      <c r="F2609" t="str">
        <f>""</f>
        <v/>
      </c>
      <c r="H2609" t="str">
        <f t="shared" si="33"/>
        <v>MEDICARE TAXES</v>
      </c>
    </row>
    <row r="2610" spans="5:8" x14ac:dyDescent="0.25">
      <c r="E2610" t="str">
        <f>""</f>
        <v/>
      </c>
      <c r="F2610" t="str">
        <f>""</f>
        <v/>
      </c>
      <c r="H2610" t="str">
        <f t="shared" si="33"/>
        <v>MEDICARE TAXES</v>
      </c>
    </row>
    <row r="2611" spans="5:8" x14ac:dyDescent="0.25">
      <c r="E2611" t="str">
        <f>""</f>
        <v/>
      </c>
      <c r="F2611" t="str">
        <f>""</f>
        <v/>
      </c>
      <c r="H2611" t="str">
        <f t="shared" si="33"/>
        <v>MEDICARE TAXES</v>
      </c>
    </row>
    <row r="2612" spans="5:8" x14ac:dyDescent="0.25">
      <c r="E2612" t="str">
        <f>""</f>
        <v/>
      </c>
      <c r="F2612" t="str">
        <f>""</f>
        <v/>
      </c>
      <c r="H2612" t="str">
        <f t="shared" si="33"/>
        <v>MEDICARE TAXES</v>
      </c>
    </row>
    <row r="2613" spans="5:8" x14ac:dyDescent="0.25">
      <c r="E2613" t="str">
        <f>""</f>
        <v/>
      </c>
      <c r="F2613" t="str">
        <f>""</f>
        <v/>
      </c>
      <c r="H2613" t="str">
        <f t="shared" si="33"/>
        <v>MEDICARE TAXES</v>
      </c>
    </row>
    <row r="2614" spans="5:8" x14ac:dyDescent="0.25">
      <c r="E2614" t="str">
        <f>""</f>
        <v/>
      </c>
      <c r="F2614" t="str">
        <f>""</f>
        <v/>
      </c>
      <c r="H2614" t="str">
        <f t="shared" si="33"/>
        <v>MEDICARE TAXES</v>
      </c>
    </row>
    <row r="2615" spans="5:8" x14ac:dyDescent="0.25">
      <c r="E2615" t="str">
        <f>""</f>
        <v/>
      </c>
      <c r="F2615" t="str">
        <f>""</f>
        <v/>
      </c>
      <c r="H2615" t="str">
        <f t="shared" si="33"/>
        <v>MEDICARE TAXES</v>
      </c>
    </row>
    <row r="2616" spans="5:8" x14ac:dyDescent="0.25">
      <c r="E2616" t="str">
        <f>""</f>
        <v/>
      </c>
      <c r="F2616" t="str">
        <f>""</f>
        <v/>
      </c>
      <c r="H2616" t="str">
        <f t="shared" si="33"/>
        <v>MEDICARE TAXES</v>
      </c>
    </row>
    <row r="2617" spans="5:8" x14ac:dyDescent="0.25">
      <c r="E2617" t="str">
        <f>""</f>
        <v/>
      </c>
      <c r="F2617" t="str">
        <f>""</f>
        <v/>
      </c>
      <c r="H2617" t="str">
        <f t="shared" si="33"/>
        <v>MEDICARE TAXES</v>
      </c>
    </row>
    <row r="2618" spans="5:8" x14ac:dyDescent="0.25">
      <c r="E2618" t="str">
        <f>""</f>
        <v/>
      </c>
      <c r="F2618" t="str">
        <f>""</f>
        <v/>
      </c>
      <c r="H2618" t="str">
        <f t="shared" si="33"/>
        <v>MEDICARE TAXES</v>
      </c>
    </row>
    <row r="2619" spans="5:8" x14ac:dyDescent="0.25">
      <c r="E2619" t="str">
        <f>""</f>
        <v/>
      </c>
      <c r="F2619" t="str">
        <f>""</f>
        <v/>
      </c>
      <c r="H2619" t="str">
        <f t="shared" si="33"/>
        <v>MEDICARE TAXES</v>
      </c>
    </row>
    <row r="2620" spans="5:8" x14ac:dyDescent="0.25">
      <c r="E2620" t="str">
        <f>""</f>
        <v/>
      </c>
      <c r="F2620" t="str">
        <f>""</f>
        <v/>
      </c>
      <c r="H2620" t="str">
        <f t="shared" si="33"/>
        <v>MEDICARE TAXES</v>
      </c>
    </row>
    <row r="2621" spans="5:8" x14ac:dyDescent="0.25">
      <c r="E2621" t="str">
        <f>""</f>
        <v/>
      </c>
      <c r="F2621" t="str">
        <f>""</f>
        <v/>
      </c>
      <c r="H2621" t="str">
        <f t="shared" si="33"/>
        <v>MEDICARE TAXES</v>
      </c>
    </row>
    <row r="2622" spans="5:8" x14ac:dyDescent="0.25">
      <c r="E2622" t="str">
        <f>""</f>
        <v/>
      </c>
      <c r="F2622" t="str">
        <f>""</f>
        <v/>
      </c>
      <c r="H2622" t="str">
        <f t="shared" si="33"/>
        <v>MEDICARE TAXES</v>
      </c>
    </row>
    <row r="2623" spans="5:8" x14ac:dyDescent="0.25">
      <c r="E2623" t="str">
        <f>""</f>
        <v/>
      </c>
      <c r="F2623" t="str">
        <f>""</f>
        <v/>
      </c>
      <c r="H2623" t="str">
        <f t="shared" si="33"/>
        <v>MEDICARE TAXES</v>
      </c>
    </row>
    <row r="2624" spans="5:8" x14ac:dyDescent="0.25">
      <c r="E2624" t="str">
        <f>""</f>
        <v/>
      </c>
      <c r="F2624" t="str">
        <f>""</f>
        <v/>
      </c>
      <c r="H2624" t="str">
        <f t="shared" si="33"/>
        <v>MEDICARE TAXES</v>
      </c>
    </row>
    <row r="2625" spans="5:8" x14ac:dyDescent="0.25">
      <c r="E2625" t="str">
        <f>""</f>
        <v/>
      </c>
      <c r="F2625" t="str">
        <f>""</f>
        <v/>
      </c>
      <c r="H2625" t="str">
        <f t="shared" si="33"/>
        <v>MEDICARE TAXES</v>
      </c>
    </row>
    <row r="2626" spans="5:8" x14ac:dyDescent="0.25">
      <c r="E2626" t="str">
        <f>""</f>
        <v/>
      </c>
      <c r="F2626" t="str">
        <f>""</f>
        <v/>
      </c>
      <c r="H2626" t="str">
        <f t="shared" si="33"/>
        <v>MEDICARE TAXES</v>
      </c>
    </row>
    <row r="2627" spans="5:8" x14ac:dyDescent="0.25">
      <c r="E2627" t="str">
        <f>""</f>
        <v/>
      </c>
      <c r="F2627" t="str">
        <f>""</f>
        <v/>
      </c>
      <c r="H2627" t="str">
        <f t="shared" si="33"/>
        <v>MEDICARE TAXES</v>
      </c>
    </row>
    <row r="2628" spans="5:8" x14ac:dyDescent="0.25">
      <c r="E2628" t="str">
        <f>""</f>
        <v/>
      </c>
      <c r="F2628" t="str">
        <f>""</f>
        <v/>
      </c>
      <c r="H2628" t="str">
        <f t="shared" si="33"/>
        <v>MEDICARE TAXES</v>
      </c>
    </row>
    <row r="2629" spans="5:8" x14ac:dyDescent="0.25">
      <c r="E2629" t="str">
        <f>""</f>
        <v/>
      </c>
      <c r="F2629" t="str">
        <f>""</f>
        <v/>
      </c>
      <c r="H2629" t="str">
        <f t="shared" si="33"/>
        <v>MEDICARE TAXES</v>
      </c>
    </row>
    <row r="2630" spans="5:8" x14ac:dyDescent="0.25">
      <c r="E2630" t="str">
        <f>""</f>
        <v/>
      </c>
      <c r="F2630" t="str">
        <f>""</f>
        <v/>
      </c>
      <c r="H2630" t="str">
        <f t="shared" si="33"/>
        <v>MEDICARE TAXES</v>
      </c>
    </row>
    <row r="2631" spans="5:8" x14ac:dyDescent="0.25">
      <c r="E2631" t="str">
        <f>""</f>
        <v/>
      </c>
      <c r="F2631" t="str">
        <f>""</f>
        <v/>
      </c>
      <c r="H2631" t="str">
        <f t="shared" si="33"/>
        <v>MEDICARE TAXES</v>
      </c>
    </row>
    <row r="2632" spans="5:8" x14ac:dyDescent="0.25">
      <c r="E2632" t="str">
        <f>""</f>
        <v/>
      </c>
      <c r="F2632" t="str">
        <f>""</f>
        <v/>
      </c>
      <c r="H2632" t="str">
        <f t="shared" si="33"/>
        <v>MEDICARE TAXES</v>
      </c>
    </row>
    <row r="2633" spans="5:8" x14ac:dyDescent="0.25">
      <c r="E2633" t="str">
        <f>""</f>
        <v/>
      </c>
      <c r="F2633" t="str">
        <f>""</f>
        <v/>
      </c>
      <c r="H2633" t="str">
        <f t="shared" ref="H2633:H2657" si="34">"MEDICARE TAXES"</f>
        <v>MEDICARE TAXES</v>
      </c>
    </row>
    <row r="2634" spans="5:8" x14ac:dyDescent="0.25">
      <c r="E2634" t="str">
        <f>""</f>
        <v/>
      </c>
      <c r="F2634" t="str">
        <f>""</f>
        <v/>
      </c>
      <c r="H2634" t="str">
        <f t="shared" si="34"/>
        <v>MEDICARE TAXES</v>
      </c>
    </row>
    <row r="2635" spans="5:8" x14ac:dyDescent="0.25">
      <c r="E2635" t="str">
        <f>""</f>
        <v/>
      </c>
      <c r="F2635" t="str">
        <f>""</f>
        <v/>
      </c>
      <c r="H2635" t="str">
        <f t="shared" si="34"/>
        <v>MEDICARE TAXES</v>
      </c>
    </row>
    <row r="2636" spans="5:8" x14ac:dyDescent="0.25">
      <c r="E2636" t="str">
        <f>""</f>
        <v/>
      </c>
      <c r="F2636" t="str">
        <f>""</f>
        <v/>
      </c>
      <c r="H2636" t="str">
        <f t="shared" si="34"/>
        <v>MEDICARE TAXES</v>
      </c>
    </row>
    <row r="2637" spans="5:8" x14ac:dyDescent="0.25">
      <c r="E2637" t="str">
        <f>""</f>
        <v/>
      </c>
      <c r="F2637" t="str">
        <f>""</f>
        <v/>
      </c>
      <c r="H2637" t="str">
        <f t="shared" si="34"/>
        <v>MEDICARE TAXES</v>
      </c>
    </row>
    <row r="2638" spans="5:8" x14ac:dyDescent="0.25">
      <c r="E2638" t="str">
        <f>""</f>
        <v/>
      </c>
      <c r="F2638" t="str">
        <f>""</f>
        <v/>
      </c>
      <c r="H2638" t="str">
        <f t="shared" si="34"/>
        <v>MEDICARE TAXES</v>
      </c>
    </row>
    <row r="2639" spans="5:8" x14ac:dyDescent="0.25">
      <c r="E2639" t="str">
        <f>""</f>
        <v/>
      </c>
      <c r="F2639" t="str">
        <f>""</f>
        <v/>
      </c>
      <c r="H2639" t="str">
        <f t="shared" si="34"/>
        <v>MEDICARE TAXES</v>
      </c>
    </row>
    <row r="2640" spans="5:8" x14ac:dyDescent="0.25">
      <c r="E2640" t="str">
        <f>""</f>
        <v/>
      </c>
      <c r="F2640" t="str">
        <f>""</f>
        <v/>
      </c>
      <c r="H2640" t="str">
        <f t="shared" si="34"/>
        <v>MEDICARE TAXES</v>
      </c>
    </row>
    <row r="2641" spans="5:8" x14ac:dyDescent="0.25">
      <c r="E2641" t="str">
        <f>""</f>
        <v/>
      </c>
      <c r="F2641" t="str">
        <f>""</f>
        <v/>
      </c>
      <c r="H2641" t="str">
        <f t="shared" si="34"/>
        <v>MEDICARE TAXES</v>
      </c>
    </row>
    <row r="2642" spans="5:8" x14ac:dyDescent="0.25">
      <c r="E2642" t="str">
        <f>""</f>
        <v/>
      </c>
      <c r="F2642" t="str">
        <f>""</f>
        <v/>
      </c>
      <c r="H2642" t="str">
        <f t="shared" si="34"/>
        <v>MEDICARE TAXES</v>
      </c>
    </row>
    <row r="2643" spans="5:8" x14ac:dyDescent="0.25">
      <c r="E2643" t="str">
        <f>""</f>
        <v/>
      </c>
      <c r="F2643" t="str">
        <f>""</f>
        <v/>
      </c>
      <c r="H2643" t="str">
        <f t="shared" si="34"/>
        <v>MEDICARE TAXES</v>
      </c>
    </row>
    <row r="2644" spans="5:8" x14ac:dyDescent="0.25">
      <c r="E2644" t="str">
        <f>""</f>
        <v/>
      </c>
      <c r="F2644" t="str">
        <f>""</f>
        <v/>
      </c>
      <c r="H2644" t="str">
        <f t="shared" si="34"/>
        <v>MEDICARE TAXES</v>
      </c>
    </row>
    <row r="2645" spans="5:8" x14ac:dyDescent="0.25">
      <c r="E2645" t="str">
        <f>""</f>
        <v/>
      </c>
      <c r="F2645" t="str">
        <f>""</f>
        <v/>
      </c>
      <c r="H2645" t="str">
        <f t="shared" si="34"/>
        <v>MEDICARE TAXES</v>
      </c>
    </row>
    <row r="2646" spans="5:8" x14ac:dyDescent="0.25">
      <c r="E2646" t="str">
        <f>""</f>
        <v/>
      </c>
      <c r="F2646" t="str">
        <f>""</f>
        <v/>
      </c>
      <c r="H2646" t="str">
        <f t="shared" si="34"/>
        <v>MEDICARE TAXES</v>
      </c>
    </row>
    <row r="2647" spans="5:8" x14ac:dyDescent="0.25">
      <c r="E2647" t="str">
        <f>""</f>
        <v/>
      </c>
      <c r="F2647" t="str">
        <f>""</f>
        <v/>
      </c>
      <c r="H2647" t="str">
        <f t="shared" si="34"/>
        <v>MEDICARE TAXES</v>
      </c>
    </row>
    <row r="2648" spans="5:8" x14ac:dyDescent="0.25">
      <c r="E2648" t="str">
        <f>""</f>
        <v/>
      </c>
      <c r="F2648" t="str">
        <f>""</f>
        <v/>
      </c>
      <c r="H2648" t="str">
        <f t="shared" si="34"/>
        <v>MEDICARE TAXES</v>
      </c>
    </row>
    <row r="2649" spans="5:8" x14ac:dyDescent="0.25">
      <c r="E2649" t="str">
        <f>""</f>
        <v/>
      </c>
      <c r="F2649" t="str">
        <f>""</f>
        <v/>
      </c>
      <c r="H2649" t="str">
        <f t="shared" si="34"/>
        <v>MEDICARE TAXES</v>
      </c>
    </row>
    <row r="2650" spans="5:8" x14ac:dyDescent="0.25">
      <c r="E2650" t="str">
        <f>""</f>
        <v/>
      </c>
      <c r="F2650" t="str">
        <f>""</f>
        <v/>
      </c>
      <c r="H2650" t="str">
        <f t="shared" si="34"/>
        <v>MEDICARE TAXES</v>
      </c>
    </row>
    <row r="2651" spans="5:8" x14ac:dyDescent="0.25">
      <c r="E2651" t="str">
        <f>""</f>
        <v/>
      </c>
      <c r="F2651" t="str">
        <f>""</f>
        <v/>
      </c>
      <c r="H2651" t="str">
        <f t="shared" si="34"/>
        <v>MEDICARE TAXES</v>
      </c>
    </row>
    <row r="2652" spans="5:8" x14ac:dyDescent="0.25">
      <c r="E2652" t="str">
        <f>""</f>
        <v/>
      </c>
      <c r="F2652" t="str">
        <f>""</f>
        <v/>
      </c>
      <c r="H2652" t="str">
        <f t="shared" si="34"/>
        <v>MEDICARE TAXES</v>
      </c>
    </row>
    <row r="2653" spans="5:8" x14ac:dyDescent="0.25">
      <c r="E2653" t="str">
        <f>""</f>
        <v/>
      </c>
      <c r="F2653" t="str">
        <f>""</f>
        <v/>
      </c>
      <c r="H2653" t="str">
        <f t="shared" si="34"/>
        <v>MEDICARE TAXES</v>
      </c>
    </row>
    <row r="2654" spans="5:8" x14ac:dyDescent="0.25">
      <c r="E2654" t="str">
        <f>"T4 201808223028"</f>
        <v>T4 201808223028</v>
      </c>
      <c r="F2654" t="str">
        <f>"MEDICARE TAXES"</f>
        <v>MEDICARE TAXES</v>
      </c>
      <c r="G2654" s="2">
        <v>931.14</v>
      </c>
      <c r="H2654" t="str">
        <f t="shared" si="34"/>
        <v>MEDICARE TAXES</v>
      </c>
    </row>
    <row r="2655" spans="5:8" x14ac:dyDescent="0.25">
      <c r="E2655" t="str">
        <f>""</f>
        <v/>
      </c>
      <c r="F2655" t="str">
        <f>""</f>
        <v/>
      </c>
      <c r="H2655" t="str">
        <f t="shared" si="34"/>
        <v>MEDICARE TAXES</v>
      </c>
    </row>
    <row r="2656" spans="5:8" x14ac:dyDescent="0.25">
      <c r="E2656" t="str">
        <f>"T4 201808223029"</f>
        <v>T4 201808223029</v>
      </c>
      <c r="F2656" t="str">
        <f>"MEDICARE TAXES"</f>
        <v>MEDICARE TAXES</v>
      </c>
      <c r="G2656" s="2">
        <v>1184.74</v>
      </c>
      <c r="H2656" t="str">
        <f t="shared" si="34"/>
        <v>MEDICARE TAXES</v>
      </c>
    </row>
    <row r="2657" spans="1:8" x14ac:dyDescent="0.25">
      <c r="E2657" t="str">
        <f>""</f>
        <v/>
      </c>
      <c r="F2657" t="str">
        <f>""</f>
        <v/>
      </c>
      <c r="H2657" t="str">
        <f t="shared" si="34"/>
        <v>MEDICARE TAXES</v>
      </c>
    </row>
    <row r="2658" spans="1:8" x14ac:dyDescent="0.25">
      <c r="A2658" t="s">
        <v>601</v>
      </c>
      <c r="B2658">
        <v>46538</v>
      </c>
      <c r="C2658" s="3">
        <v>268.74</v>
      </c>
      <c r="D2658" s="1">
        <v>43322</v>
      </c>
      <c r="E2658" t="str">
        <f>"C64201808082881"</f>
        <v>C64201808082881</v>
      </c>
      <c r="F2658" t="str">
        <f>"CASE #912745322"</f>
        <v>CASE #912745322</v>
      </c>
      <c r="G2658" s="2">
        <v>268.74</v>
      </c>
      <c r="H2658" t="str">
        <f>"CASE #912745322"</f>
        <v>CASE #912745322</v>
      </c>
    </row>
    <row r="2659" spans="1:8" x14ac:dyDescent="0.25">
      <c r="A2659" t="s">
        <v>601</v>
      </c>
      <c r="B2659">
        <v>46565</v>
      </c>
      <c r="C2659" s="3">
        <v>143.91</v>
      </c>
      <c r="D2659" s="1">
        <v>43336</v>
      </c>
      <c r="E2659" t="str">
        <f>"C64201808223027"</f>
        <v>C64201808223027</v>
      </c>
      <c r="F2659" t="str">
        <f>"CASE #912745322"</f>
        <v>CASE #912745322</v>
      </c>
      <c r="G2659" s="2">
        <v>143.91</v>
      </c>
      <c r="H2659" t="str">
        <f>"CASE #912745322"</f>
        <v>CASE #912745322</v>
      </c>
    </row>
    <row r="2660" spans="1:8" x14ac:dyDescent="0.25">
      <c r="A2660" t="s">
        <v>602</v>
      </c>
      <c r="B2660">
        <v>0</v>
      </c>
      <c r="C2660" s="3">
        <v>28070.74</v>
      </c>
      <c r="D2660" s="1">
        <v>43341</v>
      </c>
      <c r="E2660" t="str">
        <f>"201808293119"</f>
        <v>201808293119</v>
      </c>
      <c r="F2660" t="str">
        <f>"August Retiree Ins"</f>
        <v>August Retiree Ins</v>
      </c>
      <c r="G2660" s="2">
        <v>28070.74</v>
      </c>
      <c r="H2660" t="str">
        <f>"August Retiree Ins"</f>
        <v>August Retiree Ins</v>
      </c>
    </row>
    <row r="2661" spans="1:8" x14ac:dyDescent="0.25">
      <c r="A2661" t="s">
        <v>603</v>
      </c>
      <c r="B2661">
        <v>46537</v>
      </c>
      <c r="C2661" s="3">
        <v>319.83999999999997</v>
      </c>
      <c r="D2661" s="1">
        <v>43322</v>
      </c>
      <c r="E2661" t="str">
        <f>"C33201808082882"</f>
        <v>C33201808082882</v>
      </c>
      <c r="F2661" t="str">
        <f>"NR58888M1"</f>
        <v>NR58888M1</v>
      </c>
      <c r="G2661" s="2">
        <v>319.83999999999997</v>
      </c>
      <c r="H2661" t="str">
        <f>"NR58888M1"</f>
        <v>NR58888M1</v>
      </c>
    </row>
    <row r="2662" spans="1:8" x14ac:dyDescent="0.25">
      <c r="A2662" t="s">
        <v>603</v>
      </c>
      <c r="B2662">
        <v>46564</v>
      </c>
      <c r="C2662" s="3">
        <v>319.83999999999997</v>
      </c>
      <c r="D2662" s="1">
        <v>43336</v>
      </c>
      <c r="E2662" t="str">
        <f>"C33201808223028"</f>
        <v>C33201808223028</v>
      </c>
      <c r="F2662" t="str">
        <f>"NR58888M1"</f>
        <v>NR58888M1</v>
      </c>
      <c r="G2662" s="2">
        <v>319.83999999999997</v>
      </c>
      <c r="H2662" t="str">
        <f>"NR58888M1"</f>
        <v>NR58888M1</v>
      </c>
    </row>
    <row r="2663" spans="1:8" x14ac:dyDescent="0.25">
      <c r="A2663" t="s">
        <v>604</v>
      </c>
      <c r="B2663">
        <v>0</v>
      </c>
      <c r="C2663" s="3">
        <v>674.82</v>
      </c>
      <c r="D2663" s="1">
        <v>43341</v>
      </c>
      <c r="E2663" t="str">
        <f>"LIX201808082881"</f>
        <v>LIX201808082881</v>
      </c>
      <c r="F2663" t="str">
        <f>"TEXAS LIFE/OLIVO GROUP"</f>
        <v>TEXAS LIFE/OLIVO GROUP</v>
      </c>
      <c r="G2663" s="2">
        <v>337.41</v>
      </c>
      <c r="H2663" t="str">
        <f>"TEXAS LIFE/OLIVO GROUP"</f>
        <v>TEXAS LIFE/OLIVO GROUP</v>
      </c>
    </row>
    <row r="2664" spans="1:8" x14ac:dyDescent="0.25">
      <c r="E2664" t="str">
        <f>"LIX201808223027"</f>
        <v>LIX201808223027</v>
      </c>
      <c r="F2664" t="str">
        <f>"TEXAS LIFE/OLIVO GROUP"</f>
        <v>TEXAS LIFE/OLIVO GROUP</v>
      </c>
      <c r="G2664" s="2">
        <v>337.41</v>
      </c>
      <c r="H2664" t="str">
        <f>"TEXAS LIFE/OLIVO GROUP"</f>
        <v>TEXAS LIFE/OLIVO GROUP</v>
      </c>
    </row>
    <row r="2665" spans="1:8" x14ac:dyDescent="0.25">
      <c r="A2665" t="s">
        <v>605</v>
      </c>
      <c r="B2665">
        <v>46571</v>
      </c>
      <c r="C2665" s="3">
        <v>336495.86</v>
      </c>
      <c r="D2665" s="1">
        <v>43341</v>
      </c>
      <c r="E2665" t="str">
        <f>"201808293116"</f>
        <v>201808293116</v>
      </c>
      <c r="F2665" t="str">
        <f>"August Retiree Ins"</f>
        <v>August Retiree Ins</v>
      </c>
      <c r="G2665" s="2">
        <v>16422.28</v>
      </c>
      <c r="H2665" t="str">
        <f>"TAC HEALTH BENEFITS POOL"</f>
        <v>TAC HEALTH BENEFITS POOL</v>
      </c>
    </row>
    <row r="2666" spans="1:8" x14ac:dyDescent="0.25">
      <c r="E2666" t="str">
        <f>"2EC201808082881"</f>
        <v>2EC201808082881</v>
      </c>
      <c r="F2666" t="str">
        <f>"BCBS PAYABLE"</f>
        <v>BCBS PAYABLE</v>
      </c>
      <c r="G2666" s="2">
        <v>45329.81</v>
      </c>
      <c r="H2666" t="str">
        <f t="shared" ref="H2666:H2729" si="35">"BCBS PAYABLE"</f>
        <v>BCBS PAYABLE</v>
      </c>
    </row>
    <row r="2667" spans="1:8" x14ac:dyDescent="0.25">
      <c r="E2667" t="str">
        <f>""</f>
        <v/>
      </c>
      <c r="F2667" t="str">
        <f>""</f>
        <v/>
      </c>
      <c r="H2667" t="str">
        <f t="shared" si="35"/>
        <v>BCBS PAYABLE</v>
      </c>
    </row>
    <row r="2668" spans="1:8" x14ac:dyDescent="0.25">
      <c r="E2668" t="str">
        <f>""</f>
        <v/>
      </c>
      <c r="F2668" t="str">
        <f>""</f>
        <v/>
      </c>
      <c r="H2668" t="str">
        <f t="shared" si="35"/>
        <v>BCBS PAYABLE</v>
      </c>
    </row>
    <row r="2669" spans="1:8" x14ac:dyDescent="0.25">
      <c r="E2669" t="str">
        <f>""</f>
        <v/>
      </c>
      <c r="F2669" t="str">
        <f>""</f>
        <v/>
      </c>
      <c r="H2669" t="str">
        <f t="shared" si="35"/>
        <v>BCBS PAYABLE</v>
      </c>
    </row>
    <row r="2670" spans="1:8" x14ac:dyDescent="0.25">
      <c r="E2670" t="str">
        <f>""</f>
        <v/>
      </c>
      <c r="F2670" t="str">
        <f>""</f>
        <v/>
      </c>
      <c r="H2670" t="str">
        <f t="shared" si="35"/>
        <v>BCBS PAYABLE</v>
      </c>
    </row>
    <row r="2671" spans="1:8" x14ac:dyDescent="0.25">
      <c r="E2671" t="str">
        <f>""</f>
        <v/>
      </c>
      <c r="F2671" t="str">
        <f>""</f>
        <v/>
      </c>
      <c r="H2671" t="str">
        <f t="shared" si="35"/>
        <v>BCBS PAYABLE</v>
      </c>
    </row>
    <row r="2672" spans="1:8" x14ac:dyDescent="0.25">
      <c r="E2672" t="str">
        <f>""</f>
        <v/>
      </c>
      <c r="F2672" t="str">
        <f>""</f>
        <v/>
      </c>
      <c r="H2672" t="str">
        <f t="shared" si="35"/>
        <v>BCBS PAYABLE</v>
      </c>
    </row>
    <row r="2673" spans="5:8" x14ac:dyDescent="0.25">
      <c r="E2673" t="str">
        <f>""</f>
        <v/>
      </c>
      <c r="F2673" t="str">
        <f>""</f>
        <v/>
      </c>
      <c r="H2673" t="str">
        <f t="shared" si="35"/>
        <v>BCBS PAYABLE</v>
      </c>
    </row>
    <row r="2674" spans="5:8" x14ac:dyDescent="0.25">
      <c r="E2674" t="str">
        <f>""</f>
        <v/>
      </c>
      <c r="F2674" t="str">
        <f>""</f>
        <v/>
      </c>
      <c r="H2674" t="str">
        <f t="shared" si="35"/>
        <v>BCBS PAYABLE</v>
      </c>
    </row>
    <row r="2675" spans="5:8" x14ac:dyDescent="0.25">
      <c r="E2675" t="str">
        <f>""</f>
        <v/>
      </c>
      <c r="F2675" t="str">
        <f>""</f>
        <v/>
      </c>
      <c r="H2675" t="str">
        <f t="shared" si="35"/>
        <v>BCBS PAYABLE</v>
      </c>
    </row>
    <row r="2676" spans="5:8" x14ac:dyDescent="0.25">
      <c r="E2676" t="str">
        <f>""</f>
        <v/>
      </c>
      <c r="F2676" t="str">
        <f>""</f>
        <v/>
      </c>
      <c r="H2676" t="str">
        <f t="shared" si="35"/>
        <v>BCBS PAYABLE</v>
      </c>
    </row>
    <row r="2677" spans="5:8" x14ac:dyDescent="0.25">
      <c r="E2677" t="str">
        <f>""</f>
        <v/>
      </c>
      <c r="F2677" t="str">
        <f>""</f>
        <v/>
      </c>
      <c r="H2677" t="str">
        <f t="shared" si="35"/>
        <v>BCBS PAYABLE</v>
      </c>
    </row>
    <row r="2678" spans="5:8" x14ac:dyDescent="0.25">
      <c r="E2678" t="str">
        <f>""</f>
        <v/>
      </c>
      <c r="F2678" t="str">
        <f>""</f>
        <v/>
      </c>
      <c r="H2678" t="str">
        <f t="shared" si="35"/>
        <v>BCBS PAYABLE</v>
      </c>
    </row>
    <row r="2679" spans="5:8" x14ac:dyDescent="0.25">
      <c r="E2679" t="str">
        <f>""</f>
        <v/>
      </c>
      <c r="F2679" t="str">
        <f>""</f>
        <v/>
      </c>
      <c r="H2679" t="str">
        <f t="shared" si="35"/>
        <v>BCBS PAYABLE</v>
      </c>
    </row>
    <row r="2680" spans="5:8" x14ac:dyDescent="0.25">
      <c r="E2680" t="str">
        <f>""</f>
        <v/>
      </c>
      <c r="F2680" t="str">
        <f>""</f>
        <v/>
      </c>
      <c r="H2680" t="str">
        <f t="shared" si="35"/>
        <v>BCBS PAYABLE</v>
      </c>
    </row>
    <row r="2681" spans="5:8" x14ac:dyDescent="0.25">
      <c r="E2681" t="str">
        <f>""</f>
        <v/>
      </c>
      <c r="F2681" t="str">
        <f>""</f>
        <v/>
      </c>
      <c r="H2681" t="str">
        <f t="shared" si="35"/>
        <v>BCBS PAYABLE</v>
      </c>
    </row>
    <row r="2682" spans="5:8" x14ac:dyDescent="0.25">
      <c r="E2682" t="str">
        <f>""</f>
        <v/>
      </c>
      <c r="F2682" t="str">
        <f>""</f>
        <v/>
      </c>
      <c r="H2682" t="str">
        <f t="shared" si="35"/>
        <v>BCBS PAYABLE</v>
      </c>
    </row>
    <row r="2683" spans="5:8" x14ac:dyDescent="0.25">
      <c r="E2683" t="str">
        <f>""</f>
        <v/>
      </c>
      <c r="F2683" t="str">
        <f>""</f>
        <v/>
      </c>
      <c r="H2683" t="str">
        <f t="shared" si="35"/>
        <v>BCBS PAYABLE</v>
      </c>
    </row>
    <row r="2684" spans="5:8" x14ac:dyDescent="0.25">
      <c r="E2684" t="str">
        <f>""</f>
        <v/>
      </c>
      <c r="F2684" t="str">
        <f>""</f>
        <v/>
      </c>
      <c r="H2684" t="str">
        <f t="shared" si="35"/>
        <v>BCBS PAYABLE</v>
      </c>
    </row>
    <row r="2685" spans="5:8" x14ac:dyDescent="0.25">
      <c r="E2685" t="str">
        <f>""</f>
        <v/>
      </c>
      <c r="F2685" t="str">
        <f>""</f>
        <v/>
      </c>
      <c r="H2685" t="str">
        <f t="shared" si="35"/>
        <v>BCBS PAYABLE</v>
      </c>
    </row>
    <row r="2686" spans="5:8" x14ac:dyDescent="0.25">
      <c r="E2686" t="str">
        <f>""</f>
        <v/>
      </c>
      <c r="F2686" t="str">
        <f>""</f>
        <v/>
      </c>
      <c r="H2686" t="str">
        <f t="shared" si="35"/>
        <v>BCBS PAYABLE</v>
      </c>
    </row>
    <row r="2687" spans="5:8" x14ac:dyDescent="0.25">
      <c r="E2687" t="str">
        <f>""</f>
        <v/>
      </c>
      <c r="F2687" t="str">
        <f>""</f>
        <v/>
      </c>
      <c r="H2687" t="str">
        <f t="shared" si="35"/>
        <v>BCBS PAYABLE</v>
      </c>
    </row>
    <row r="2688" spans="5:8" x14ac:dyDescent="0.25">
      <c r="E2688" t="str">
        <f>""</f>
        <v/>
      </c>
      <c r="F2688" t="str">
        <f>""</f>
        <v/>
      </c>
      <c r="H2688" t="str">
        <f t="shared" si="35"/>
        <v>BCBS PAYABLE</v>
      </c>
    </row>
    <row r="2689" spans="5:8" x14ac:dyDescent="0.25">
      <c r="E2689" t="str">
        <f>""</f>
        <v/>
      </c>
      <c r="F2689" t="str">
        <f>""</f>
        <v/>
      </c>
      <c r="H2689" t="str">
        <f t="shared" si="35"/>
        <v>BCBS PAYABLE</v>
      </c>
    </row>
    <row r="2690" spans="5:8" x14ac:dyDescent="0.25">
      <c r="E2690" t="str">
        <f>""</f>
        <v/>
      </c>
      <c r="F2690" t="str">
        <f>""</f>
        <v/>
      </c>
      <c r="H2690" t="str">
        <f t="shared" si="35"/>
        <v>BCBS PAYABLE</v>
      </c>
    </row>
    <row r="2691" spans="5:8" x14ac:dyDescent="0.25">
      <c r="E2691" t="str">
        <f>""</f>
        <v/>
      </c>
      <c r="F2691" t="str">
        <f>""</f>
        <v/>
      </c>
      <c r="H2691" t="str">
        <f t="shared" si="35"/>
        <v>BCBS PAYABLE</v>
      </c>
    </row>
    <row r="2692" spans="5:8" x14ac:dyDescent="0.25">
      <c r="E2692" t="str">
        <f>""</f>
        <v/>
      </c>
      <c r="F2692" t="str">
        <f>""</f>
        <v/>
      </c>
      <c r="H2692" t="str">
        <f t="shared" si="35"/>
        <v>BCBS PAYABLE</v>
      </c>
    </row>
    <row r="2693" spans="5:8" x14ac:dyDescent="0.25">
      <c r="E2693" t="str">
        <f>""</f>
        <v/>
      </c>
      <c r="F2693" t="str">
        <f>""</f>
        <v/>
      </c>
      <c r="H2693" t="str">
        <f t="shared" si="35"/>
        <v>BCBS PAYABLE</v>
      </c>
    </row>
    <row r="2694" spans="5:8" x14ac:dyDescent="0.25">
      <c r="E2694" t="str">
        <f>""</f>
        <v/>
      </c>
      <c r="F2694" t="str">
        <f>""</f>
        <v/>
      </c>
      <c r="H2694" t="str">
        <f t="shared" si="35"/>
        <v>BCBS PAYABLE</v>
      </c>
    </row>
    <row r="2695" spans="5:8" x14ac:dyDescent="0.25">
      <c r="E2695" t="str">
        <f>""</f>
        <v/>
      </c>
      <c r="F2695" t="str">
        <f>""</f>
        <v/>
      </c>
      <c r="H2695" t="str">
        <f t="shared" si="35"/>
        <v>BCBS PAYABLE</v>
      </c>
    </row>
    <row r="2696" spans="5:8" x14ac:dyDescent="0.25">
      <c r="E2696" t="str">
        <f>""</f>
        <v/>
      </c>
      <c r="F2696" t="str">
        <f>""</f>
        <v/>
      </c>
      <c r="H2696" t="str">
        <f t="shared" si="35"/>
        <v>BCBS PAYABLE</v>
      </c>
    </row>
    <row r="2697" spans="5:8" x14ac:dyDescent="0.25">
      <c r="E2697" t="str">
        <f>""</f>
        <v/>
      </c>
      <c r="F2697" t="str">
        <f>""</f>
        <v/>
      </c>
      <c r="H2697" t="str">
        <f t="shared" si="35"/>
        <v>BCBS PAYABLE</v>
      </c>
    </row>
    <row r="2698" spans="5:8" x14ac:dyDescent="0.25">
      <c r="E2698" t="str">
        <f>"2EC201808082882"</f>
        <v>2EC201808082882</v>
      </c>
      <c r="F2698" t="str">
        <f>"BCBS PAYABLE"</f>
        <v>BCBS PAYABLE</v>
      </c>
      <c r="G2698" s="2">
        <v>1795.24</v>
      </c>
      <c r="H2698" t="str">
        <f t="shared" si="35"/>
        <v>BCBS PAYABLE</v>
      </c>
    </row>
    <row r="2699" spans="5:8" x14ac:dyDescent="0.25">
      <c r="E2699" t="str">
        <f>""</f>
        <v/>
      </c>
      <c r="F2699" t="str">
        <f>""</f>
        <v/>
      </c>
      <c r="H2699" t="str">
        <f t="shared" si="35"/>
        <v>BCBS PAYABLE</v>
      </c>
    </row>
    <row r="2700" spans="5:8" x14ac:dyDescent="0.25">
      <c r="E2700" t="str">
        <f>"2EC201808223027"</f>
        <v>2EC201808223027</v>
      </c>
      <c r="F2700" t="str">
        <f>"BCBS PAYABLE"</f>
        <v>BCBS PAYABLE</v>
      </c>
      <c r="G2700" s="2">
        <v>45900.9</v>
      </c>
      <c r="H2700" t="str">
        <f t="shared" si="35"/>
        <v>BCBS PAYABLE</v>
      </c>
    </row>
    <row r="2701" spans="5:8" x14ac:dyDescent="0.25">
      <c r="E2701" t="str">
        <f>""</f>
        <v/>
      </c>
      <c r="F2701" t="str">
        <f>""</f>
        <v/>
      </c>
      <c r="H2701" t="str">
        <f t="shared" si="35"/>
        <v>BCBS PAYABLE</v>
      </c>
    </row>
    <row r="2702" spans="5:8" x14ac:dyDescent="0.25">
      <c r="E2702" t="str">
        <f>""</f>
        <v/>
      </c>
      <c r="F2702" t="str">
        <f>""</f>
        <v/>
      </c>
      <c r="H2702" t="str">
        <f t="shared" si="35"/>
        <v>BCBS PAYABLE</v>
      </c>
    </row>
    <row r="2703" spans="5:8" x14ac:dyDescent="0.25">
      <c r="E2703" t="str">
        <f>""</f>
        <v/>
      </c>
      <c r="F2703" t="str">
        <f>""</f>
        <v/>
      </c>
      <c r="H2703" t="str">
        <f t="shared" si="35"/>
        <v>BCBS PAYABLE</v>
      </c>
    </row>
    <row r="2704" spans="5:8" x14ac:dyDescent="0.25">
      <c r="E2704" t="str">
        <f>""</f>
        <v/>
      </c>
      <c r="F2704" t="str">
        <f>""</f>
        <v/>
      </c>
      <c r="H2704" t="str">
        <f t="shared" si="35"/>
        <v>BCBS PAYABLE</v>
      </c>
    </row>
    <row r="2705" spans="5:8" x14ac:dyDescent="0.25">
      <c r="E2705" t="str">
        <f>""</f>
        <v/>
      </c>
      <c r="F2705" t="str">
        <f>""</f>
        <v/>
      </c>
      <c r="H2705" t="str">
        <f t="shared" si="35"/>
        <v>BCBS PAYABLE</v>
      </c>
    </row>
    <row r="2706" spans="5:8" x14ac:dyDescent="0.25">
      <c r="E2706" t="str">
        <f>""</f>
        <v/>
      </c>
      <c r="F2706" t="str">
        <f>""</f>
        <v/>
      </c>
      <c r="H2706" t="str">
        <f t="shared" si="35"/>
        <v>BCBS PAYABLE</v>
      </c>
    </row>
    <row r="2707" spans="5:8" x14ac:dyDescent="0.25">
      <c r="E2707" t="str">
        <f>""</f>
        <v/>
      </c>
      <c r="F2707" t="str">
        <f>""</f>
        <v/>
      </c>
      <c r="H2707" t="str">
        <f t="shared" si="35"/>
        <v>BCBS PAYABLE</v>
      </c>
    </row>
    <row r="2708" spans="5:8" x14ac:dyDescent="0.25">
      <c r="E2708" t="str">
        <f>""</f>
        <v/>
      </c>
      <c r="F2708" t="str">
        <f>""</f>
        <v/>
      </c>
      <c r="H2708" t="str">
        <f t="shared" si="35"/>
        <v>BCBS PAYABLE</v>
      </c>
    </row>
    <row r="2709" spans="5:8" x14ac:dyDescent="0.25">
      <c r="E2709" t="str">
        <f>""</f>
        <v/>
      </c>
      <c r="F2709" t="str">
        <f>""</f>
        <v/>
      </c>
      <c r="H2709" t="str">
        <f t="shared" si="35"/>
        <v>BCBS PAYABLE</v>
      </c>
    </row>
    <row r="2710" spans="5:8" x14ac:dyDescent="0.25">
      <c r="E2710" t="str">
        <f>""</f>
        <v/>
      </c>
      <c r="F2710" t="str">
        <f>""</f>
        <v/>
      </c>
      <c r="H2710" t="str">
        <f t="shared" si="35"/>
        <v>BCBS PAYABLE</v>
      </c>
    </row>
    <row r="2711" spans="5:8" x14ac:dyDescent="0.25">
      <c r="E2711" t="str">
        <f>""</f>
        <v/>
      </c>
      <c r="F2711" t="str">
        <f>""</f>
        <v/>
      </c>
      <c r="H2711" t="str">
        <f t="shared" si="35"/>
        <v>BCBS PAYABLE</v>
      </c>
    </row>
    <row r="2712" spans="5:8" x14ac:dyDescent="0.25">
      <c r="E2712" t="str">
        <f>""</f>
        <v/>
      </c>
      <c r="F2712" t="str">
        <f>""</f>
        <v/>
      </c>
      <c r="H2712" t="str">
        <f t="shared" si="35"/>
        <v>BCBS PAYABLE</v>
      </c>
    </row>
    <row r="2713" spans="5:8" x14ac:dyDescent="0.25">
      <c r="E2713" t="str">
        <f>""</f>
        <v/>
      </c>
      <c r="F2713" t="str">
        <f>""</f>
        <v/>
      </c>
      <c r="H2713" t="str">
        <f t="shared" si="35"/>
        <v>BCBS PAYABLE</v>
      </c>
    </row>
    <row r="2714" spans="5:8" x14ac:dyDescent="0.25">
      <c r="E2714" t="str">
        <f>""</f>
        <v/>
      </c>
      <c r="F2714" t="str">
        <f>""</f>
        <v/>
      </c>
      <c r="H2714" t="str">
        <f t="shared" si="35"/>
        <v>BCBS PAYABLE</v>
      </c>
    </row>
    <row r="2715" spans="5:8" x14ac:dyDescent="0.25">
      <c r="E2715" t="str">
        <f>""</f>
        <v/>
      </c>
      <c r="F2715" t="str">
        <f>""</f>
        <v/>
      </c>
      <c r="H2715" t="str">
        <f t="shared" si="35"/>
        <v>BCBS PAYABLE</v>
      </c>
    </row>
    <row r="2716" spans="5:8" x14ac:dyDescent="0.25">
      <c r="E2716" t="str">
        <f>""</f>
        <v/>
      </c>
      <c r="F2716" t="str">
        <f>""</f>
        <v/>
      </c>
      <c r="H2716" t="str">
        <f t="shared" si="35"/>
        <v>BCBS PAYABLE</v>
      </c>
    </row>
    <row r="2717" spans="5:8" x14ac:dyDescent="0.25">
      <c r="E2717" t="str">
        <f>""</f>
        <v/>
      </c>
      <c r="F2717" t="str">
        <f>""</f>
        <v/>
      </c>
      <c r="H2717" t="str">
        <f t="shared" si="35"/>
        <v>BCBS PAYABLE</v>
      </c>
    </row>
    <row r="2718" spans="5:8" x14ac:dyDescent="0.25">
      <c r="E2718" t="str">
        <f>""</f>
        <v/>
      </c>
      <c r="F2718" t="str">
        <f>""</f>
        <v/>
      </c>
      <c r="H2718" t="str">
        <f t="shared" si="35"/>
        <v>BCBS PAYABLE</v>
      </c>
    </row>
    <row r="2719" spans="5:8" x14ac:dyDescent="0.25">
      <c r="E2719" t="str">
        <f>""</f>
        <v/>
      </c>
      <c r="F2719" t="str">
        <f>""</f>
        <v/>
      </c>
      <c r="H2719" t="str">
        <f t="shared" si="35"/>
        <v>BCBS PAYABLE</v>
      </c>
    </row>
    <row r="2720" spans="5:8" x14ac:dyDescent="0.25">
      <c r="E2720" t="str">
        <f>""</f>
        <v/>
      </c>
      <c r="F2720" t="str">
        <f>""</f>
        <v/>
      </c>
      <c r="H2720" t="str">
        <f t="shared" si="35"/>
        <v>BCBS PAYABLE</v>
      </c>
    </row>
    <row r="2721" spans="5:8" x14ac:dyDescent="0.25">
      <c r="E2721" t="str">
        <f>""</f>
        <v/>
      </c>
      <c r="F2721" t="str">
        <f>""</f>
        <v/>
      </c>
      <c r="H2721" t="str">
        <f t="shared" si="35"/>
        <v>BCBS PAYABLE</v>
      </c>
    </row>
    <row r="2722" spans="5:8" x14ac:dyDescent="0.25">
      <c r="E2722" t="str">
        <f>""</f>
        <v/>
      </c>
      <c r="F2722" t="str">
        <f>""</f>
        <v/>
      </c>
      <c r="H2722" t="str">
        <f t="shared" si="35"/>
        <v>BCBS PAYABLE</v>
      </c>
    </row>
    <row r="2723" spans="5:8" x14ac:dyDescent="0.25">
      <c r="E2723" t="str">
        <f>""</f>
        <v/>
      </c>
      <c r="F2723" t="str">
        <f>""</f>
        <v/>
      </c>
      <c r="H2723" t="str">
        <f t="shared" si="35"/>
        <v>BCBS PAYABLE</v>
      </c>
    </row>
    <row r="2724" spans="5:8" x14ac:dyDescent="0.25">
      <c r="E2724" t="str">
        <f>""</f>
        <v/>
      </c>
      <c r="F2724" t="str">
        <f>""</f>
        <v/>
      </c>
      <c r="H2724" t="str">
        <f t="shared" si="35"/>
        <v>BCBS PAYABLE</v>
      </c>
    </row>
    <row r="2725" spans="5:8" x14ac:dyDescent="0.25">
      <c r="E2725" t="str">
        <f>""</f>
        <v/>
      </c>
      <c r="F2725" t="str">
        <f>""</f>
        <v/>
      </c>
      <c r="H2725" t="str">
        <f t="shared" si="35"/>
        <v>BCBS PAYABLE</v>
      </c>
    </row>
    <row r="2726" spans="5:8" x14ac:dyDescent="0.25">
      <c r="E2726" t="str">
        <f>""</f>
        <v/>
      </c>
      <c r="F2726" t="str">
        <f>""</f>
        <v/>
      </c>
      <c r="H2726" t="str">
        <f t="shared" si="35"/>
        <v>BCBS PAYABLE</v>
      </c>
    </row>
    <row r="2727" spans="5:8" x14ac:dyDescent="0.25">
      <c r="E2727" t="str">
        <f>""</f>
        <v/>
      </c>
      <c r="F2727" t="str">
        <f>""</f>
        <v/>
      </c>
      <c r="H2727" t="str">
        <f t="shared" si="35"/>
        <v>BCBS PAYABLE</v>
      </c>
    </row>
    <row r="2728" spans="5:8" x14ac:dyDescent="0.25">
      <c r="E2728" t="str">
        <f>""</f>
        <v/>
      </c>
      <c r="F2728" t="str">
        <f>""</f>
        <v/>
      </c>
      <c r="H2728" t="str">
        <f t="shared" si="35"/>
        <v>BCBS PAYABLE</v>
      </c>
    </row>
    <row r="2729" spans="5:8" x14ac:dyDescent="0.25">
      <c r="E2729" t="str">
        <f>""</f>
        <v/>
      </c>
      <c r="F2729" t="str">
        <f>""</f>
        <v/>
      </c>
      <c r="H2729" t="str">
        <f t="shared" si="35"/>
        <v>BCBS PAYABLE</v>
      </c>
    </row>
    <row r="2730" spans="5:8" x14ac:dyDescent="0.25">
      <c r="E2730" t="str">
        <f>""</f>
        <v/>
      </c>
      <c r="F2730" t="str">
        <f>""</f>
        <v/>
      </c>
      <c r="H2730" t="str">
        <f t="shared" ref="H2730:H2793" si="36">"BCBS PAYABLE"</f>
        <v>BCBS PAYABLE</v>
      </c>
    </row>
    <row r="2731" spans="5:8" x14ac:dyDescent="0.25">
      <c r="E2731" t="str">
        <f>""</f>
        <v/>
      </c>
      <c r="F2731" t="str">
        <f>""</f>
        <v/>
      </c>
      <c r="H2731" t="str">
        <f t="shared" si="36"/>
        <v>BCBS PAYABLE</v>
      </c>
    </row>
    <row r="2732" spans="5:8" x14ac:dyDescent="0.25">
      <c r="E2732" t="str">
        <f>"2EC201808223028"</f>
        <v>2EC201808223028</v>
      </c>
      <c r="F2732" t="str">
        <f>"BCBS PAYABLE"</f>
        <v>BCBS PAYABLE</v>
      </c>
      <c r="G2732" s="2">
        <v>2366.33</v>
      </c>
      <c r="H2732" t="str">
        <f t="shared" si="36"/>
        <v>BCBS PAYABLE</v>
      </c>
    </row>
    <row r="2733" spans="5:8" x14ac:dyDescent="0.25">
      <c r="E2733" t="str">
        <f>""</f>
        <v/>
      </c>
      <c r="F2733" t="str">
        <f>""</f>
        <v/>
      </c>
      <c r="H2733" t="str">
        <f t="shared" si="36"/>
        <v>BCBS PAYABLE</v>
      </c>
    </row>
    <row r="2734" spans="5:8" x14ac:dyDescent="0.25">
      <c r="E2734" t="str">
        <f>"2EF201808082881"</f>
        <v>2EF201808082881</v>
      </c>
      <c r="F2734" t="str">
        <f>"BCBS PAYABLE"</f>
        <v>BCBS PAYABLE</v>
      </c>
      <c r="G2734" s="2">
        <v>891.87</v>
      </c>
      <c r="H2734" t="str">
        <f t="shared" si="36"/>
        <v>BCBS PAYABLE</v>
      </c>
    </row>
    <row r="2735" spans="5:8" x14ac:dyDescent="0.25">
      <c r="E2735" t="str">
        <f>""</f>
        <v/>
      </c>
      <c r="F2735" t="str">
        <f>""</f>
        <v/>
      </c>
      <c r="H2735" t="str">
        <f t="shared" si="36"/>
        <v>BCBS PAYABLE</v>
      </c>
    </row>
    <row r="2736" spans="5:8" x14ac:dyDescent="0.25">
      <c r="E2736" t="str">
        <f>"2EF201808223027"</f>
        <v>2EF201808223027</v>
      </c>
      <c r="F2736" t="str">
        <f>"BCBS PAYABLE"</f>
        <v>BCBS PAYABLE</v>
      </c>
      <c r="G2736" s="2">
        <v>891.87</v>
      </c>
      <c r="H2736" t="str">
        <f t="shared" si="36"/>
        <v>BCBS PAYABLE</v>
      </c>
    </row>
    <row r="2737" spans="5:8" x14ac:dyDescent="0.25">
      <c r="E2737" t="str">
        <f>""</f>
        <v/>
      </c>
      <c r="F2737" t="str">
        <f>""</f>
        <v/>
      </c>
      <c r="H2737" t="str">
        <f t="shared" si="36"/>
        <v>BCBS PAYABLE</v>
      </c>
    </row>
    <row r="2738" spans="5:8" x14ac:dyDescent="0.25">
      <c r="E2738" t="str">
        <f>"2EO201808082881"</f>
        <v>2EO201808082881</v>
      </c>
      <c r="F2738" t="str">
        <f>"BCBS PAYABLE"</f>
        <v>BCBS PAYABLE</v>
      </c>
      <c r="G2738" s="2">
        <v>92407.99</v>
      </c>
      <c r="H2738" t="str">
        <f t="shared" si="36"/>
        <v>BCBS PAYABLE</v>
      </c>
    </row>
    <row r="2739" spans="5:8" x14ac:dyDescent="0.25">
      <c r="E2739" t="str">
        <f>""</f>
        <v/>
      </c>
      <c r="F2739" t="str">
        <f>""</f>
        <v/>
      </c>
      <c r="H2739" t="str">
        <f t="shared" si="36"/>
        <v>BCBS PAYABLE</v>
      </c>
    </row>
    <row r="2740" spans="5:8" x14ac:dyDescent="0.25">
      <c r="E2740" t="str">
        <f>""</f>
        <v/>
      </c>
      <c r="F2740" t="str">
        <f>""</f>
        <v/>
      </c>
      <c r="H2740" t="str">
        <f t="shared" si="36"/>
        <v>BCBS PAYABLE</v>
      </c>
    </row>
    <row r="2741" spans="5:8" x14ac:dyDescent="0.25">
      <c r="E2741" t="str">
        <f>""</f>
        <v/>
      </c>
      <c r="F2741" t="str">
        <f>""</f>
        <v/>
      </c>
      <c r="H2741" t="str">
        <f t="shared" si="36"/>
        <v>BCBS PAYABLE</v>
      </c>
    </row>
    <row r="2742" spans="5:8" x14ac:dyDescent="0.25">
      <c r="E2742" t="str">
        <f>""</f>
        <v/>
      </c>
      <c r="F2742" t="str">
        <f>""</f>
        <v/>
      </c>
      <c r="H2742" t="str">
        <f t="shared" si="36"/>
        <v>BCBS PAYABLE</v>
      </c>
    </row>
    <row r="2743" spans="5:8" x14ac:dyDescent="0.25">
      <c r="E2743" t="str">
        <f>""</f>
        <v/>
      </c>
      <c r="F2743" t="str">
        <f>""</f>
        <v/>
      </c>
      <c r="H2743" t="str">
        <f t="shared" si="36"/>
        <v>BCBS PAYABLE</v>
      </c>
    </row>
    <row r="2744" spans="5:8" x14ac:dyDescent="0.25">
      <c r="E2744" t="str">
        <f>""</f>
        <v/>
      </c>
      <c r="F2744" t="str">
        <f>""</f>
        <v/>
      </c>
      <c r="H2744" t="str">
        <f t="shared" si="36"/>
        <v>BCBS PAYABLE</v>
      </c>
    </row>
    <row r="2745" spans="5:8" x14ac:dyDescent="0.25">
      <c r="E2745" t="str">
        <f>""</f>
        <v/>
      </c>
      <c r="F2745" t="str">
        <f>""</f>
        <v/>
      </c>
      <c r="H2745" t="str">
        <f t="shared" si="36"/>
        <v>BCBS PAYABLE</v>
      </c>
    </row>
    <row r="2746" spans="5:8" x14ac:dyDescent="0.25">
      <c r="E2746" t="str">
        <f>""</f>
        <v/>
      </c>
      <c r="F2746" t="str">
        <f>""</f>
        <v/>
      </c>
      <c r="H2746" t="str">
        <f t="shared" si="36"/>
        <v>BCBS PAYABLE</v>
      </c>
    </row>
    <row r="2747" spans="5:8" x14ac:dyDescent="0.25">
      <c r="E2747" t="str">
        <f>""</f>
        <v/>
      </c>
      <c r="F2747" t="str">
        <f>""</f>
        <v/>
      </c>
      <c r="H2747" t="str">
        <f t="shared" si="36"/>
        <v>BCBS PAYABLE</v>
      </c>
    </row>
    <row r="2748" spans="5:8" x14ac:dyDescent="0.25">
      <c r="E2748" t="str">
        <f>""</f>
        <v/>
      </c>
      <c r="F2748" t="str">
        <f>""</f>
        <v/>
      </c>
      <c r="H2748" t="str">
        <f t="shared" si="36"/>
        <v>BCBS PAYABLE</v>
      </c>
    </row>
    <row r="2749" spans="5:8" x14ac:dyDescent="0.25">
      <c r="E2749" t="str">
        <f>""</f>
        <v/>
      </c>
      <c r="F2749" t="str">
        <f>""</f>
        <v/>
      </c>
      <c r="H2749" t="str">
        <f t="shared" si="36"/>
        <v>BCBS PAYABLE</v>
      </c>
    </row>
    <row r="2750" spans="5:8" x14ac:dyDescent="0.25">
      <c r="E2750" t="str">
        <f>""</f>
        <v/>
      </c>
      <c r="F2750" t="str">
        <f>""</f>
        <v/>
      </c>
      <c r="H2750" t="str">
        <f t="shared" si="36"/>
        <v>BCBS PAYABLE</v>
      </c>
    </row>
    <row r="2751" spans="5:8" x14ac:dyDescent="0.25">
      <c r="E2751" t="str">
        <f>""</f>
        <v/>
      </c>
      <c r="F2751" t="str">
        <f>""</f>
        <v/>
      </c>
      <c r="H2751" t="str">
        <f t="shared" si="36"/>
        <v>BCBS PAYABLE</v>
      </c>
    </row>
    <row r="2752" spans="5:8" x14ac:dyDescent="0.25">
      <c r="E2752" t="str">
        <f>""</f>
        <v/>
      </c>
      <c r="F2752" t="str">
        <f>""</f>
        <v/>
      </c>
      <c r="H2752" t="str">
        <f t="shared" si="36"/>
        <v>BCBS PAYABLE</v>
      </c>
    </row>
    <row r="2753" spans="5:8" x14ac:dyDescent="0.25">
      <c r="E2753" t="str">
        <f>""</f>
        <v/>
      </c>
      <c r="F2753" t="str">
        <f>""</f>
        <v/>
      </c>
      <c r="H2753" t="str">
        <f t="shared" si="36"/>
        <v>BCBS PAYABLE</v>
      </c>
    </row>
    <row r="2754" spans="5:8" x14ac:dyDescent="0.25">
      <c r="E2754" t="str">
        <f>""</f>
        <v/>
      </c>
      <c r="F2754" t="str">
        <f>""</f>
        <v/>
      </c>
      <c r="H2754" t="str">
        <f t="shared" si="36"/>
        <v>BCBS PAYABLE</v>
      </c>
    </row>
    <row r="2755" spans="5:8" x14ac:dyDescent="0.25">
      <c r="E2755" t="str">
        <f>""</f>
        <v/>
      </c>
      <c r="F2755" t="str">
        <f>""</f>
        <v/>
      </c>
      <c r="H2755" t="str">
        <f t="shared" si="36"/>
        <v>BCBS PAYABLE</v>
      </c>
    </row>
    <row r="2756" spans="5:8" x14ac:dyDescent="0.25">
      <c r="E2756" t="str">
        <f>""</f>
        <v/>
      </c>
      <c r="F2756" t="str">
        <f>""</f>
        <v/>
      </c>
      <c r="H2756" t="str">
        <f t="shared" si="36"/>
        <v>BCBS PAYABLE</v>
      </c>
    </row>
    <row r="2757" spans="5:8" x14ac:dyDescent="0.25">
      <c r="E2757" t="str">
        <f>""</f>
        <v/>
      </c>
      <c r="F2757" t="str">
        <f>""</f>
        <v/>
      </c>
      <c r="H2757" t="str">
        <f t="shared" si="36"/>
        <v>BCBS PAYABLE</v>
      </c>
    </row>
    <row r="2758" spans="5:8" x14ac:dyDescent="0.25">
      <c r="E2758" t="str">
        <f>""</f>
        <v/>
      </c>
      <c r="F2758" t="str">
        <f>""</f>
        <v/>
      </c>
      <c r="H2758" t="str">
        <f t="shared" si="36"/>
        <v>BCBS PAYABLE</v>
      </c>
    </row>
    <row r="2759" spans="5:8" x14ac:dyDescent="0.25">
      <c r="E2759" t="str">
        <f>""</f>
        <v/>
      </c>
      <c r="F2759" t="str">
        <f>""</f>
        <v/>
      </c>
      <c r="H2759" t="str">
        <f t="shared" si="36"/>
        <v>BCBS PAYABLE</v>
      </c>
    </row>
    <row r="2760" spans="5:8" x14ac:dyDescent="0.25">
      <c r="E2760" t="str">
        <f>""</f>
        <v/>
      </c>
      <c r="F2760" t="str">
        <f>""</f>
        <v/>
      </c>
      <c r="H2760" t="str">
        <f t="shared" si="36"/>
        <v>BCBS PAYABLE</v>
      </c>
    </row>
    <row r="2761" spans="5:8" x14ac:dyDescent="0.25">
      <c r="E2761" t="str">
        <f>""</f>
        <v/>
      </c>
      <c r="F2761" t="str">
        <f>""</f>
        <v/>
      </c>
      <c r="H2761" t="str">
        <f t="shared" si="36"/>
        <v>BCBS PAYABLE</v>
      </c>
    </row>
    <row r="2762" spans="5:8" x14ac:dyDescent="0.25">
      <c r="E2762" t="str">
        <f>""</f>
        <v/>
      </c>
      <c r="F2762" t="str">
        <f>""</f>
        <v/>
      </c>
      <c r="H2762" t="str">
        <f t="shared" si="36"/>
        <v>BCBS PAYABLE</v>
      </c>
    </row>
    <row r="2763" spans="5:8" x14ac:dyDescent="0.25">
      <c r="E2763" t="str">
        <f>""</f>
        <v/>
      </c>
      <c r="F2763" t="str">
        <f>""</f>
        <v/>
      </c>
      <c r="H2763" t="str">
        <f t="shared" si="36"/>
        <v>BCBS PAYABLE</v>
      </c>
    </row>
    <row r="2764" spans="5:8" x14ac:dyDescent="0.25">
      <c r="E2764" t="str">
        <f>""</f>
        <v/>
      </c>
      <c r="F2764" t="str">
        <f>""</f>
        <v/>
      </c>
      <c r="H2764" t="str">
        <f t="shared" si="36"/>
        <v>BCBS PAYABLE</v>
      </c>
    </row>
    <row r="2765" spans="5:8" x14ac:dyDescent="0.25">
      <c r="E2765" t="str">
        <f>""</f>
        <v/>
      </c>
      <c r="F2765" t="str">
        <f>""</f>
        <v/>
      </c>
      <c r="H2765" t="str">
        <f t="shared" si="36"/>
        <v>BCBS PAYABLE</v>
      </c>
    </row>
    <row r="2766" spans="5:8" x14ac:dyDescent="0.25">
      <c r="E2766" t="str">
        <f>""</f>
        <v/>
      </c>
      <c r="F2766" t="str">
        <f>""</f>
        <v/>
      </c>
      <c r="H2766" t="str">
        <f t="shared" si="36"/>
        <v>BCBS PAYABLE</v>
      </c>
    </row>
    <row r="2767" spans="5:8" x14ac:dyDescent="0.25">
      <c r="E2767" t="str">
        <f>""</f>
        <v/>
      </c>
      <c r="F2767" t="str">
        <f>""</f>
        <v/>
      </c>
      <c r="H2767" t="str">
        <f t="shared" si="36"/>
        <v>BCBS PAYABLE</v>
      </c>
    </row>
    <row r="2768" spans="5:8" x14ac:dyDescent="0.25">
      <c r="E2768" t="str">
        <f>""</f>
        <v/>
      </c>
      <c r="F2768" t="str">
        <f>""</f>
        <v/>
      </c>
      <c r="H2768" t="str">
        <f t="shared" si="36"/>
        <v>BCBS PAYABLE</v>
      </c>
    </row>
    <row r="2769" spans="5:8" x14ac:dyDescent="0.25">
      <c r="E2769" t="str">
        <f>""</f>
        <v/>
      </c>
      <c r="F2769" t="str">
        <f>""</f>
        <v/>
      </c>
      <c r="H2769" t="str">
        <f t="shared" si="36"/>
        <v>BCBS PAYABLE</v>
      </c>
    </row>
    <row r="2770" spans="5:8" x14ac:dyDescent="0.25">
      <c r="E2770" t="str">
        <f>""</f>
        <v/>
      </c>
      <c r="F2770" t="str">
        <f>""</f>
        <v/>
      </c>
      <c r="H2770" t="str">
        <f t="shared" si="36"/>
        <v>BCBS PAYABLE</v>
      </c>
    </row>
    <row r="2771" spans="5:8" x14ac:dyDescent="0.25">
      <c r="E2771" t="str">
        <f>""</f>
        <v/>
      </c>
      <c r="F2771" t="str">
        <f>""</f>
        <v/>
      </c>
      <c r="H2771" t="str">
        <f t="shared" si="36"/>
        <v>BCBS PAYABLE</v>
      </c>
    </row>
    <row r="2772" spans="5:8" x14ac:dyDescent="0.25">
      <c r="E2772" t="str">
        <f>""</f>
        <v/>
      </c>
      <c r="F2772" t="str">
        <f>""</f>
        <v/>
      </c>
      <c r="H2772" t="str">
        <f t="shared" si="36"/>
        <v>BCBS PAYABLE</v>
      </c>
    </row>
    <row r="2773" spans="5:8" x14ac:dyDescent="0.25">
      <c r="E2773" t="str">
        <f>""</f>
        <v/>
      </c>
      <c r="F2773" t="str">
        <f>""</f>
        <v/>
      </c>
      <c r="H2773" t="str">
        <f t="shared" si="36"/>
        <v>BCBS PAYABLE</v>
      </c>
    </row>
    <row r="2774" spans="5:8" x14ac:dyDescent="0.25">
      <c r="E2774" t="str">
        <f>""</f>
        <v/>
      </c>
      <c r="F2774" t="str">
        <f>""</f>
        <v/>
      </c>
      <c r="H2774" t="str">
        <f t="shared" si="36"/>
        <v>BCBS PAYABLE</v>
      </c>
    </row>
    <row r="2775" spans="5:8" x14ac:dyDescent="0.25">
      <c r="E2775" t="str">
        <f>""</f>
        <v/>
      </c>
      <c r="F2775" t="str">
        <f>""</f>
        <v/>
      </c>
      <c r="H2775" t="str">
        <f t="shared" si="36"/>
        <v>BCBS PAYABLE</v>
      </c>
    </row>
    <row r="2776" spans="5:8" x14ac:dyDescent="0.25">
      <c r="E2776" t="str">
        <f>""</f>
        <v/>
      </c>
      <c r="F2776" t="str">
        <f>""</f>
        <v/>
      </c>
      <c r="H2776" t="str">
        <f t="shared" si="36"/>
        <v>BCBS PAYABLE</v>
      </c>
    </row>
    <row r="2777" spans="5:8" x14ac:dyDescent="0.25">
      <c r="E2777" t="str">
        <f>""</f>
        <v/>
      </c>
      <c r="F2777" t="str">
        <f>""</f>
        <v/>
      </c>
      <c r="H2777" t="str">
        <f t="shared" si="36"/>
        <v>BCBS PAYABLE</v>
      </c>
    </row>
    <row r="2778" spans="5:8" x14ac:dyDescent="0.25">
      <c r="E2778" t="str">
        <f>""</f>
        <v/>
      </c>
      <c r="F2778" t="str">
        <f>""</f>
        <v/>
      </c>
      <c r="H2778" t="str">
        <f t="shared" si="36"/>
        <v>BCBS PAYABLE</v>
      </c>
    </row>
    <row r="2779" spans="5:8" x14ac:dyDescent="0.25">
      <c r="E2779" t="str">
        <f>""</f>
        <v/>
      </c>
      <c r="F2779" t="str">
        <f>""</f>
        <v/>
      </c>
      <c r="H2779" t="str">
        <f t="shared" si="36"/>
        <v>BCBS PAYABLE</v>
      </c>
    </row>
    <row r="2780" spans="5:8" x14ac:dyDescent="0.25">
      <c r="E2780" t="str">
        <f>""</f>
        <v/>
      </c>
      <c r="F2780" t="str">
        <f>""</f>
        <v/>
      </c>
      <c r="H2780" t="str">
        <f t="shared" si="36"/>
        <v>BCBS PAYABLE</v>
      </c>
    </row>
    <row r="2781" spans="5:8" x14ac:dyDescent="0.25">
      <c r="E2781" t="str">
        <f>""</f>
        <v/>
      </c>
      <c r="F2781" t="str">
        <f>""</f>
        <v/>
      </c>
      <c r="H2781" t="str">
        <f t="shared" si="36"/>
        <v>BCBS PAYABLE</v>
      </c>
    </row>
    <row r="2782" spans="5:8" x14ac:dyDescent="0.25">
      <c r="E2782" t="str">
        <f>""</f>
        <v/>
      </c>
      <c r="F2782" t="str">
        <f>""</f>
        <v/>
      </c>
      <c r="H2782" t="str">
        <f t="shared" si="36"/>
        <v>BCBS PAYABLE</v>
      </c>
    </row>
    <row r="2783" spans="5:8" x14ac:dyDescent="0.25">
      <c r="E2783" t="str">
        <f>"2EO201808082882"</f>
        <v>2EO201808082882</v>
      </c>
      <c r="F2783" t="str">
        <f>"BCBS PAYABLE"</f>
        <v>BCBS PAYABLE</v>
      </c>
      <c r="G2783" s="2">
        <v>3591.83</v>
      </c>
      <c r="H2783" t="str">
        <f t="shared" si="36"/>
        <v>BCBS PAYABLE</v>
      </c>
    </row>
    <row r="2784" spans="5:8" x14ac:dyDescent="0.25">
      <c r="E2784" t="str">
        <f>"2EO201808223027"</f>
        <v>2EO201808223027</v>
      </c>
      <c r="F2784" t="str">
        <f>"BCBS PAYABLE"</f>
        <v>BCBS PAYABLE</v>
      </c>
      <c r="G2784" s="2">
        <v>91428.4</v>
      </c>
      <c r="H2784" t="str">
        <f t="shared" si="36"/>
        <v>BCBS PAYABLE</v>
      </c>
    </row>
    <row r="2785" spans="5:8" x14ac:dyDescent="0.25">
      <c r="E2785" t="str">
        <f>""</f>
        <v/>
      </c>
      <c r="F2785" t="str">
        <f>""</f>
        <v/>
      </c>
      <c r="H2785" t="str">
        <f t="shared" si="36"/>
        <v>BCBS PAYABLE</v>
      </c>
    </row>
    <row r="2786" spans="5:8" x14ac:dyDescent="0.25">
      <c r="E2786" t="str">
        <f>""</f>
        <v/>
      </c>
      <c r="F2786" t="str">
        <f>""</f>
        <v/>
      </c>
      <c r="H2786" t="str">
        <f t="shared" si="36"/>
        <v>BCBS PAYABLE</v>
      </c>
    </row>
    <row r="2787" spans="5:8" x14ac:dyDescent="0.25">
      <c r="E2787" t="str">
        <f>""</f>
        <v/>
      </c>
      <c r="F2787" t="str">
        <f>""</f>
        <v/>
      </c>
      <c r="H2787" t="str">
        <f t="shared" si="36"/>
        <v>BCBS PAYABLE</v>
      </c>
    </row>
    <row r="2788" spans="5:8" x14ac:dyDescent="0.25">
      <c r="E2788" t="str">
        <f>""</f>
        <v/>
      </c>
      <c r="F2788" t="str">
        <f>""</f>
        <v/>
      </c>
      <c r="H2788" t="str">
        <f t="shared" si="36"/>
        <v>BCBS PAYABLE</v>
      </c>
    </row>
    <row r="2789" spans="5:8" x14ac:dyDescent="0.25">
      <c r="E2789" t="str">
        <f>""</f>
        <v/>
      </c>
      <c r="F2789" t="str">
        <f>""</f>
        <v/>
      </c>
      <c r="H2789" t="str">
        <f t="shared" si="36"/>
        <v>BCBS PAYABLE</v>
      </c>
    </row>
    <row r="2790" spans="5:8" x14ac:dyDescent="0.25">
      <c r="E2790" t="str">
        <f>""</f>
        <v/>
      </c>
      <c r="F2790" t="str">
        <f>""</f>
        <v/>
      </c>
      <c r="H2790" t="str">
        <f t="shared" si="36"/>
        <v>BCBS PAYABLE</v>
      </c>
    </row>
    <row r="2791" spans="5:8" x14ac:dyDescent="0.25">
      <c r="E2791" t="str">
        <f>""</f>
        <v/>
      </c>
      <c r="F2791" t="str">
        <f>""</f>
        <v/>
      </c>
      <c r="H2791" t="str">
        <f t="shared" si="36"/>
        <v>BCBS PAYABLE</v>
      </c>
    </row>
    <row r="2792" spans="5:8" x14ac:dyDescent="0.25">
      <c r="E2792" t="str">
        <f>""</f>
        <v/>
      </c>
      <c r="F2792" t="str">
        <f>""</f>
        <v/>
      </c>
      <c r="H2792" t="str">
        <f t="shared" si="36"/>
        <v>BCBS PAYABLE</v>
      </c>
    </row>
    <row r="2793" spans="5:8" x14ac:dyDescent="0.25">
      <c r="E2793" t="str">
        <f>""</f>
        <v/>
      </c>
      <c r="F2793" t="str">
        <f>""</f>
        <v/>
      </c>
      <c r="H2793" t="str">
        <f t="shared" si="36"/>
        <v>BCBS PAYABLE</v>
      </c>
    </row>
    <row r="2794" spans="5:8" x14ac:dyDescent="0.25">
      <c r="E2794" t="str">
        <f>""</f>
        <v/>
      </c>
      <c r="F2794" t="str">
        <f>""</f>
        <v/>
      </c>
      <c r="H2794" t="str">
        <f t="shared" ref="H2794:H2857" si="37">"BCBS PAYABLE"</f>
        <v>BCBS PAYABLE</v>
      </c>
    </row>
    <row r="2795" spans="5:8" x14ac:dyDescent="0.25">
      <c r="E2795" t="str">
        <f>""</f>
        <v/>
      </c>
      <c r="F2795" t="str">
        <f>""</f>
        <v/>
      </c>
      <c r="H2795" t="str">
        <f t="shared" si="37"/>
        <v>BCBS PAYABLE</v>
      </c>
    </row>
    <row r="2796" spans="5:8" x14ac:dyDescent="0.25">
      <c r="E2796" t="str">
        <f>""</f>
        <v/>
      </c>
      <c r="F2796" t="str">
        <f>""</f>
        <v/>
      </c>
      <c r="H2796" t="str">
        <f t="shared" si="37"/>
        <v>BCBS PAYABLE</v>
      </c>
    </row>
    <row r="2797" spans="5:8" x14ac:dyDescent="0.25">
      <c r="E2797" t="str">
        <f>""</f>
        <v/>
      </c>
      <c r="F2797" t="str">
        <f>""</f>
        <v/>
      </c>
      <c r="H2797" t="str">
        <f t="shared" si="37"/>
        <v>BCBS PAYABLE</v>
      </c>
    </row>
    <row r="2798" spans="5:8" x14ac:dyDescent="0.25">
      <c r="E2798" t="str">
        <f>""</f>
        <v/>
      </c>
      <c r="F2798" t="str">
        <f>""</f>
        <v/>
      </c>
      <c r="H2798" t="str">
        <f t="shared" si="37"/>
        <v>BCBS PAYABLE</v>
      </c>
    </row>
    <row r="2799" spans="5:8" x14ac:dyDescent="0.25">
      <c r="E2799" t="str">
        <f>""</f>
        <v/>
      </c>
      <c r="F2799" t="str">
        <f>""</f>
        <v/>
      </c>
      <c r="H2799" t="str">
        <f t="shared" si="37"/>
        <v>BCBS PAYABLE</v>
      </c>
    </row>
    <row r="2800" spans="5:8" x14ac:dyDescent="0.25">
      <c r="E2800" t="str">
        <f>""</f>
        <v/>
      </c>
      <c r="F2800" t="str">
        <f>""</f>
        <v/>
      </c>
      <c r="H2800" t="str">
        <f t="shared" si="37"/>
        <v>BCBS PAYABLE</v>
      </c>
    </row>
    <row r="2801" spans="5:8" x14ac:dyDescent="0.25">
      <c r="E2801" t="str">
        <f>""</f>
        <v/>
      </c>
      <c r="F2801" t="str">
        <f>""</f>
        <v/>
      </c>
      <c r="H2801" t="str">
        <f t="shared" si="37"/>
        <v>BCBS PAYABLE</v>
      </c>
    </row>
    <row r="2802" spans="5:8" x14ac:dyDescent="0.25">
      <c r="E2802" t="str">
        <f>""</f>
        <v/>
      </c>
      <c r="F2802" t="str">
        <f>""</f>
        <v/>
      </c>
      <c r="H2802" t="str">
        <f t="shared" si="37"/>
        <v>BCBS PAYABLE</v>
      </c>
    </row>
    <row r="2803" spans="5:8" x14ac:dyDescent="0.25">
      <c r="E2803" t="str">
        <f>""</f>
        <v/>
      </c>
      <c r="F2803" t="str">
        <f>""</f>
        <v/>
      </c>
      <c r="H2803" t="str">
        <f t="shared" si="37"/>
        <v>BCBS PAYABLE</v>
      </c>
    </row>
    <row r="2804" spans="5:8" x14ac:dyDescent="0.25">
      <c r="E2804" t="str">
        <f>""</f>
        <v/>
      </c>
      <c r="F2804" t="str">
        <f>""</f>
        <v/>
      </c>
      <c r="H2804" t="str">
        <f t="shared" si="37"/>
        <v>BCBS PAYABLE</v>
      </c>
    </row>
    <row r="2805" spans="5:8" x14ac:dyDescent="0.25">
      <c r="E2805" t="str">
        <f>""</f>
        <v/>
      </c>
      <c r="F2805" t="str">
        <f>""</f>
        <v/>
      </c>
      <c r="H2805" t="str">
        <f t="shared" si="37"/>
        <v>BCBS PAYABLE</v>
      </c>
    </row>
    <row r="2806" spans="5:8" x14ac:dyDescent="0.25">
      <c r="E2806" t="str">
        <f>""</f>
        <v/>
      </c>
      <c r="F2806" t="str">
        <f>""</f>
        <v/>
      </c>
      <c r="H2806" t="str">
        <f t="shared" si="37"/>
        <v>BCBS PAYABLE</v>
      </c>
    </row>
    <row r="2807" spans="5:8" x14ac:dyDescent="0.25">
      <c r="E2807" t="str">
        <f>""</f>
        <v/>
      </c>
      <c r="F2807" t="str">
        <f>""</f>
        <v/>
      </c>
      <c r="H2807" t="str">
        <f t="shared" si="37"/>
        <v>BCBS PAYABLE</v>
      </c>
    </row>
    <row r="2808" spans="5:8" x14ac:dyDescent="0.25">
      <c r="E2808" t="str">
        <f>""</f>
        <v/>
      </c>
      <c r="F2808" t="str">
        <f>""</f>
        <v/>
      </c>
      <c r="H2808" t="str">
        <f t="shared" si="37"/>
        <v>BCBS PAYABLE</v>
      </c>
    </row>
    <row r="2809" spans="5:8" x14ac:dyDescent="0.25">
      <c r="E2809" t="str">
        <f>""</f>
        <v/>
      </c>
      <c r="F2809" t="str">
        <f>""</f>
        <v/>
      </c>
      <c r="H2809" t="str">
        <f t="shared" si="37"/>
        <v>BCBS PAYABLE</v>
      </c>
    </row>
    <row r="2810" spans="5:8" x14ac:dyDescent="0.25">
      <c r="E2810" t="str">
        <f>""</f>
        <v/>
      </c>
      <c r="F2810" t="str">
        <f>""</f>
        <v/>
      </c>
      <c r="H2810" t="str">
        <f t="shared" si="37"/>
        <v>BCBS PAYABLE</v>
      </c>
    </row>
    <row r="2811" spans="5:8" x14ac:dyDescent="0.25">
      <c r="E2811" t="str">
        <f>""</f>
        <v/>
      </c>
      <c r="F2811" t="str">
        <f>""</f>
        <v/>
      </c>
      <c r="H2811" t="str">
        <f t="shared" si="37"/>
        <v>BCBS PAYABLE</v>
      </c>
    </row>
    <row r="2812" spans="5:8" x14ac:dyDescent="0.25">
      <c r="E2812" t="str">
        <f>""</f>
        <v/>
      </c>
      <c r="F2812" t="str">
        <f>""</f>
        <v/>
      </c>
      <c r="H2812" t="str">
        <f t="shared" si="37"/>
        <v>BCBS PAYABLE</v>
      </c>
    </row>
    <row r="2813" spans="5:8" x14ac:dyDescent="0.25">
      <c r="E2813" t="str">
        <f>""</f>
        <v/>
      </c>
      <c r="F2813" t="str">
        <f>""</f>
        <v/>
      </c>
      <c r="H2813" t="str">
        <f t="shared" si="37"/>
        <v>BCBS PAYABLE</v>
      </c>
    </row>
    <row r="2814" spans="5:8" x14ac:dyDescent="0.25">
      <c r="E2814" t="str">
        <f>""</f>
        <v/>
      </c>
      <c r="F2814" t="str">
        <f>""</f>
        <v/>
      </c>
      <c r="H2814" t="str">
        <f t="shared" si="37"/>
        <v>BCBS PAYABLE</v>
      </c>
    </row>
    <row r="2815" spans="5:8" x14ac:dyDescent="0.25">
      <c r="E2815" t="str">
        <f>""</f>
        <v/>
      </c>
      <c r="F2815" t="str">
        <f>""</f>
        <v/>
      </c>
      <c r="H2815" t="str">
        <f t="shared" si="37"/>
        <v>BCBS PAYABLE</v>
      </c>
    </row>
    <row r="2816" spans="5:8" x14ac:dyDescent="0.25">
      <c r="E2816" t="str">
        <f>""</f>
        <v/>
      </c>
      <c r="F2816" t="str">
        <f>""</f>
        <v/>
      </c>
      <c r="H2816" t="str">
        <f t="shared" si="37"/>
        <v>BCBS PAYABLE</v>
      </c>
    </row>
    <row r="2817" spans="5:8" x14ac:dyDescent="0.25">
      <c r="E2817" t="str">
        <f>""</f>
        <v/>
      </c>
      <c r="F2817" t="str">
        <f>""</f>
        <v/>
      </c>
      <c r="H2817" t="str">
        <f t="shared" si="37"/>
        <v>BCBS PAYABLE</v>
      </c>
    </row>
    <row r="2818" spans="5:8" x14ac:dyDescent="0.25">
      <c r="E2818" t="str">
        <f>""</f>
        <v/>
      </c>
      <c r="F2818" t="str">
        <f>""</f>
        <v/>
      </c>
      <c r="H2818" t="str">
        <f t="shared" si="37"/>
        <v>BCBS PAYABLE</v>
      </c>
    </row>
    <row r="2819" spans="5:8" x14ac:dyDescent="0.25">
      <c r="E2819" t="str">
        <f>""</f>
        <v/>
      </c>
      <c r="F2819" t="str">
        <f>""</f>
        <v/>
      </c>
      <c r="H2819" t="str">
        <f t="shared" si="37"/>
        <v>BCBS PAYABLE</v>
      </c>
    </row>
    <row r="2820" spans="5:8" x14ac:dyDescent="0.25">
      <c r="E2820" t="str">
        <f>""</f>
        <v/>
      </c>
      <c r="F2820" t="str">
        <f>""</f>
        <v/>
      </c>
      <c r="H2820" t="str">
        <f t="shared" si="37"/>
        <v>BCBS PAYABLE</v>
      </c>
    </row>
    <row r="2821" spans="5:8" x14ac:dyDescent="0.25">
      <c r="E2821" t="str">
        <f>""</f>
        <v/>
      </c>
      <c r="F2821" t="str">
        <f>""</f>
        <v/>
      </c>
      <c r="H2821" t="str">
        <f t="shared" si="37"/>
        <v>BCBS PAYABLE</v>
      </c>
    </row>
    <row r="2822" spans="5:8" x14ac:dyDescent="0.25">
      <c r="E2822" t="str">
        <f>""</f>
        <v/>
      </c>
      <c r="F2822" t="str">
        <f>""</f>
        <v/>
      </c>
      <c r="H2822" t="str">
        <f t="shared" si="37"/>
        <v>BCBS PAYABLE</v>
      </c>
    </row>
    <row r="2823" spans="5:8" x14ac:dyDescent="0.25">
      <c r="E2823" t="str">
        <f>""</f>
        <v/>
      </c>
      <c r="F2823" t="str">
        <f>""</f>
        <v/>
      </c>
      <c r="H2823" t="str">
        <f t="shared" si="37"/>
        <v>BCBS PAYABLE</v>
      </c>
    </row>
    <row r="2824" spans="5:8" x14ac:dyDescent="0.25">
      <c r="E2824" t="str">
        <f>""</f>
        <v/>
      </c>
      <c r="F2824" t="str">
        <f>""</f>
        <v/>
      </c>
      <c r="H2824" t="str">
        <f t="shared" si="37"/>
        <v>BCBS PAYABLE</v>
      </c>
    </row>
    <row r="2825" spans="5:8" x14ac:dyDescent="0.25">
      <c r="E2825" t="str">
        <f>""</f>
        <v/>
      </c>
      <c r="F2825" t="str">
        <f>""</f>
        <v/>
      </c>
      <c r="H2825" t="str">
        <f t="shared" si="37"/>
        <v>BCBS PAYABLE</v>
      </c>
    </row>
    <row r="2826" spans="5:8" x14ac:dyDescent="0.25">
      <c r="E2826" t="str">
        <f>""</f>
        <v/>
      </c>
      <c r="F2826" t="str">
        <f>""</f>
        <v/>
      </c>
      <c r="H2826" t="str">
        <f t="shared" si="37"/>
        <v>BCBS PAYABLE</v>
      </c>
    </row>
    <row r="2827" spans="5:8" x14ac:dyDescent="0.25">
      <c r="E2827" t="str">
        <f>""</f>
        <v/>
      </c>
      <c r="F2827" t="str">
        <f>""</f>
        <v/>
      </c>
      <c r="H2827" t="str">
        <f t="shared" si="37"/>
        <v>BCBS PAYABLE</v>
      </c>
    </row>
    <row r="2828" spans="5:8" x14ac:dyDescent="0.25">
      <c r="E2828" t="str">
        <f>""</f>
        <v/>
      </c>
      <c r="F2828" t="str">
        <f>""</f>
        <v/>
      </c>
      <c r="H2828" t="str">
        <f t="shared" si="37"/>
        <v>BCBS PAYABLE</v>
      </c>
    </row>
    <row r="2829" spans="5:8" x14ac:dyDescent="0.25">
      <c r="E2829" t="str">
        <f>"2EO201808223028"</f>
        <v>2EO201808223028</v>
      </c>
      <c r="F2829" t="str">
        <f>"BCBS PAYABLE"</f>
        <v>BCBS PAYABLE</v>
      </c>
      <c r="G2829" s="2">
        <v>3265.3</v>
      </c>
      <c r="H2829" t="str">
        <f t="shared" si="37"/>
        <v>BCBS PAYABLE</v>
      </c>
    </row>
    <row r="2830" spans="5:8" x14ac:dyDescent="0.25">
      <c r="E2830" t="str">
        <f>"2ES201808082881"</f>
        <v>2ES201808082881</v>
      </c>
      <c r="F2830" t="str">
        <f>"BCBS PAYABLE"</f>
        <v>BCBS PAYABLE</v>
      </c>
      <c r="G2830" s="2">
        <v>16621.439999999999</v>
      </c>
      <c r="H2830" t="str">
        <f t="shared" si="37"/>
        <v>BCBS PAYABLE</v>
      </c>
    </row>
    <row r="2831" spans="5:8" x14ac:dyDescent="0.25">
      <c r="E2831" t="str">
        <f>""</f>
        <v/>
      </c>
      <c r="F2831" t="str">
        <f>""</f>
        <v/>
      </c>
      <c r="H2831" t="str">
        <f t="shared" si="37"/>
        <v>BCBS PAYABLE</v>
      </c>
    </row>
    <row r="2832" spans="5:8" x14ac:dyDescent="0.25">
      <c r="E2832" t="str">
        <f>""</f>
        <v/>
      </c>
      <c r="F2832" t="str">
        <f>""</f>
        <v/>
      </c>
      <c r="H2832" t="str">
        <f t="shared" si="37"/>
        <v>BCBS PAYABLE</v>
      </c>
    </row>
    <row r="2833" spans="5:8" x14ac:dyDescent="0.25">
      <c r="E2833" t="str">
        <f>""</f>
        <v/>
      </c>
      <c r="F2833" t="str">
        <f>""</f>
        <v/>
      </c>
      <c r="H2833" t="str">
        <f t="shared" si="37"/>
        <v>BCBS PAYABLE</v>
      </c>
    </row>
    <row r="2834" spans="5:8" x14ac:dyDescent="0.25">
      <c r="E2834" t="str">
        <f>""</f>
        <v/>
      </c>
      <c r="F2834" t="str">
        <f>""</f>
        <v/>
      </c>
      <c r="H2834" t="str">
        <f t="shared" si="37"/>
        <v>BCBS PAYABLE</v>
      </c>
    </row>
    <row r="2835" spans="5:8" x14ac:dyDescent="0.25">
      <c r="E2835" t="str">
        <f>""</f>
        <v/>
      </c>
      <c r="F2835" t="str">
        <f>""</f>
        <v/>
      </c>
      <c r="H2835" t="str">
        <f t="shared" si="37"/>
        <v>BCBS PAYABLE</v>
      </c>
    </row>
    <row r="2836" spans="5:8" x14ac:dyDescent="0.25">
      <c r="E2836" t="str">
        <f>""</f>
        <v/>
      </c>
      <c r="F2836" t="str">
        <f>""</f>
        <v/>
      </c>
      <c r="H2836" t="str">
        <f t="shared" si="37"/>
        <v>BCBS PAYABLE</v>
      </c>
    </row>
    <row r="2837" spans="5:8" x14ac:dyDescent="0.25">
      <c r="E2837" t="str">
        <f>""</f>
        <v/>
      </c>
      <c r="F2837" t="str">
        <f>""</f>
        <v/>
      </c>
      <c r="H2837" t="str">
        <f t="shared" si="37"/>
        <v>BCBS PAYABLE</v>
      </c>
    </row>
    <row r="2838" spans="5:8" x14ac:dyDescent="0.25">
      <c r="E2838" t="str">
        <f>""</f>
        <v/>
      </c>
      <c r="F2838" t="str">
        <f>""</f>
        <v/>
      </c>
      <c r="H2838" t="str">
        <f t="shared" si="37"/>
        <v>BCBS PAYABLE</v>
      </c>
    </row>
    <row r="2839" spans="5:8" x14ac:dyDescent="0.25">
      <c r="E2839" t="str">
        <f>""</f>
        <v/>
      </c>
      <c r="F2839" t="str">
        <f>""</f>
        <v/>
      </c>
      <c r="H2839" t="str">
        <f t="shared" si="37"/>
        <v>BCBS PAYABLE</v>
      </c>
    </row>
    <row r="2840" spans="5:8" x14ac:dyDescent="0.25">
      <c r="E2840" t="str">
        <f>""</f>
        <v/>
      </c>
      <c r="F2840" t="str">
        <f>""</f>
        <v/>
      </c>
      <c r="H2840" t="str">
        <f t="shared" si="37"/>
        <v>BCBS PAYABLE</v>
      </c>
    </row>
    <row r="2841" spans="5:8" x14ac:dyDescent="0.25">
      <c r="E2841" t="str">
        <f>""</f>
        <v/>
      </c>
      <c r="F2841" t="str">
        <f>""</f>
        <v/>
      </c>
      <c r="H2841" t="str">
        <f t="shared" si="37"/>
        <v>BCBS PAYABLE</v>
      </c>
    </row>
    <row r="2842" spans="5:8" x14ac:dyDescent="0.25">
      <c r="E2842" t="str">
        <f>""</f>
        <v/>
      </c>
      <c r="F2842" t="str">
        <f>""</f>
        <v/>
      </c>
      <c r="H2842" t="str">
        <f t="shared" si="37"/>
        <v>BCBS PAYABLE</v>
      </c>
    </row>
    <row r="2843" spans="5:8" x14ac:dyDescent="0.25">
      <c r="E2843" t="str">
        <f>""</f>
        <v/>
      </c>
      <c r="F2843" t="str">
        <f>""</f>
        <v/>
      </c>
      <c r="H2843" t="str">
        <f t="shared" si="37"/>
        <v>BCBS PAYABLE</v>
      </c>
    </row>
    <row r="2844" spans="5:8" x14ac:dyDescent="0.25">
      <c r="E2844" t="str">
        <f>""</f>
        <v/>
      </c>
      <c r="F2844" t="str">
        <f>""</f>
        <v/>
      </c>
      <c r="H2844" t="str">
        <f t="shared" si="37"/>
        <v>BCBS PAYABLE</v>
      </c>
    </row>
    <row r="2845" spans="5:8" x14ac:dyDescent="0.25">
      <c r="E2845" t="str">
        <f>""</f>
        <v/>
      </c>
      <c r="F2845" t="str">
        <f>""</f>
        <v/>
      </c>
      <c r="H2845" t="str">
        <f t="shared" si="37"/>
        <v>BCBS PAYABLE</v>
      </c>
    </row>
    <row r="2846" spans="5:8" x14ac:dyDescent="0.25">
      <c r="E2846" t="str">
        <f>""</f>
        <v/>
      </c>
      <c r="F2846" t="str">
        <f>""</f>
        <v/>
      </c>
      <c r="H2846" t="str">
        <f t="shared" si="37"/>
        <v>BCBS PAYABLE</v>
      </c>
    </row>
    <row r="2847" spans="5:8" x14ac:dyDescent="0.25">
      <c r="E2847" t="str">
        <f>""</f>
        <v/>
      </c>
      <c r="F2847" t="str">
        <f>""</f>
        <v/>
      </c>
      <c r="H2847" t="str">
        <f t="shared" si="37"/>
        <v>BCBS PAYABLE</v>
      </c>
    </row>
    <row r="2848" spans="5:8" x14ac:dyDescent="0.25">
      <c r="E2848" t="str">
        <f>"2ES201808223027"</f>
        <v>2ES201808223027</v>
      </c>
      <c r="F2848" t="str">
        <f>"BCBS PAYABLE"</f>
        <v>BCBS PAYABLE</v>
      </c>
      <c r="G2848" s="2">
        <v>15582.6</v>
      </c>
      <c r="H2848" t="str">
        <f t="shared" si="37"/>
        <v>BCBS PAYABLE</v>
      </c>
    </row>
    <row r="2849" spans="5:8" x14ac:dyDescent="0.25">
      <c r="E2849" t="str">
        <f>""</f>
        <v/>
      </c>
      <c r="F2849" t="str">
        <f>""</f>
        <v/>
      </c>
      <c r="H2849" t="str">
        <f t="shared" si="37"/>
        <v>BCBS PAYABLE</v>
      </c>
    </row>
    <row r="2850" spans="5:8" x14ac:dyDescent="0.25">
      <c r="E2850" t="str">
        <f>""</f>
        <v/>
      </c>
      <c r="F2850" t="str">
        <f>""</f>
        <v/>
      </c>
      <c r="H2850" t="str">
        <f t="shared" si="37"/>
        <v>BCBS PAYABLE</v>
      </c>
    </row>
    <row r="2851" spans="5:8" x14ac:dyDescent="0.25">
      <c r="E2851" t="str">
        <f>""</f>
        <v/>
      </c>
      <c r="F2851" t="str">
        <f>""</f>
        <v/>
      </c>
      <c r="H2851" t="str">
        <f t="shared" si="37"/>
        <v>BCBS PAYABLE</v>
      </c>
    </row>
    <row r="2852" spans="5:8" x14ac:dyDescent="0.25">
      <c r="E2852" t="str">
        <f>""</f>
        <v/>
      </c>
      <c r="F2852" t="str">
        <f>""</f>
        <v/>
      </c>
      <c r="H2852" t="str">
        <f t="shared" si="37"/>
        <v>BCBS PAYABLE</v>
      </c>
    </row>
    <row r="2853" spans="5:8" x14ac:dyDescent="0.25">
      <c r="E2853" t="str">
        <f>""</f>
        <v/>
      </c>
      <c r="F2853" t="str">
        <f>""</f>
        <v/>
      </c>
      <c r="H2853" t="str">
        <f t="shared" si="37"/>
        <v>BCBS PAYABLE</v>
      </c>
    </row>
    <row r="2854" spans="5:8" x14ac:dyDescent="0.25">
      <c r="E2854" t="str">
        <f>""</f>
        <v/>
      </c>
      <c r="F2854" t="str">
        <f>""</f>
        <v/>
      </c>
      <c r="H2854" t="str">
        <f t="shared" si="37"/>
        <v>BCBS PAYABLE</v>
      </c>
    </row>
    <row r="2855" spans="5:8" x14ac:dyDescent="0.25">
      <c r="E2855" t="str">
        <f>""</f>
        <v/>
      </c>
      <c r="F2855" t="str">
        <f>""</f>
        <v/>
      </c>
      <c r="H2855" t="str">
        <f t="shared" si="37"/>
        <v>BCBS PAYABLE</v>
      </c>
    </row>
    <row r="2856" spans="5:8" x14ac:dyDescent="0.25">
      <c r="E2856" t="str">
        <f>""</f>
        <v/>
      </c>
      <c r="F2856" t="str">
        <f>""</f>
        <v/>
      </c>
      <c r="H2856" t="str">
        <f t="shared" si="37"/>
        <v>BCBS PAYABLE</v>
      </c>
    </row>
    <row r="2857" spans="5:8" x14ac:dyDescent="0.25">
      <c r="E2857" t="str">
        <f>""</f>
        <v/>
      </c>
      <c r="F2857" t="str">
        <f>""</f>
        <v/>
      </c>
      <c r="H2857" t="str">
        <f t="shared" si="37"/>
        <v>BCBS PAYABLE</v>
      </c>
    </row>
    <row r="2858" spans="5:8" x14ac:dyDescent="0.25">
      <c r="E2858" t="str">
        <f>""</f>
        <v/>
      </c>
      <c r="F2858" t="str">
        <f>""</f>
        <v/>
      </c>
      <c r="H2858" t="str">
        <f t="shared" ref="H2858:H2866" si="38">"BCBS PAYABLE"</f>
        <v>BCBS PAYABLE</v>
      </c>
    </row>
    <row r="2859" spans="5:8" x14ac:dyDescent="0.25">
      <c r="E2859" t="str">
        <f>""</f>
        <v/>
      </c>
      <c r="F2859" t="str">
        <f>""</f>
        <v/>
      </c>
      <c r="H2859" t="str">
        <f t="shared" si="38"/>
        <v>BCBS PAYABLE</v>
      </c>
    </row>
    <row r="2860" spans="5:8" x14ac:dyDescent="0.25">
      <c r="E2860" t="str">
        <f>""</f>
        <v/>
      </c>
      <c r="F2860" t="str">
        <f>""</f>
        <v/>
      </c>
      <c r="H2860" t="str">
        <f t="shared" si="38"/>
        <v>BCBS PAYABLE</v>
      </c>
    </row>
    <row r="2861" spans="5:8" x14ac:dyDescent="0.25">
      <c r="E2861" t="str">
        <f>""</f>
        <v/>
      </c>
      <c r="F2861" t="str">
        <f>""</f>
        <v/>
      </c>
      <c r="H2861" t="str">
        <f t="shared" si="38"/>
        <v>BCBS PAYABLE</v>
      </c>
    </row>
    <row r="2862" spans="5:8" x14ac:dyDescent="0.25">
      <c r="E2862" t="str">
        <f>""</f>
        <v/>
      </c>
      <c r="F2862" t="str">
        <f>""</f>
        <v/>
      </c>
      <c r="H2862" t="str">
        <f t="shared" si="38"/>
        <v>BCBS PAYABLE</v>
      </c>
    </row>
    <row r="2863" spans="5:8" x14ac:dyDescent="0.25">
      <c r="E2863" t="str">
        <f>""</f>
        <v/>
      </c>
      <c r="F2863" t="str">
        <f>""</f>
        <v/>
      </c>
      <c r="H2863" t="str">
        <f t="shared" si="38"/>
        <v>BCBS PAYABLE</v>
      </c>
    </row>
    <row r="2864" spans="5:8" x14ac:dyDescent="0.25">
      <c r="E2864" t="str">
        <f>""</f>
        <v/>
      </c>
      <c r="F2864" t="str">
        <f>""</f>
        <v/>
      </c>
      <c r="H2864" t="str">
        <f t="shared" si="38"/>
        <v>BCBS PAYABLE</v>
      </c>
    </row>
    <row r="2865" spans="1:8" x14ac:dyDescent="0.25">
      <c r="E2865" t="str">
        <f>""</f>
        <v/>
      </c>
      <c r="F2865" t="str">
        <f>""</f>
        <v/>
      </c>
      <c r="H2865" t="str">
        <f t="shared" si="38"/>
        <v>BCBS PAYABLE</v>
      </c>
    </row>
    <row r="2866" spans="1:8" x14ac:dyDescent="0.25">
      <c r="E2866" t="str">
        <f>""</f>
        <v/>
      </c>
      <c r="F2866" t="str">
        <f>""</f>
        <v/>
      </c>
      <c r="H2866" t="str">
        <f t="shared" si="38"/>
        <v>BCBS PAYABLE</v>
      </c>
    </row>
    <row r="2867" spans="1:8" x14ac:dyDescent="0.25">
      <c r="A2867" t="s">
        <v>606</v>
      </c>
      <c r="B2867">
        <v>0</v>
      </c>
      <c r="C2867" s="3">
        <v>3962.19</v>
      </c>
      <c r="D2867" s="1">
        <v>43322</v>
      </c>
      <c r="E2867" t="str">
        <f>"C18201808082882"</f>
        <v>C18201808082882</v>
      </c>
      <c r="F2867" t="str">
        <f>"CAUSE# 0011635329"</f>
        <v>CAUSE# 0011635329</v>
      </c>
      <c r="G2867" s="2">
        <v>603.23</v>
      </c>
      <c r="H2867" t="str">
        <f>"CAUSE# 0011635329"</f>
        <v>CAUSE# 0011635329</v>
      </c>
    </row>
    <row r="2868" spans="1:8" x14ac:dyDescent="0.25">
      <c r="E2868" t="str">
        <f>"C2 201808082882"</f>
        <v>C2 201808082882</v>
      </c>
      <c r="F2868" t="str">
        <f>"0012982132CCL7445"</f>
        <v>0012982132CCL7445</v>
      </c>
      <c r="G2868" s="2">
        <v>692.31</v>
      </c>
      <c r="H2868" t="str">
        <f>"0012982132CCL7445"</f>
        <v>0012982132CCL7445</v>
      </c>
    </row>
    <row r="2869" spans="1:8" x14ac:dyDescent="0.25">
      <c r="E2869" t="str">
        <f>"C20201808082881"</f>
        <v>C20201808082881</v>
      </c>
      <c r="F2869" t="str">
        <f>"001003981107-12252"</f>
        <v>001003981107-12252</v>
      </c>
      <c r="G2869" s="2">
        <v>115.39</v>
      </c>
      <c r="H2869" t="str">
        <f>"001003981107-12252"</f>
        <v>001003981107-12252</v>
      </c>
    </row>
    <row r="2870" spans="1:8" x14ac:dyDescent="0.25">
      <c r="E2870" t="str">
        <f>"C42201808082881"</f>
        <v>C42201808082881</v>
      </c>
      <c r="F2870" t="str">
        <f>"001236769211-14410"</f>
        <v>001236769211-14410</v>
      </c>
      <c r="G2870" s="2">
        <v>230.31</v>
      </c>
      <c r="H2870" t="str">
        <f>"001236769211-14410"</f>
        <v>001236769211-14410</v>
      </c>
    </row>
    <row r="2871" spans="1:8" x14ac:dyDescent="0.25">
      <c r="E2871" t="str">
        <f>"C46201808082881"</f>
        <v>C46201808082881</v>
      </c>
      <c r="F2871" t="str">
        <f>"CAUSE# 11-14911"</f>
        <v>CAUSE# 11-14911</v>
      </c>
      <c r="G2871" s="2">
        <v>238.62</v>
      </c>
      <c r="H2871" t="str">
        <f>"CAUSE# 11-14911"</f>
        <v>CAUSE# 11-14911</v>
      </c>
    </row>
    <row r="2872" spans="1:8" x14ac:dyDescent="0.25">
      <c r="E2872" t="str">
        <f>"C53201808082881"</f>
        <v>C53201808082881</v>
      </c>
      <c r="F2872" t="str">
        <f>"0012453366"</f>
        <v>0012453366</v>
      </c>
      <c r="G2872" s="2">
        <v>138.46</v>
      </c>
      <c r="H2872" t="str">
        <f>"0012453366"</f>
        <v>0012453366</v>
      </c>
    </row>
    <row r="2873" spans="1:8" x14ac:dyDescent="0.25">
      <c r="E2873" t="str">
        <f>"C60201808082881"</f>
        <v>C60201808082881</v>
      </c>
      <c r="F2873" t="str">
        <f>"00130730762012V300"</f>
        <v>00130730762012V300</v>
      </c>
      <c r="G2873" s="2">
        <v>399.32</v>
      </c>
      <c r="H2873" t="str">
        <f>"00130730762012V300"</f>
        <v>00130730762012V300</v>
      </c>
    </row>
    <row r="2874" spans="1:8" x14ac:dyDescent="0.25">
      <c r="E2874" t="str">
        <f>"C62201808082881"</f>
        <v>C62201808082881</v>
      </c>
      <c r="F2874" t="str">
        <f>"# 0012128865"</f>
        <v># 0012128865</v>
      </c>
      <c r="G2874" s="2">
        <v>243.23</v>
      </c>
      <c r="H2874" t="str">
        <f>"# 0012128865"</f>
        <v># 0012128865</v>
      </c>
    </row>
    <row r="2875" spans="1:8" x14ac:dyDescent="0.25">
      <c r="E2875" t="str">
        <f>"C65201808082881"</f>
        <v>C65201808082881</v>
      </c>
      <c r="F2875" t="str">
        <f>"12-14956"</f>
        <v>12-14956</v>
      </c>
      <c r="G2875" s="2">
        <v>351.1</v>
      </c>
      <c r="H2875" t="str">
        <f>"12-14956"</f>
        <v>12-14956</v>
      </c>
    </row>
    <row r="2876" spans="1:8" x14ac:dyDescent="0.25">
      <c r="E2876" t="str">
        <f>"C66201808082881"</f>
        <v>C66201808082881</v>
      </c>
      <c r="F2876" t="str">
        <f>"# 0012871801"</f>
        <v># 0012871801</v>
      </c>
      <c r="G2876" s="2">
        <v>90</v>
      </c>
      <c r="H2876" t="str">
        <f>"# 0012871801"</f>
        <v># 0012871801</v>
      </c>
    </row>
    <row r="2877" spans="1:8" x14ac:dyDescent="0.25">
      <c r="E2877" t="str">
        <f>"C66201808082883"</f>
        <v>C66201808082883</v>
      </c>
      <c r="F2877" t="str">
        <f>"CAUSE#D1FM13007058"</f>
        <v>CAUSE#D1FM13007058</v>
      </c>
      <c r="G2877" s="2">
        <v>138.46</v>
      </c>
      <c r="H2877" t="str">
        <f>"CAUSE#D1FM13007058"</f>
        <v>CAUSE#D1FM13007058</v>
      </c>
    </row>
    <row r="2878" spans="1:8" x14ac:dyDescent="0.25">
      <c r="E2878" t="str">
        <f>"C69201808082881"</f>
        <v>C69201808082881</v>
      </c>
      <c r="F2878" t="str">
        <f>"0012046911423672"</f>
        <v>0012046911423672</v>
      </c>
      <c r="G2878" s="2">
        <v>187.38</v>
      </c>
      <c r="H2878" t="str">
        <f>"0012046911423672"</f>
        <v>0012046911423672</v>
      </c>
    </row>
    <row r="2879" spans="1:8" x14ac:dyDescent="0.25">
      <c r="E2879" t="str">
        <f>"C70201808082881"</f>
        <v>C70201808082881</v>
      </c>
      <c r="F2879" t="str">
        <f>"00136881334235026"</f>
        <v>00136881334235026</v>
      </c>
      <c r="G2879" s="2">
        <v>257.45999999999998</v>
      </c>
      <c r="H2879" t="str">
        <f>"00136881334235026"</f>
        <v>00136881334235026</v>
      </c>
    </row>
    <row r="2880" spans="1:8" x14ac:dyDescent="0.25">
      <c r="E2880" t="str">
        <f>"C71201808082881"</f>
        <v>C71201808082881</v>
      </c>
      <c r="F2880" t="str">
        <f>"00137390532018V215"</f>
        <v>00137390532018V215</v>
      </c>
      <c r="G2880" s="2">
        <v>276.92</v>
      </c>
      <c r="H2880" t="str">
        <f>"00137390532018V215"</f>
        <v>00137390532018V215</v>
      </c>
    </row>
    <row r="2881" spans="1:8" x14ac:dyDescent="0.25">
      <c r="A2881" t="s">
        <v>606</v>
      </c>
      <c r="B2881">
        <v>0</v>
      </c>
      <c r="C2881" s="3">
        <v>4204.04</v>
      </c>
      <c r="D2881" s="1">
        <v>43336</v>
      </c>
      <c r="E2881" t="str">
        <f>"C18201808223028"</f>
        <v>C18201808223028</v>
      </c>
      <c r="F2881" t="str">
        <f>"CAUSE# 0011635329"</f>
        <v>CAUSE# 0011635329</v>
      </c>
      <c r="G2881" s="2">
        <v>603.23</v>
      </c>
      <c r="H2881" t="str">
        <f>"CAUSE# 0011635329"</f>
        <v>CAUSE# 0011635329</v>
      </c>
    </row>
    <row r="2882" spans="1:8" x14ac:dyDescent="0.25">
      <c r="E2882" t="str">
        <f>"C2 201808223028"</f>
        <v>C2 201808223028</v>
      </c>
      <c r="F2882" t="str">
        <f>"0012982132CCL7445"</f>
        <v>0012982132CCL7445</v>
      </c>
      <c r="G2882" s="2">
        <v>692.31</v>
      </c>
      <c r="H2882" t="str">
        <f>"0012982132CCL7445"</f>
        <v>0012982132CCL7445</v>
      </c>
    </row>
    <row r="2883" spans="1:8" x14ac:dyDescent="0.25">
      <c r="E2883" t="str">
        <f>"C20201808223027"</f>
        <v>C20201808223027</v>
      </c>
      <c r="F2883" t="str">
        <f>"001003981107-12252"</f>
        <v>001003981107-12252</v>
      </c>
      <c r="G2883" s="2">
        <v>115.39</v>
      </c>
      <c r="H2883" t="str">
        <f>"001003981107-12252"</f>
        <v>001003981107-12252</v>
      </c>
    </row>
    <row r="2884" spans="1:8" x14ac:dyDescent="0.25">
      <c r="E2884" t="str">
        <f>"C42201808223027"</f>
        <v>C42201808223027</v>
      </c>
      <c r="F2884" t="str">
        <f>"001236769211-14410"</f>
        <v>001236769211-14410</v>
      </c>
      <c r="G2884" s="2">
        <v>230.31</v>
      </c>
      <c r="H2884" t="str">
        <f>"001236769211-14410"</f>
        <v>001236769211-14410</v>
      </c>
    </row>
    <row r="2885" spans="1:8" x14ac:dyDescent="0.25">
      <c r="E2885" t="str">
        <f>"C46201808223027"</f>
        <v>C46201808223027</v>
      </c>
      <c r="F2885" t="str">
        <f>"CAUSE# 11-14911"</f>
        <v>CAUSE# 11-14911</v>
      </c>
      <c r="G2885" s="2">
        <v>238.62</v>
      </c>
      <c r="H2885" t="str">
        <f>"CAUSE# 11-14911"</f>
        <v>CAUSE# 11-14911</v>
      </c>
    </row>
    <row r="2886" spans="1:8" x14ac:dyDescent="0.25">
      <c r="E2886" t="str">
        <f>"C53201808223027"</f>
        <v>C53201808223027</v>
      </c>
      <c r="F2886" t="str">
        <f>"0012453366"</f>
        <v>0012453366</v>
      </c>
      <c r="G2886" s="2">
        <v>138.46</v>
      </c>
      <c r="H2886" t="str">
        <f>"0012453366"</f>
        <v>0012453366</v>
      </c>
    </row>
    <row r="2887" spans="1:8" x14ac:dyDescent="0.25">
      <c r="E2887" t="str">
        <f>"C60201808223027"</f>
        <v>C60201808223027</v>
      </c>
      <c r="F2887" t="str">
        <f>"00130730762012V300"</f>
        <v>00130730762012V300</v>
      </c>
      <c r="G2887" s="2">
        <v>399.32</v>
      </c>
      <c r="H2887" t="str">
        <f>"00130730762012V300"</f>
        <v>00130730762012V300</v>
      </c>
    </row>
    <row r="2888" spans="1:8" x14ac:dyDescent="0.25">
      <c r="E2888" t="str">
        <f>"C62201808223027"</f>
        <v>C62201808223027</v>
      </c>
      <c r="F2888" t="str">
        <f>"# 0012128865"</f>
        <v># 0012128865</v>
      </c>
      <c r="G2888" s="2">
        <v>243.23</v>
      </c>
      <c r="H2888" t="str">
        <f>"# 0012128865"</f>
        <v># 0012128865</v>
      </c>
    </row>
    <row r="2889" spans="1:8" x14ac:dyDescent="0.25">
      <c r="E2889" t="str">
        <f>"C65201808223027"</f>
        <v>C65201808223027</v>
      </c>
      <c r="F2889" t="str">
        <f>"12-14956"</f>
        <v>12-14956</v>
      </c>
      <c r="G2889" s="2">
        <v>351.1</v>
      </c>
      <c r="H2889" t="str">
        <f>"12-14956"</f>
        <v>12-14956</v>
      </c>
    </row>
    <row r="2890" spans="1:8" x14ac:dyDescent="0.25">
      <c r="E2890" t="str">
        <f>"C66201808223027"</f>
        <v>C66201808223027</v>
      </c>
      <c r="F2890" t="str">
        <f>"# 0012871801"</f>
        <v># 0012871801</v>
      </c>
      <c r="G2890" s="2">
        <v>90</v>
      </c>
      <c r="H2890" t="str">
        <f>"# 0012871801"</f>
        <v># 0012871801</v>
      </c>
    </row>
    <row r="2891" spans="1:8" x14ac:dyDescent="0.25">
      <c r="E2891" t="str">
        <f>"C66201808223029"</f>
        <v>C66201808223029</v>
      </c>
      <c r="F2891" t="str">
        <f>"CAUSE#D1FM13007058"</f>
        <v>CAUSE#D1FM13007058</v>
      </c>
      <c r="G2891" s="2">
        <v>138.46</v>
      </c>
      <c r="H2891" t="str">
        <f>"CAUSE#D1FM13007058"</f>
        <v>CAUSE#D1FM13007058</v>
      </c>
    </row>
    <row r="2892" spans="1:8" x14ac:dyDescent="0.25">
      <c r="E2892" t="str">
        <f>"C69201808223027"</f>
        <v>C69201808223027</v>
      </c>
      <c r="F2892" t="str">
        <f>"0012046911423672"</f>
        <v>0012046911423672</v>
      </c>
      <c r="G2892" s="2">
        <v>187.38</v>
      </c>
      <c r="H2892" t="str">
        <f>"0012046911423672"</f>
        <v>0012046911423672</v>
      </c>
    </row>
    <row r="2893" spans="1:8" x14ac:dyDescent="0.25">
      <c r="E2893" t="str">
        <f>"C70201808223027"</f>
        <v>C70201808223027</v>
      </c>
      <c r="F2893" t="str">
        <f>"00136881334235026"</f>
        <v>00136881334235026</v>
      </c>
      <c r="G2893" s="2">
        <v>257.45999999999998</v>
      </c>
      <c r="H2893" t="str">
        <f>"00136881334235026"</f>
        <v>00136881334235026</v>
      </c>
    </row>
    <row r="2894" spans="1:8" x14ac:dyDescent="0.25">
      <c r="E2894" t="str">
        <f>"C71201808223027"</f>
        <v>C71201808223027</v>
      </c>
      <c r="F2894" t="str">
        <f>"00137390532018V215"</f>
        <v>00137390532018V215</v>
      </c>
      <c r="G2894" s="2">
        <v>276.92</v>
      </c>
      <c r="H2894" t="str">
        <f>"00137390532018V215"</f>
        <v>00137390532018V215</v>
      </c>
    </row>
    <row r="2895" spans="1:8" x14ac:dyDescent="0.25">
      <c r="E2895" t="str">
        <f>"C72201808223027"</f>
        <v>C72201808223027</v>
      </c>
      <c r="F2895" t="str">
        <f>"0012797601C20130529B"</f>
        <v>0012797601C20130529B</v>
      </c>
      <c r="G2895" s="2">
        <v>241.85</v>
      </c>
      <c r="H2895" t="str">
        <f>"0012797601C20130529B"</f>
        <v>0012797601C20130529B</v>
      </c>
    </row>
    <row r="2896" spans="1:8" x14ac:dyDescent="0.25">
      <c r="A2896" t="s">
        <v>607</v>
      </c>
      <c r="B2896">
        <v>0</v>
      </c>
      <c r="C2896" s="3">
        <v>323799.57</v>
      </c>
      <c r="D2896" s="1">
        <v>43336</v>
      </c>
      <c r="E2896" t="str">
        <f>"RET201808082881"</f>
        <v>RET201808082881</v>
      </c>
      <c r="F2896" t="str">
        <f>"TEXAS COUNTY &amp; DISTRICT RET"</f>
        <v>TEXAS COUNTY &amp; DISTRICT RET</v>
      </c>
      <c r="G2896" s="2">
        <v>149222.26</v>
      </c>
      <c r="H2896" t="str">
        <f t="shared" ref="H2896:H2927" si="39">"TEXAS COUNTY &amp; DISTRICT RET"</f>
        <v>TEXAS COUNTY &amp; DISTRICT RET</v>
      </c>
    </row>
    <row r="2897" spans="5:8" x14ac:dyDescent="0.25">
      <c r="E2897" t="str">
        <f>""</f>
        <v/>
      </c>
      <c r="F2897" t="str">
        <f>""</f>
        <v/>
      </c>
      <c r="H2897" t="str">
        <f t="shared" si="39"/>
        <v>TEXAS COUNTY &amp; DISTRICT RET</v>
      </c>
    </row>
    <row r="2898" spans="5:8" x14ac:dyDescent="0.25">
      <c r="E2898" t="str">
        <f>""</f>
        <v/>
      </c>
      <c r="F2898" t="str">
        <f>""</f>
        <v/>
      </c>
      <c r="H2898" t="str">
        <f t="shared" si="39"/>
        <v>TEXAS COUNTY &amp; DISTRICT RET</v>
      </c>
    </row>
    <row r="2899" spans="5:8" x14ac:dyDescent="0.25">
      <c r="E2899" t="str">
        <f>""</f>
        <v/>
      </c>
      <c r="F2899" t="str">
        <f>""</f>
        <v/>
      </c>
      <c r="H2899" t="str">
        <f t="shared" si="39"/>
        <v>TEXAS COUNTY &amp; DISTRICT RET</v>
      </c>
    </row>
    <row r="2900" spans="5:8" x14ac:dyDescent="0.25">
      <c r="E2900" t="str">
        <f>""</f>
        <v/>
      </c>
      <c r="F2900" t="str">
        <f>""</f>
        <v/>
      </c>
      <c r="H2900" t="str">
        <f t="shared" si="39"/>
        <v>TEXAS COUNTY &amp; DISTRICT RET</v>
      </c>
    </row>
    <row r="2901" spans="5:8" x14ac:dyDescent="0.25">
      <c r="E2901" t="str">
        <f>""</f>
        <v/>
      </c>
      <c r="F2901" t="str">
        <f>""</f>
        <v/>
      </c>
      <c r="H2901" t="str">
        <f t="shared" si="39"/>
        <v>TEXAS COUNTY &amp; DISTRICT RET</v>
      </c>
    </row>
    <row r="2902" spans="5:8" x14ac:dyDescent="0.25">
      <c r="E2902" t="str">
        <f>""</f>
        <v/>
      </c>
      <c r="F2902" t="str">
        <f>""</f>
        <v/>
      </c>
      <c r="H2902" t="str">
        <f t="shared" si="39"/>
        <v>TEXAS COUNTY &amp; DISTRICT RET</v>
      </c>
    </row>
    <row r="2903" spans="5:8" x14ac:dyDescent="0.25">
      <c r="E2903" t="str">
        <f>""</f>
        <v/>
      </c>
      <c r="F2903" t="str">
        <f>""</f>
        <v/>
      </c>
      <c r="H2903" t="str">
        <f t="shared" si="39"/>
        <v>TEXAS COUNTY &amp; DISTRICT RET</v>
      </c>
    </row>
    <row r="2904" spans="5:8" x14ac:dyDescent="0.25">
      <c r="E2904" t="str">
        <f>""</f>
        <v/>
      </c>
      <c r="F2904" t="str">
        <f>""</f>
        <v/>
      </c>
      <c r="H2904" t="str">
        <f t="shared" si="39"/>
        <v>TEXAS COUNTY &amp; DISTRICT RET</v>
      </c>
    </row>
    <row r="2905" spans="5:8" x14ac:dyDescent="0.25">
      <c r="E2905" t="str">
        <f>""</f>
        <v/>
      </c>
      <c r="F2905" t="str">
        <f>""</f>
        <v/>
      </c>
      <c r="H2905" t="str">
        <f t="shared" si="39"/>
        <v>TEXAS COUNTY &amp; DISTRICT RET</v>
      </c>
    </row>
    <row r="2906" spans="5:8" x14ac:dyDescent="0.25">
      <c r="E2906" t="str">
        <f>""</f>
        <v/>
      </c>
      <c r="F2906" t="str">
        <f>""</f>
        <v/>
      </c>
      <c r="H2906" t="str">
        <f t="shared" si="39"/>
        <v>TEXAS COUNTY &amp; DISTRICT RET</v>
      </c>
    </row>
    <row r="2907" spans="5:8" x14ac:dyDescent="0.25">
      <c r="E2907" t="str">
        <f>""</f>
        <v/>
      </c>
      <c r="F2907" t="str">
        <f>""</f>
        <v/>
      </c>
      <c r="H2907" t="str">
        <f t="shared" si="39"/>
        <v>TEXAS COUNTY &amp; DISTRICT RET</v>
      </c>
    </row>
    <row r="2908" spans="5:8" x14ac:dyDescent="0.25">
      <c r="E2908" t="str">
        <f>""</f>
        <v/>
      </c>
      <c r="F2908" t="str">
        <f>""</f>
        <v/>
      </c>
      <c r="H2908" t="str">
        <f t="shared" si="39"/>
        <v>TEXAS COUNTY &amp; DISTRICT RET</v>
      </c>
    </row>
    <row r="2909" spans="5:8" x14ac:dyDescent="0.25">
      <c r="E2909" t="str">
        <f>""</f>
        <v/>
      </c>
      <c r="F2909" t="str">
        <f>""</f>
        <v/>
      </c>
      <c r="H2909" t="str">
        <f t="shared" si="39"/>
        <v>TEXAS COUNTY &amp; DISTRICT RET</v>
      </c>
    </row>
    <row r="2910" spans="5:8" x14ac:dyDescent="0.25">
      <c r="E2910" t="str">
        <f>""</f>
        <v/>
      </c>
      <c r="F2910" t="str">
        <f>""</f>
        <v/>
      </c>
      <c r="H2910" t="str">
        <f t="shared" si="39"/>
        <v>TEXAS COUNTY &amp; DISTRICT RET</v>
      </c>
    </row>
    <row r="2911" spans="5:8" x14ac:dyDescent="0.25">
      <c r="E2911" t="str">
        <f>""</f>
        <v/>
      </c>
      <c r="F2911" t="str">
        <f>""</f>
        <v/>
      </c>
      <c r="H2911" t="str">
        <f t="shared" si="39"/>
        <v>TEXAS COUNTY &amp; DISTRICT RET</v>
      </c>
    </row>
    <row r="2912" spans="5:8" x14ac:dyDescent="0.25">
      <c r="E2912" t="str">
        <f>""</f>
        <v/>
      </c>
      <c r="F2912" t="str">
        <f>""</f>
        <v/>
      </c>
      <c r="H2912" t="str">
        <f t="shared" si="39"/>
        <v>TEXAS COUNTY &amp; DISTRICT RET</v>
      </c>
    </row>
    <row r="2913" spans="5:8" x14ac:dyDescent="0.25">
      <c r="E2913" t="str">
        <f>""</f>
        <v/>
      </c>
      <c r="F2913" t="str">
        <f>""</f>
        <v/>
      </c>
      <c r="H2913" t="str">
        <f t="shared" si="39"/>
        <v>TEXAS COUNTY &amp; DISTRICT RET</v>
      </c>
    </row>
    <row r="2914" spans="5:8" x14ac:dyDescent="0.25">
      <c r="E2914" t="str">
        <f>""</f>
        <v/>
      </c>
      <c r="F2914" t="str">
        <f>""</f>
        <v/>
      </c>
      <c r="H2914" t="str">
        <f t="shared" si="39"/>
        <v>TEXAS COUNTY &amp; DISTRICT RET</v>
      </c>
    </row>
    <row r="2915" spans="5:8" x14ac:dyDescent="0.25">
      <c r="E2915" t="str">
        <f>""</f>
        <v/>
      </c>
      <c r="F2915" t="str">
        <f>""</f>
        <v/>
      </c>
      <c r="H2915" t="str">
        <f t="shared" si="39"/>
        <v>TEXAS COUNTY &amp; DISTRICT RET</v>
      </c>
    </row>
    <row r="2916" spans="5:8" x14ac:dyDescent="0.25">
      <c r="E2916" t="str">
        <f>""</f>
        <v/>
      </c>
      <c r="F2916" t="str">
        <f>""</f>
        <v/>
      </c>
      <c r="H2916" t="str">
        <f t="shared" si="39"/>
        <v>TEXAS COUNTY &amp; DISTRICT RET</v>
      </c>
    </row>
    <row r="2917" spans="5:8" x14ac:dyDescent="0.25">
      <c r="E2917" t="str">
        <f>""</f>
        <v/>
      </c>
      <c r="F2917" t="str">
        <f>""</f>
        <v/>
      </c>
      <c r="H2917" t="str">
        <f t="shared" si="39"/>
        <v>TEXAS COUNTY &amp; DISTRICT RET</v>
      </c>
    </row>
    <row r="2918" spans="5:8" x14ac:dyDescent="0.25">
      <c r="E2918" t="str">
        <f>""</f>
        <v/>
      </c>
      <c r="F2918" t="str">
        <f>""</f>
        <v/>
      </c>
      <c r="H2918" t="str">
        <f t="shared" si="39"/>
        <v>TEXAS COUNTY &amp; DISTRICT RET</v>
      </c>
    </row>
    <row r="2919" spans="5:8" x14ac:dyDescent="0.25">
      <c r="E2919" t="str">
        <f>""</f>
        <v/>
      </c>
      <c r="F2919" t="str">
        <f>""</f>
        <v/>
      </c>
      <c r="H2919" t="str">
        <f t="shared" si="39"/>
        <v>TEXAS COUNTY &amp; DISTRICT RET</v>
      </c>
    </row>
    <row r="2920" spans="5:8" x14ac:dyDescent="0.25">
      <c r="E2920" t="str">
        <f>""</f>
        <v/>
      </c>
      <c r="F2920" t="str">
        <f>""</f>
        <v/>
      </c>
      <c r="H2920" t="str">
        <f t="shared" si="39"/>
        <v>TEXAS COUNTY &amp; DISTRICT RET</v>
      </c>
    </row>
    <row r="2921" spans="5:8" x14ac:dyDescent="0.25">
      <c r="E2921" t="str">
        <f>""</f>
        <v/>
      </c>
      <c r="F2921" t="str">
        <f>""</f>
        <v/>
      </c>
      <c r="H2921" t="str">
        <f t="shared" si="39"/>
        <v>TEXAS COUNTY &amp; DISTRICT RET</v>
      </c>
    </row>
    <row r="2922" spans="5:8" x14ac:dyDescent="0.25">
      <c r="E2922" t="str">
        <f>""</f>
        <v/>
      </c>
      <c r="F2922" t="str">
        <f>""</f>
        <v/>
      </c>
      <c r="H2922" t="str">
        <f t="shared" si="39"/>
        <v>TEXAS COUNTY &amp; DISTRICT RET</v>
      </c>
    </row>
    <row r="2923" spans="5:8" x14ac:dyDescent="0.25">
      <c r="E2923" t="str">
        <f>""</f>
        <v/>
      </c>
      <c r="F2923" t="str">
        <f>""</f>
        <v/>
      </c>
      <c r="H2923" t="str">
        <f t="shared" si="39"/>
        <v>TEXAS COUNTY &amp; DISTRICT RET</v>
      </c>
    </row>
    <row r="2924" spans="5:8" x14ac:dyDescent="0.25">
      <c r="E2924" t="str">
        <f>""</f>
        <v/>
      </c>
      <c r="F2924" t="str">
        <f>""</f>
        <v/>
      </c>
      <c r="H2924" t="str">
        <f t="shared" si="39"/>
        <v>TEXAS COUNTY &amp; DISTRICT RET</v>
      </c>
    </row>
    <row r="2925" spans="5:8" x14ac:dyDescent="0.25">
      <c r="E2925" t="str">
        <f>""</f>
        <v/>
      </c>
      <c r="F2925" t="str">
        <f>""</f>
        <v/>
      </c>
      <c r="H2925" t="str">
        <f t="shared" si="39"/>
        <v>TEXAS COUNTY &amp; DISTRICT RET</v>
      </c>
    </row>
    <row r="2926" spans="5:8" x14ac:dyDescent="0.25">
      <c r="E2926" t="str">
        <f>""</f>
        <v/>
      </c>
      <c r="F2926" t="str">
        <f>""</f>
        <v/>
      </c>
      <c r="H2926" t="str">
        <f t="shared" si="39"/>
        <v>TEXAS COUNTY &amp; DISTRICT RET</v>
      </c>
    </row>
    <row r="2927" spans="5:8" x14ac:dyDescent="0.25">
      <c r="E2927" t="str">
        <f>""</f>
        <v/>
      </c>
      <c r="F2927" t="str">
        <f>""</f>
        <v/>
      </c>
      <c r="H2927" t="str">
        <f t="shared" si="39"/>
        <v>TEXAS COUNTY &amp; DISTRICT RET</v>
      </c>
    </row>
    <row r="2928" spans="5:8" x14ac:dyDescent="0.25">
      <c r="E2928" t="str">
        <f>""</f>
        <v/>
      </c>
      <c r="F2928" t="str">
        <f>""</f>
        <v/>
      </c>
      <c r="H2928" t="str">
        <f t="shared" ref="H2928:H2947" si="40">"TEXAS COUNTY &amp; DISTRICT RET"</f>
        <v>TEXAS COUNTY &amp; DISTRICT RET</v>
      </c>
    </row>
    <row r="2929" spans="5:8" x14ac:dyDescent="0.25">
      <c r="E2929" t="str">
        <f>""</f>
        <v/>
      </c>
      <c r="F2929" t="str">
        <f>""</f>
        <v/>
      </c>
      <c r="H2929" t="str">
        <f t="shared" si="40"/>
        <v>TEXAS COUNTY &amp; DISTRICT RET</v>
      </c>
    </row>
    <row r="2930" spans="5:8" x14ac:dyDescent="0.25">
      <c r="E2930" t="str">
        <f>""</f>
        <v/>
      </c>
      <c r="F2930" t="str">
        <f>""</f>
        <v/>
      </c>
      <c r="H2930" t="str">
        <f t="shared" si="40"/>
        <v>TEXAS COUNTY &amp; DISTRICT RET</v>
      </c>
    </row>
    <row r="2931" spans="5:8" x14ac:dyDescent="0.25">
      <c r="E2931" t="str">
        <f>""</f>
        <v/>
      </c>
      <c r="F2931" t="str">
        <f>""</f>
        <v/>
      </c>
      <c r="H2931" t="str">
        <f t="shared" si="40"/>
        <v>TEXAS COUNTY &amp; DISTRICT RET</v>
      </c>
    </row>
    <row r="2932" spans="5:8" x14ac:dyDescent="0.25">
      <c r="E2932" t="str">
        <f>""</f>
        <v/>
      </c>
      <c r="F2932" t="str">
        <f>""</f>
        <v/>
      </c>
      <c r="H2932" t="str">
        <f t="shared" si="40"/>
        <v>TEXAS COUNTY &amp; DISTRICT RET</v>
      </c>
    </row>
    <row r="2933" spans="5:8" x14ac:dyDescent="0.25">
      <c r="E2933" t="str">
        <f>""</f>
        <v/>
      </c>
      <c r="F2933" t="str">
        <f>""</f>
        <v/>
      </c>
      <c r="H2933" t="str">
        <f t="shared" si="40"/>
        <v>TEXAS COUNTY &amp; DISTRICT RET</v>
      </c>
    </row>
    <row r="2934" spans="5:8" x14ac:dyDescent="0.25">
      <c r="E2934" t="str">
        <f>""</f>
        <v/>
      </c>
      <c r="F2934" t="str">
        <f>""</f>
        <v/>
      </c>
      <c r="H2934" t="str">
        <f t="shared" si="40"/>
        <v>TEXAS COUNTY &amp; DISTRICT RET</v>
      </c>
    </row>
    <row r="2935" spans="5:8" x14ac:dyDescent="0.25">
      <c r="E2935" t="str">
        <f>""</f>
        <v/>
      </c>
      <c r="F2935" t="str">
        <f>""</f>
        <v/>
      </c>
      <c r="H2935" t="str">
        <f t="shared" si="40"/>
        <v>TEXAS COUNTY &amp; DISTRICT RET</v>
      </c>
    </row>
    <row r="2936" spans="5:8" x14ac:dyDescent="0.25">
      <c r="E2936" t="str">
        <f>""</f>
        <v/>
      </c>
      <c r="F2936" t="str">
        <f>""</f>
        <v/>
      </c>
      <c r="H2936" t="str">
        <f t="shared" si="40"/>
        <v>TEXAS COUNTY &amp; DISTRICT RET</v>
      </c>
    </row>
    <row r="2937" spans="5:8" x14ac:dyDescent="0.25">
      <c r="E2937" t="str">
        <f>""</f>
        <v/>
      </c>
      <c r="F2937" t="str">
        <f>""</f>
        <v/>
      </c>
      <c r="H2937" t="str">
        <f t="shared" si="40"/>
        <v>TEXAS COUNTY &amp; DISTRICT RET</v>
      </c>
    </row>
    <row r="2938" spans="5:8" x14ac:dyDescent="0.25">
      <c r="E2938" t="str">
        <f>""</f>
        <v/>
      </c>
      <c r="F2938" t="str">
        <f>""</f>
        <v/>
      </c>
      <c r="H2938" t="str">
        <f t="shared" si="40"/>
        <v>TEXAS COUNTY &amp; DISTRICT RET</v>
      </c>
    </row>
    <row r="2939" spans="5:8" x14ac:dyDescent="0.25">
      <c r="E2939" t="str">
        <f>""</f>
        <v/>
      </c>
      <c r="F2939" t="str">
        <f>""</f>
        <v/>
      </c>
      <c r="H2939" t="str">
        <f t="shared" si="40"/>
        <v>TEXAS COUNTY &amp; DISTRICT RET</v>
      </c>
    </row>
    <row r="2940" spans="5:8" x14ac:dyDescent="0.25">
      <c r="E2940" t="str">
        <f>""</f>
        <v/>
      </c>
      <c r="F2940" t="str">
        <f>""</f>
        <v/>
      </c>
      <c r="H2940" t="str">
        <f t="shared" si="40"/>
        <v>TEXAS COUNTY &amp; DISTRICT RET</v>
      </c>
    </row>
    <row r="2941" spans="5:8" x14ac:dyDescent="0.25">
      <c r="E2941" t="str">
        <f>""</f>
        <v/>
      </c>
      <c r="F2941" t="str">
        <f>""</f>
        <v/>
      </c>
      <c r="H2941" t="str">
        <f t="shared" si="40"/>
        <v>TEXAS COUNTY &amp; DISTRICT RET</v>
      </c>
    </row>
    <row r="2942" spans="5:8" x14ac:dyDescent="0.25">
      <c r="E2942" t="str">
        <f>""</f>
        <v/>
      </c>
      <c r="F2942" t="str">
        <f>""</f>
        <v/>
      </c>
      <c r="H2942" t="str">
        <f t="shared" si="40"/>
        <v>TEXAS COUNTY &amp; DISTRICT RET</v>
      </c>
    </row>
    <row r="2943" spans="5:8" x14ac:dyDescent="0.25">
      <c r="E2943" t="str">
        <f>""</f>
        <v/>
      </c>
      <c r="F2943" t="str">
        <f>""</f>
        <v/>
      </c>
      <c r="H2943" t="str">
        <f t="shared" si="40"/>
        <v>TEXAS COUNTY &amp; DISTRICT RET</v>
      </c>
    </row>
    <row r="2944" spans="5:8" x14ac:dyDescent="0.25">
      <c r="E2944" t="str">
        <f>""</f>
        <v/>
      </c>
      <c r="F2944" t="str">
        <f>""</f>
        <v/>
      </c>
      <c r="H2944" t="str">
        <f t="shared" si="40"/>
        <v>TEXAS COUNTY &amp; DISTRICT RET</v>
      </c>
    </row>
    <row r="2945" spans="5:8" x14ac:dyDescent="0.25">
      <c r="E2945" t="str">
        <f>""</f>
        <v/>
      </c>
      <c r="F2945" t="str">
        <f>""</f>
        <v/>
      </c>
      <c r="H2945" t="str">
        <f t="shared" si="40"/>
        <v>TEXAS COUNTY &amp; DISTRICT RET</v>
      </c>
    </row>
    <row r="2946" spans="5:8" x14ac:dyDescent="0.25">
      <c r="E2946" t="str">
        <f>""</f>
        <v/>
      </c>
      <c r="F2946" t="str">
        <f>""</f>
        <v/>
      </c>
      <c r="H2946" t="str">
        <f t="shared" si="40"/>
        <v>TEXAS COUNTY &amp; DISTRICT RET</v>
      </c>
    </row>
    <row r="2947" spans="5:8" x14ac:dyDescent="0.25">
      <c r="E2947" t="str">
        <f>""</f>
        <v/>
      </c>
      <c r="F2947" t="str">
        <f>""</f>
        <v/>
      </c>
      <c r="H2947" t="str">
        <f t="shared" si="40"/>
        <v>TEXAS COUNTY &amp; DISTRICT RET</v>
      </c>
    </row>
    <row r="2948" spans="5:8" x14ac:dyDescent="0.25">
      <c r="E2948" t="str">
        <f>"RET201808082882"</f>
        <v>RET201808082882</v>
      </c>
      <c r="F2948" t="str">
        <f>"TEXAS COUNTY  DISTRICT RET"</f>
        <v>TEXAS COUNTY  DISTRICT RET</v>
      </c>
      <c r="G2948" s="2">
        <v>5747.96</v>
      </c>
      <c r="H2948" t="str">
        <f>"TEXAS COUNTY  DISTRICT RET"</f>
        <v>TEXAS COUNTY  DISTRICT RET</v>
      </c>
    </row>
    <row r="2949" spans="5:8" x14ac:dyDescent="0.25">
      <c r="E2949" t="str">
        <f>""</f>
        <v/>
      </c>
      <c r="F2949" t="str">
        <f>""</f>
        <v/>
      </c>
      <c r="H2949" t="str">
        <f>"TEXAS COUNTY  DISTRICT RET"</f>
        <v>TEXAS COUNTY  DISTRICT RET</v>
      </c>
    </row>
    <row r="2950" spans="5:8" x14ac:dyDescent="0.25">
      <c r="E2950" t="str">
        <f>"RET201808082883"</f>
        <v>RET201808082883</v>
      </c>
      <c r="F2950" t="str">
        <f>"TEXAS COUNTY &amp; DISTRICT RET"</f>
        <v>TEXAS COUNTY &amp; DISTRICT RET</v>
      </c>
      <c r="G2950" s="2">
        <v>9096.84</v>
      </c>
      <c r="H2950" t="str">
        <f t="shared" ref="H2950:H2981" si="41">"TEXAS COUNTY &amp; DISTRICT RET"</f>
        <v>TEXAS COUNTY &amp; DISTRICT RET</v>
      </c>
    </row>
    <row r="2951" spans="5:8" x14ac:dyDescent="0.25">
      <c r="E2951" t="str">
        <f>""</f>
        <v/>
      </c>
      <c r="F2951" t="str">
        <f>""</f>
        <v/>
      </c>
      <c r="H2951" t="str">
        <f t="shared" si="41"/>
        <v>TEXAS COUNTY &amp; DISTRICT RET</v>
      </c>
    </row>
    <row r="2952" spans="5:8" x14ac:dyDescent="0.25">
      <c r="E2952" t="str">
        <f>"RET201808223027"</f>
        <v>RET201808223027</v>
      </c>
      <c r="F2952" t="str">
        <f>"TEXAS COUNTY &amp; DISTRICT RET"</f>
        <v>TEXAS COUNTY &amp; DISTRICT RET</v>
      </c>
      <c r="G2952" s="2">
        <v>146235.71</v>
      </c>
      <c r="H2952" t="str">
        <f t="shared" si="41"/>
        <v>TEXAS COUNTY &amp; DISTRICT RET</v>
      </c>
    </row>
    <row r="2953" spans="5:8" x14ac:dyDescent="0.25">
      <c r="E2953" t="str">
        <f>""</f>
        <v/>
      </c>
      <c r="F2953" t="str">
        <f>""</f>
        <v/>
      </c>
      <c r="H2953" t="str">
        <f t="shared" si="41"/>
        <v>TEXAS COUNTY &amp; DISTRICT RET</v>
      </c>
    </row>
    <row r="2954" spans="5:8" x14ac:dyDescent="0.25">
      <c r="E2954" t="str">
        <f>""</f>
        <v/>
      </c>
      <c r="F2954" t="str">
        <f>""</f>
        <v/>
      </c>
      <c r="H2954" t="str">
        <f t="shared" si="41"/>
        <v>TEXAS COUNTY &amp; DISTRICT RET</v>
      </c>
    </row>
    <row r="2955" spans="5:8" x14ac:dyDescent="0.25">
      <c r="E2955" t="str">
        <f>""</f>
        <v/>
      </c>
      <c r="F2955" t="str">
        <f>""</f>
        <v/>
      </c>
      <c r="H2955" t="str">
        <f t="shared" si="41"/>
        <v>TEXAS COUNTY &amp; DISTRICT RET</v>
      </c>
    </row>
    <row r="2956" spans="5:8" x14ac:dyDescent="0.25">
      <c r="E2956" t="str">
        <f>""</f>
        <v/>
      </c>
      <c r="F2956" t="str">
        <f>""</f>
        <v/>
      </c>
      <c r="H2956" t="str">
        <f t="shared" si="41"/>
        <v>TEXAS COUNTY &amp; DISTRICT RET</v>
      </c>
    </row>
    <row r="2957" spans="5:8" x14ac:dyDescent="0.25">
      <c r="E2957" t="str">
        <f>""</f>
        <v/>
      </c>
      <c r="F2957" t="str">
        <f>""</f>
        <v/>
      </c>
      <c r="H2957" t="str">
        <f t="shared" si="41"/>
        <v>TEXAS COUNTY &amp; DISTRICT RET</v>
      </c>
    </row>
    <row r="2958" spans="5:8" x14ac:dyDescent="0.25">
      <c r="E2958" t="str">
        <f>""</f>
        <v/>
      </c>
      <c r="F2958" t="str">
        <f>""</f>
        <v/>
      </c>
      <c r="H2958" t="str">
        <f t="shared" si="41"/>
        <v>TEXAS COUNTY &amp; DISTRICT RET</v>
      </c>
    </row>
    <row r="2959" spans="5:8" x14ac:dyDescent="0.25">
      <c r="E2959" t="str">
        <f>""</f>
        <v/>
      </c>
      <c r="F2959" t="str">
        <f>""</f>
        <v/>
      </c>
      <c r="H2959" t="str">
        <f t="shared" si="41"/>
        <v>TEXAS COUNTY &amp; DISTRICT RET</v>
      </c>
    </row>
    <row r="2960" spans="5:8" x14ac:dyDescent="0.25">
      <c r="E2960" t="str">
        <f>""</f>
        <v/>
      </c>
      <c r="F2960" t="str">
        <f>""</f>
        <v/>
      </c>
      <c r="H2960" t="str">
        <f t="shared" si="41"/>
        <v>TEXAS COUNTY &amp; DISTRICT RET</v>
      </c>
    </row>
    <row r="2961" spans="5:8" x14ac:dyDescent="0.25">
      <c r="E2961" t="str">
        <f>""</f>
        <v/>
      </c>
      <c r="F2961" t="str">
        <f>""</f>
        <v/>
      </c>
      <c r="H2961" t="str">
        <f t="shared" si="41"/>
        <v>TEXAS COUNTY &amp; DISTRICT RET</v>
      </c>
    </row>
    <row r="2962" spans="5:8" x14ac:dyDescent="0.25">
      <c r="E2962" t="str">
        <f>""</f>
        <v/>
      </c>
      <c r="F2962" t="str">
        <f>""</f>
        <v/>
      </c>
      <c r="H2962" t="str">
        <f t="shared" si="41"/>
        <v>TEXAS COUNTY &amp; DISTRICT RET</v>
      </c>
    </row>
    <row r="2963" spans="5:8" x14ac:dyDescent="0.25">
      <c r="E2963" t="str">
        <f>""</f>
        <v/>
      </c>
      <c r="F2963" t="str">
        <f>""</f>
        <v/>
      </c>
      <c r="H2963" t="str">
        <f t="shared" si="41"/>
        <v>TEXAS COUNTY &amp; DISTRICT RET</v>
      </c>
    </row>
    <row r="2964" spans="5:8" x14ac:dyDescent="0.25">
      <c r="E2964" t="str">
        <f>""</f>
        <v/>
      </c>
      <c r="F2964" t="str">
        <f>""</f>
        <v/>
      </c>
      <c r="H2964" t="str">
        <f t="shared" si="41"/>
        <v>TEXAS COUNTY &amp; DISTRICT RET</v>
      </c>
    </row>
    <row r="2965" spans="5:8" x14ac:dyDescent="0.25">
      <c r="E2965" t="str">
        <f>""</f>
        <v/>
      </c>
      <c r="F2965" t="str">
        <f>""</f>
        <v/>
      </c>
      <c r="H2965" t="str">
        <f t="shared" si="41"/>
        <v>TEXAS COUNTY &amp; DISTRICT RET</v>
      </c>
    </row>
    <row r="2966" spans="5:8" x14ac:dyDescent="0.25">
      <c r="E2966" t="str">
        <f>""</f>
        <v/>
      </c>
      <c r="F2966" t="str">
        <f>""</f>
        <v/>
      </c>
      <c r="H2966" t="str">
        <f t="shared" si="41"/>
        <v>TEXAS COUNTY &amp; DISTRICT RET</v>
      </c>
    </row>
    <row r="2967" spans="5:8" x14ac:dyDescent="0.25">
      <c r="E2967" t="str">
        <f>""</f>
        <v/>
      </c>
      <c r="F2967" t="str">
        <f>""</f>
        <v/>
      </c>
      <c r="H2967" t="str">
        <f t="shared" si="41"/>
        <v>TEXAS COUNTY &amp; DISTRICT RET</v>
      </c>
    </row>
    <row r="2968" spans="5:8" x14ac:dyDescent="0.25">
      <c r="E2968" t="str">
        <f>""</f>
        <v/>
      </c>
      <c r="F2968" t="str">
        <f>""</f>
        <v/>
      </c>
      <c r="H2968" t="str">
        <f t="shared" si="41"/>
        <v>TEXAS COUNTY &amp; DISTRICT RET</v>
      </c>
    </row>
    <row r="2969" spans="5:8" x14ac:dyDescent="0.25">
      <c r="E2969" t="str">
        <f>""</f>
        <v/>
      </c>
      <c r="F2969" t="str">
        <f>""</f>
        <v/>
      </c>
      <c r="H2969" t="str">
        <f t="shared" si="41"/>
        <v>TEXAS COUNTY &amp; DISTRICT RET</v>
      </c>
    </row>
    <row r="2970" spans="5:8" x14ac:dyDescent="0.25">
      <c r="E2970" t="str">
        <f>""</f>
        <v/>
      </c>
      <c r="F2970" t="str">
        <f>""</f>
        <v/>
      </c>
      <c r="H2970" t="str">
        <f t="shared" si="41"/>
        <v>TEXAS COUNTY &amp; DISTRICT RET</v>
      </c>
    </row>
    <row r="2971" spans="5:8" x14ac:dyDescent="0.25">
      <c r="E2971" t="str">
        <f>""</f>
        <v/>
      </c>
      <c r="F2971" t="str">
        <f>""</f>
        <v/>
      </c>
      <c r="H2971" t="str">
        <f t="shared" si="41"/>
        <v>TEXAS COUNTY &amp; DISTRICT RET</v>
      </c>
    </row>
    <row r="2972" spans="5:8" x14ac:dyDescent="0.25">
      <c r="E2972" t="str">
        <f>""</f>
        <v/>
      </c>
      <c r="F2972" t="str">
        <f>""</f>
        <v/>
      </c>
      <c r="H2972" t="str">
        <f t="shared" si="41"/>
        <v>TEXAS COUNTY &amp; DISTRICT RET</v>
      </c>
    </row>
    <row r="2973" spans="5:8" x14ac:dyDescent="0.25">
      <c r="E2973" t="str">
        <f>""</f>
        <v/>
      </c>
      <c r="F2973" t="str">
        <f>""</f>
        <v/>
      </c>
      <c r="H2973" t="str">
        <f t="shared" si="41"/>
        <v>TEXAS COUNTY &amp; DISTRICT RET</v>
      </c>
    </row>
    <row r="2974" spans="5:8" x14ac:dyDescent="0.25">
      <c r="E2974" t="str">
        <f>""</f>
        <v/>
      </c>
      <c r="F2974" t="str">
        <f>""</f>
        <v/>
      </c>
      <c r="H2974" t="str">
        <f t="shared" si="41"/>
        <v>TEXAS COUNTY &amp; DISTRICT RET</v>
      </c>
    </row>
    <row r="2975" spans="5:8" x14ac:dyDescent="0.25">
      <c r="E2975" t="str">
        <f>""</f>
        <v/>
      </c>
      <c r="F2975" t="str">
        <f>""</f>
        <v/>
      </c>
      <c r="H2975" t="str">
        <f t="shared" si="41"/>
        <v>TEXAS COUNTY &amp; DISTRICT RET</v>
      </c>
    </row>
    <row r="2976" spans="5:8" x14ac:dyDescent="0.25">
      <c r="E2976" t="str">
        <f>""</f>
        <v/>
      </c>
      <c r="F2976" t="str">
        <f>""</f>
        <v/>
      </c>
      <c r="H2976" t="str">
        <f t="shared" si="41"/>
        <v>TEXAS COUNTY &amp; DISTRICT RET</v>
      </c>
    </row>
    <row r="2977" spans="5:8" x14ac:dyDescent="0.25">
      <c r="E2977" t="str">
        <f>""</f>
        <v/>
      </c>
      <c r="F2977" t="str">
        <f>""</f>
        <v/>
      </c>
      <c r="H2977" t="str">
        <f t="shared" si="41"/>
        <v>TEXAS COUNTY &amp; DISTRICT RET</v>
      </c>
    </row>
    <row r="2978" spans="5:8" x14ac:dyDescent="0.25">
      <c r="E2978" t="str">
        <f>""</f>
        <v/>
      </c>
      <c r="F2978" t="str">
        <f>""</f>
        <v/>
      </c>
      <c r="H2978" t="str">
        <f t="shared" si="41"/>
        <v>TEXAS COUNTY &amp; DISTRICT RET</v>
      </c>
    </row>
    <row r="2979" spans="5:8" x14ac:dyDescent="0.25">
      <c r="E2979" t="str">
        <f>""</f>
        <v/>
      </c>
      <c r="F2979" t="str">
        <f>""</f>
        <v/>
      </c>
      <c r="H2979" t="str">
        <f t="shared" si="41"/>
        <v>TEXAS COUNTY &amp; DISTRICT RET</v>
      </c>
    </row>
    <row r="2980" spans="5:8" x14ac:dyDescent="0.25">
      <c r="E2980" t="str">
        <f>""</f>
        <v/>
      </c>
      <c r="F2980" t="str">
        <f>""</f>
        <v/>
      </c>
      <c r="H2980" t="str">
        <f t="shared" si="41"/>
        <v>TEXAS COUNTY &amp; DISTRICT RET</v>
      </c>
    </row>
    <row r="2981" spans="5:8" x14ac:dyDescent="0.25">
      <c r="E2981" t="str">
        <f>""</f>
        <v/>
      </c>
      <c r="F2981" t="str">
        <f>""</f>
        <v/>
      </c>
      <c r="H2981" t="str">
        <f t="shared" si="41"/>
        <v>TEXAS COUNTY &amp; DISTRICT RET</v>
      </c>
    </row>
    <row r="2982" spans="5:8" x14ac:dyDescent="0.25">
      <c r="E2982" t="str">
        <f>""</f>
        <v/>
      </c>
      <c r="F2982" t="str">
        <f>""</f>
        <v/>
      </c>
      <c r="H2982" t="str">
        <f t="shared" ref="H2982:H3003" si="42">"TEXAS COUNTY &amp; DISTRICT RET"</f>
        <v>TEXAS COUNTY &amp; DISTRICT RET</v>
      </c>
    </row>
    <row r="2983" spans="5:8" x14ac:dyDescent="0.25">
      <c r="E2983" t="str">
        <f>""</f>
        <v/>
      </c>
      <c r="F2983" t="str">
        <f>""</f>
        <v/>
      </c>
      <c r="H2983" t="str">
        <f t="shared" si="42"/>
        <v>TEXAS COUNTY &amp; DISTRICT RET</v>
      </c>
    </row>
    <row r="2984" spans="5:8" x14ac:dyDescent="0.25">
      <c r="E2984" t="str">
        <f>""</f>
        <v/>
      </c>
      <c r="F2984" t="str">
        <f>""</f>
        <v/>
      </c>
      <c r="H2984" t="str">
        <f t="shared" si="42"/>
        <v>TEXAS COUNTY &amp; DISTRICT RET</v>
      </c>
    </row>
    <row r="2985" spans="5:8" x14ac:dyDescent="0.25">
      <c r="E2985" t="str">
        <f>""</f>
        <v/>
      </c>
      <c r="F2985" t="str">
        <f>""</f>
        <v/>
      </c>
      <c r="H2985" t="str">
        <f t="shared" si="42"/>
        <v>TEXAS COUNTY &amp; DISTRICT RET</v>
      </c>
    </row>
    <row r="2986" spans="5:8" x14ac:dyDescent="0.25">
      <c r="E2986" t="str">
        <f>""</f>
        <v/>
      </c>
      <c r="F2986" t="str">
        <f>""</f>
        <v/>
      </c>
      <c r="H2986" t="str">
        <f t="shared" si="42"/>
        <v>TEXAS COUNTY &amp; DISTRICT RET</v>
      </c>
    </row>
    <row r="2987" spans="5:8" x14ac:dyDescent="0.25">
      <c r="E2987" t="str">
        <f>""</f>
        <v/>
      </c>
      <c r="F2987" t="str">
        <f>""</f>
        <v/>
      </c>
      <c r="H2987" t="str">
        <f t="shared" si="42"/>
        <v>TEXAS COUNTY &amp; DISTRICT RET</v>
      </c>
    </row>
    <row r="2988" spans="5:8" x14ac:dyDescent="0.25">
      <c r="E2988" t="str">
        <f>""</f>
        <v/>
      </c>
      <c r="F2988" t="str">
        <f>""</f>
        <v/>
      </c>
      <c r="H2988" t="str">
        <f t="shared" si="42"/>
        <v>TEXAS COUNTY &amp; DISTRICT RET</v>
      </c>
    </row>
    <row r="2989" spans="5:8" x14ac:dyDescent="0.25">
      <c r="E2989" t="str">
        <f>""</f>
        <v/>
      </c>
      <c r="F2989" t="str">
        <f>""</f>
        <v/>
      </c>
      <c r="H2989" t="str">
        <f t="shared" si="42"/>
        <v>TEXAS COUNTY &amp; DISTRICT RET</v>
      </c>
    </row>
    <row r="2990" spans="5:8" x14ac:dyDescent="0.25">
      <c r="E2990" t="str">
        <f>""</f>
        <v/>
      </c>
      <c r="F2990" t="str">
        <f>""</f>
        <v/>
      </c>
      <c r="H2990" t="str">
        <f t="shared" si="42"/>
        <v>TEXAS COUNTY &amp; DISTRICT RET</v>
      </c>
    </row>
    <row r="2991" spans="5:8" x14ac:dyDescent="0.25">
      <c r="E2991" t="str">
        <f>""</f>
        <v/>
      </c>
      <c r="F2991" t="str">
        <f>""</f>
        <v/>
      </c>
      <c r="H2991" t="str">
        <f t="shared" si="42"/>
        <v>TEXAS COUNTY &amp; DISTRICT RET</v>
      </c>
    </row>
    <row r="2992" spans="5:8" x14ac:dyDescent="0.25">
      <c r="E2992" t="str">
        <f>""</f>
        <v/>
      </c>
      <c r="F2992" t="str">
        <f>""</f>
        <v/>
      </c>
      <c r="H2992" t="str">
        <f t="shared" si="42"/>
        <v>TEXAS COUNTY &amp; DISTRICT RET</v>
      </c>
    </row>
    <row r="2993" spans="1:8" x14ac:dyDescent="0.25">
      <c r="E2993" t="str">
        <f>""</f>
        <v/>
      </c>
      <c r="F2993" t="str">
        <f>""</f>
        <v/>
      </c>
      <c r="H2993" t="str">
        <f t="shared" si="42"/>
        <v>TEXAS COUNTY &amp; DISTRICT RET</v>
      </c>
    </row>
    <row r="2994" spans="1:8" x14ac:dyDescent="0.25">
      <c r="E2994" t="str">
        <f>""</f>
        <v/>
      </c>
      <c r="F2994" t="str">
        <f>""</f>
        <v/>
      </c>
      <c r="H2994" t="str">
        <f t="shared" si="42"/>
        <v>TEXAS COUNTY &amp; DISTRICT RET</v>
      </c>
    </row>
    <row r="2995" spans="1:8" x14ac:dyDescent="0.25">
      <c r="E2995" t="str">
        <f>""</f>
        <v/>
      </c>
      <c r="F2995" t="str">
        <f>""</f>
        <v/>
      </c>
      <c r="H2995" t="str">
        <f t="shared" si="42"/>
        <v>TEXAS COUNTY &amp; DISTRICT RET</v>
      </c>
    </row>
    <row r="2996" spans="1:8" x14ac:dyDescent="0.25">
      <c r="E2996" t="str">
        <f>""</f>
        <v/>
      </c>
      <c r="F2996" t="str">
        <f>""</f>
        <v/>
      </c>
      <c r="H2996" t="str">
        <f t="shared" si="42"/>
        <v>TEXAS COUNTY &amp; DISTRICT RET</v>
      </c>
    </row>
    <row r="2997" spans="1:8" x14ac:dyDescent="0.25">
      <c r="E2997" t="str">
        <f>""</f>
        <v/>
      </c>
      <c r="F2997" t="str">
        <f>""</f>
        <v/>
      </c>
      <c r="H2997" t="str">
        <f t="shared" si="42"/>
        <v>TEXAS COUNTY &amp; DISTRICT RET</v>
      </c>
    </row>
    <row r="2998" spans="1:8" x14ac:dyDescent="0.25">
      <c r="E2998" t="str">
        <f>""</f>
        <v/>
      </c>
      <c r="F2998" t="str">
        <f>""</f>
        <v/>
      </c>
      <c r="H2998" t="str">
        <f t="shared" si="42"/>
        <v>TEXAS COUNTY &amp; DISTRICT RET</v>
      </c>
    </row>
    <row r="2999" spans="1:8" x14ac:dyDescent="0.25">
      <c r="E2999" t="str">
        <f>""</f>
        <v/>
      </c>
      <c r="F2999" t="str">
        <f>""</f>
        <v/>
      </c>
      <c r="H2999" t="str">
        <f t="shared" si="42"/>
        <v>TEXAS COUNTY &amp; DISTRICT RET</v>
      </c>
    </row>
    <row r="3000" spans="1:8" x14ac:dyDescent="0.25">
      <c r="E3000" t="str">
        <f>""</f>
        <v/>
      </c>
      <c r="F3000" t="str">
        <f>""</f>
        <v/>
      </c>
      <c r="H3000" t="str">
        <f t="shared" si="42"/>
        <v>TEXAS COUNTY &amp; DISTRICT RET</v>
      </c>
    </row>
    <row r="3001" spans="1:8" x14ac:dyDescent="0.25">
      <c r="E3001" t="str">
        <f>""</f>
        <v/>
      </c>
      <c r="F3001" t="str">
        <f>""</f>
        <v/>
      </c>
      <c r="H3001" t="str">
        <f t="shared" si="42"/>
        <v>TEXAS COUNTY &amp; DISTRICT RET</v>
      </c>
    </row>
    <row r="3002" spans="1:8" x14ac:dyDescent="0.25">
      <c r="E3002" t="str">
        <f>""</f>
        <v/>
      </c>
      <c r="F3002" t="str">
        <f>""</f>
        <v/>
      </c>
      <c r="H3002" t="str">
        <f t="shared" si="42"/>
        <v>TEXAS COUNTY &amp; DISTRICT RET</v>
      </c>
    </row>
    <row r="3003" spans="1:8" x14ac:dyDescent="0.25">
      <c r="E3003" t="str">
        <f>""</f>
        <v/>
      </c>
      <c r="F3003" t="str">
        <f>""</f>
        <v/>
      </c>
      <c r="H3003" t="str">
        <f t="shared" si="42"/>
        <v>TEXAS COUNTY &amp; DISTRICT RET</v>
      </c>
    </row>
    <row r="3004" spans="1:8" x14ac:dyDescent="0.25">
      <c r="E3004" t="str">
        <f>"RET201808223028"</f>
        <v>RET201808223028</v>
      </c>
      <c r="F3004" t="str">
        <f>"TEXAS COUNTY  DISTRICT RET"</f>
        <v>TEXAS COUNTY  DISTRICT RET</v>
      </c>
      <c r="G3004" s="2">
        <v>5876.54</v>
      </c>
      <c r="H3004" t="str">
        <f>"TEXAS COUNTY  DISTRICT RET"</f>
        <v>TEXAS COUNTY  DISTRICT RET</v>
      </c>
    </row>
    <row r="3005" spans="1:8" x14ac:dyDescent="0.25">
      <c r="E3005" t="str">
        <f>""</f>
        <v/>
      </c>
      <c r="F3005" t="str">
        <f>""</f>
        <v/>
      </c>
      <c r="H3005" t="str">
        <f>"TEXAS COUNTY  DISTRICT RET"</f>
        <v>TEXAS COUNTY  DISTRICT RET</v>
      </c>
    </row>
    <row r="3006" spans="1:8" x14ac:dyDescent="0.25">
      <c r="E3006" t="str">
        <f>"RET201808223029"</f>
        <v>RET201808223029</v>
      </c>
      <c r="F3006" t="str">
        <f>"TEXAS COUNTY &amp; DISTRICT RET"</f>
        <v>TEXAS COUNTY &amp; DISTRICT RET</v>
      </c>
      <c r="G3006" s="2">
        <v>7620.26</v>
      </c>
      <c r="H3006" t="str">
        <f>"TEXAS COUNTY &amp; DISTRICT RET"</f>
        <v>TEXAS COUNTY &amp; DISTRICT RET</v>
      </c>
    </row>
    <row r="3007" spans="1:8" x14ac:dyDescent="0.25">
      <c r="E3007" t="str">
        <f>""</f>
        <v/>
      </c>
      <c r="F3007" t="str">
        <f>""</f>
        <v/>
      </c>
      <c r="H3007" t="str">
        <f>"TEXAS COUNTY &amp; DISTRICT RET"</f>
        <v>TEXAS COUNTY &amp; DISTRICT RET</v>
      </c>
    </row>
    <row r="3008" spans="1:8" x14ac:dyDescent="0.25">
      <c r="A3008" t="s">
        <v>608</v>
      </c>
      <c r="B3008">
        <v>46570</v>
      </c>
      <c r="C3008" s="3">
        <v>1090</v>
      </c>
      <c r="D3008" s="1">
        <v>43341</v>
      </c>
      <c r="E3008" t="str">
        <f>"LEG201808082881"</f>
        <v>LEG201808082881</v>
      </c>
      <c r="F3008" t="str">
        <f>"TEXAS LEGAL PROTECTION PLAN"</f>
        <v>TEXAS LEGAL PROTECTION PLAN</v>
      </c>
      <c r="G3008" s="2">
        <v>552.5</v>
      </c>
      <c r="H3008" t="str">
        <f>"TEXAS LEGAL PROTECTION PLAN"</f>
        <v>TEXAS LEGAL PROTECTION PLAN</v>
      </c>
    </row>
    <row r="3009" spans="1:8" x14ac:dyDescent="0.25">
      <c r="E3009" t="str">
        <f>"LEG201808223027"</f>
        <v>LEG201808223027</v>
      </c>
      <c r="F3009" t="str">
        <f>"TEXAS LEGAL PROTECTION PLAN"</f>
        <v>TEXAS LEGAL PROTECTION PLAN</v>
      </c>
      <c r="G3009" s="2">
        <v>537.5</v>
      </c>
      <c r="H3009" t="str">
        <f>"TEXAS LEGAL PROTECTION PLAN"</f>
        <v>TEXAS LEGAL PROTECTION PLAN</v>
      </c>
    </row>
    <row r="3010" spans="1:8" x14ac:dyDescent="0.25">
      <c r="A3010" t="s">
        <v>609</v>
      </c>
      <c r="B3010">
        <v>46542</v>
      </c>
      <c r="C3010" s="3">
        <v>218.61</v>
      </c>
      <c r="D3010" s="1">
        <v>43322</v>
      </c>
      <c r="E3010" t="str">
        <f>"SL6201808082881"</f>
        <v>SL6201808082881</v>
      </c>
      <c r="F3010" t="str">
        <f>"TG STUDENT LOAN - P CROUCH"</f>
        <v>TG STUDENT LOAN - P CROUCH</v>
      </c>
      <c r="G3010" s="2">
        <v>218.61</v>
      </c>
      <c r="H3010" t="str">
        <f>"TG STUDENT LOAN - P CROUCH"</f>
        <v>TG STUDENT LOAN - P CROUCH</v>
      </c>
    </row>
    <row r="3011" spans="1:8" x14ac:dyDescent="0.25">
      <c r="A3011" t="s">
        <v>609</v>
      </c>
      <c r="B3011">
        <v>46569</v>
      </c>
      <c r="C3011" s="3">
        <v>218.61</v>
      </c>
      <c r="D3011" s="1">
        <v>43336</v>
      </c>
      <c r="E3011" t="str">
        <f>"SL6201808223027"</f>
        <v>SL6201808223027</v>
      </c>
      <c r="F3011" t="str">
        <f>"TG STUDENT LOAN - P CROUCH"</f>
        <v>TG STUDENT LOAN - P CROUCH</v>
      </c>
      <c r="G3011" s="2">
        <v>218.61</v>
      </c>
      <c r="H3011" t="str">
        <f>"TG STUDENT LOAN - P CROUCH"</f>
        <v>TG STUDENT LOAN - P CROUCH</v>
      </c>
    </row>
    <row r="3012" spans="1:8" x14ac:dyDescent="0.25">
      <c r="A3012" t="s">
        <v>610</v>
      </c>
      <c r="B3012">
        <v>46541</v>
      </c>
      <c r="C3012" s="3">
        <v>388.48</v>
      </c>
      <c r="D3012" s="1">
        <v>43322</v>
      </c>
      <c r="E3012" t="str">
        <f>"S11201808082881"</f>
        <v>S11201808082881</v>
      </c>
      <c r="F3012" t="str">
        <f>"STUDENT LOAN KIRKPATRICK"</f>
        <v>STUDENT LOAN KIRKPATRICK</v>
      </c>
      <c r="G3012" s="2">
        <v>175.83</v>
      </c>
      <c r="H3012" t="str">
        <f>"STUDENT LOAN KIRKPATRICK"</f>
        <v>STUDENT LOAN KIRKPATRICK</v>
      </c>
    </row>
    <row r="3013" spans="1:8" x14ac:dyDescent="0.25">
      <c r="E3013" t="str">
        <f>"SL9201808082881"</f>
        <v>SL9201808082881</v>
      </c>
      <c r="F3013" t="str">
        <f>"STUDENT LOAN"</f>
        <v>STUDENT LOAN</v>
      </c>
      <c r="G3013" s="2">
        <v>212.65</v>
      </c>
      <c r="H3013" t="str">
        <f>"STUDENT LOAN"</f>
        <v>STUDENT LOAN</v>
      </c>
    </row>
    <row r="3014" spans="1:8" x14ac:dyDescent="0.25">
      <c r="A3014" t="s">
        <v>610</v>
      </c>
      <c r="B3014">
        <v>46568</v>
      </c>
      <c r="C3014" s="3">
        <v>388.48</v>
      </c>
      <c r="D3014" s="1">
        <v>43336</v>
      </c>
      <c r="E3014" t="str">
        <f>"S11201808223027"</f>
        <v>S11201808223027</v>
      </c>
      <c r="F3014" t="str">
        <f>"STUDENT LOAN KIRKPATRICK"</f>
        <v>STUDENT LOAN KIRKPATRICK</v>
      </c>
      <c r="G3014" s="2">
        <v>175.83</v>
      </c>
      <c r="H3014" t="str">
        <f>"STUDENT LOAN KIRKPATRICK"</f>
        <v>STUDENT LOAN KIRKPATRICK</v>
      </c>
    </row>
    <row r="3015" spans="1:8" x14ac:dyDescent="0.25">
      <c r="E3015" t="str">
        <f>"SL9201808223027"</f>
        <v>SL9201808223027</v>
      </c>
      <c r="F3015" t="str">
        <f>"STUDENT LOAN"</f>
        <v>STUDENT LOAN</v>
      </c>
      <c r="G3015" s="2">
        <v>212.65</v>
      </c>
      <c r="H3015" t="str">
        <f>"STUDENT LOAN"</f>
        <v>STUDENT LOAN</v>
      </c>
    </row>
    <row r="3016" spans="1:8" x14ac:dyDescent="0.25">
      <c r="A3016" t="s">
        <v>560</v>
      </c>
      <c r="B3016">
        <v>0</v>
      </c>
      <c r="C3016" s="3">
        <v>11235.85</v>
      </c>
      <c r="D3016" s="1">
        <v>43322</v>
      </c>
      <c r="E3016" t="str">
        <f>"FSA201808082881"</f>
        <v>FSA201808082881</v>
      </c>
      <c r="F3016" t="str">
        <f>"WAGE WORKS"</f>
        <v>WAGE WORKS</v>
      </c>
      <c r="G3016" s="2">
        <v>8300.16</v>
      </c>
      <c r="H3016" t="str">
        <f>"WAGE WORKS"</f>
        <v>WAGE WORKS</v>
      </c>
    </row>
    <row r="3017" spans="1:8" x14ac:dyDescent="0.25">
      <c r="E3017" t="str">
        <f>"FSA201808082882"</f>
        <v>FSA201808082882</v>
      </c>
      <c r="F3017" t="str">
        <f>"WAGE WORKS"</f>
        <v>WAGE WORKS</v>
      </c>
      <c r="G3017" s="2">
        <v>574</v>
      </c>
      <c r="H3017" t="str">
        <f>"WAGE WORKS"</f>
        <v>WAGE WORKS</v>
      </c>
    </row>
    <row r="3018" spans="1:8" x14ac:dyDescent="0.25">
      <c r="E3018" t="str">
        <f>"FSC201808082881"</f>
        <v>FSC201808082881</v>
      </c>
      <c r="F3018" t="str">
        <f>"WAGE WORKS"</f>
        <v>WAGE WORKS</v>
      </c>
      <c r="G3018" s="2">
        <v>913.95</v>
      </c>
      <c r="H3018" t="str">
        <f>"WAGE WORKS"</f>
        <v>WAGE WORKS</v>
      </c>
    </row>
    <row r="3019" spans="1:8" x14ac:dyDescent="0.25">
      <c r="E3019" t="str">
        <f>"FSF201808082881"</f>
        <v>FSF201808082881</v>
      </c>
      <c r="F3019" t="str">
        <f>"WAGE WORKS - FSA &amp; HRA FEES"</f>
        <v>WAGE WORKS - FSA &amp; HRA FEES</v>
      </c>
      <c r="G3019" s="2">
        <v>552.79</v>
      </c>
      <c r="H3019" t="str">
        <f t="shared" ref="H3019:H3059" si="43">"WAGE WORKS - FSA &amp; HRA FEES"</f>
        <v>WAGE WORKS - FSA &amp; HRA FEES</v>
      </c>
    </row>
    <row r="3020" spans="1:8" x14ac:dyDescent="0.25">
      <c r="E3020" t="str">
        <f>""</f>
        <v/>
      </c>
      <c r="F3020" t="str">
        <f>""</f>
        <v/>
      </c>
      <c r="H3020" t="str">
        <f t="shared" si="43"/>
        <v>WAGE WORKS - FSA &amp; HRA FEES</v>
      </c>
    </row>
    <row r="3021" spans="1:8" x14ac:dyDescent="0.25">
      <c r="E3021" t="str">
        <f>""</f>
        <v/>
      </c>
      <c r="F3021" t="str">
        <f>""</f>
        <v/>
      </c>
      <c r="H3021" t="str">
        <f t="shared" si="43"/>
        <v>WAGE WORKS - FSA &amp; HRA FEES</v>
      </c>
    </row>
    <row r="3022" spans="1:8" x14ac:dyDescent="0.25">
      <c r="E3022" t="str">
        <f>""</f>
        <v/>
      </c>
      <c r="F3022" t="str">
        <f>""</f>
        <v/>
      </c>
      <c r="H3022" t="str">
        <f t="shared" si="43"/>
        <v>WAGE WORKS - FSA &amp; HRA FEES</v>
      </c>
    </row>
    <row r="3023" spans="1:8" x14ac:dyDescent="0.25">
      <c r="E3023" t="str">
        <f>""</f>
        <v/>
      </c>
      <c r="F3023" t="str">
        <f>""</f>
        <v/>
      </c>
      <c r="H3023" t="str">
        <f t="shared" si="43"/>
        <v>WAGE WORKS - FSA &amp; HRA FEES</v>
      </c>
    </row>
    <row r="3024" spans="1:8" x14ac:dyDescent="0.25">
      <c r="E3024" t="str">
        <f>""</f>
        <v/>
      </c>
      <c r="F3024" t="str">
        <f>""</f>
        <v/>
      </c>
      <c r="H3024" t="str">
        <f t="shared" si="43"/>
        <v>WAGE WORKS - FSA &amp; HRA FEES</v>
      </c>
    </row>
    <row r="3025" spans="5:8" x14ac:dyDescent="0.25">
      <c r="E3025" t="str">
        <f>""</f>
        <v/>
      </c>
      <c r="F3025" t="str">
        <f>""</f>
        <v/>
      </c>
      <c r="H3025" t="str">
        <f t="shared" si="43"/>
        <v>WAGE WORKS - FSA &amp; HRA FEES</v>
      </c>
    </row>
    <row r="3026" spans="5:8" x14ac:dyDescent="0.25">
      <c r="E3026" t="str">
        <f>""</f>
        <v/>
      </c>
      <c r="F3026" t="str">
        <f>""</f>
        <v/>
      </c>
      <c r="H3026" t="str">
        <f t="shared" si="43"/>
        <v>WAGE WORKS - FSA &amp; HRA FEES</v>
      </c>
    </row>
    <row r="3027" spans="5:8" x14ac:dyDescent="0.25">
      <c r="E3027" t="str">
        <f>""</f>
        <v/>
      </c>
      <c r="F3027" t="str">
        <f>""</f>
        <v/>
      </c>
      <c r="H3027" t="str">
        <f t="shared" si="43"/>
        <v>WAGE WORKS - FSA &amp; HRA FEES</v>
      </c>
    </row>
    <row r="3028" spans="5:8" x14ac:dyDescent="0.25">
      <c r="E3028" t="str">
        <f>""</f>
        <v/>
      </c>
      <c r="F3028" t="str">
        <f>""</f>
        <v/>
      </c>
      <c r="H3028" t="str">
        <f t="shared" si="43"/>
        <v>WAGE WORKS - FSA &amp; HRA FEES</v>
      </c>
    </row>
    <row r="3029" spans="5:8" x14ac:dyDescent="0.25">
      <c r="E3029" t="str">
        <f>""</f>
        <v/>
      </c>
      <c r="F3029" t="str">
        <f>""</f>
        <v/>
      </c>
      <c r="H3029" t="str">
        <f t="shared" si="43"/>
        <v>WAGE WORKS - FSA &amp; HRA FEES</v>
      </c>
    </row>
    <row r="3030" spans="5:8" x14ac:dyDescent="0.25">
      <c r="E3030" t="str">
        <f>""</f>
        <v/>
      </c>
      <c r="F3030" t="str">
        <f>""</f>
        <v/>
      </c>
      <c r="H3030" t="str">
        <f t="shared" si="43"/>
        <v>WAGE WORKS - FSA &amp; HRA FEES</v>
      </c>
    </row>
    <row r="3031" spans="5:8" x14ac:dyDescent="0.25">
      <c r="E3031" t="str">
        <f>""</f>
        <v/>
      </c>
      <c r="F3031" t="str">
        <f>""</f>
        <v/>
      </c>
      <c r="H3031" t="str">
        <f t="shared" si="43"/>
        <v>WAGE WORKS - FSA &amp; HRA FEES</v>
      </c>
    </row>
    <row r="3032" spans="5:8" x14ac:dyDescent="0.25">
      <c r="E3032" t="str">
        <f>""</f>
        <v/>
      </c>
      <c r="F3032" t="str">
        <f>""</f>
        <v/>
      </c>
      <c r="H3032" t="str">
        <f t="shared" si="43"/>
        <v>WAGE WORKS - FSA &amp; HRA FEES</v>
      </c>
    </row>
    <row r="3033" spans="5:8" x14ac:dyDescent="0.25">
      <c r="E3033" t="str">
        <f>""</f>
        <v/>
      </c>
      <c r="F3033" t="str">
        <f>""</f>
        <v/>
      </c>
      <c r="H3033" t="str">
        <f t="shared" si="43"/>
        <v>WAGE WORKS - FSA &amp; HRA FEES</v>
      </c>
    </row>
    <row r="3034" spans="5:8" x14ac:dyDescent="0.25">
      <c r="E3034" t="str">
        <f>""</f>
        <v/>
      </c>
      <c r="F3034" t="str">
        <f>""</f>
        <v/>
      </c>
      <c r="H3034" t="str">
        <f t="shared" si="43"/>
        <v>WAGE WORKS - FSA &amp; HRA FEES</v>
      </c>
    </row>
    <row r="3035" spans="5:8" x14ac:dyDescent="0.25">
      <c r="E3035" t="str">
        <f>""</f>
        <v/>
      </c>
      <c r="F3035" t="str">
        <f>""</f>
        <v/>
      </c>
      <c r="H3035" t="str">
        <f t="shared" si="43"/>
        <v>WAGE WORKS - FSA &amp; HRA FEES</v>
      </c>
    </row>
    <row r="3036" spans="5:8" x14ac:dyDescent="0.25">
      <c r="E3036" t="str">
        <f>""</f>
        <v/>
      </c>
      <c r="F3036" t="str">
        <f>""</f>
        <v/>
      </c>
      <c r="H3036" t="str">
        <f t="shared" si="43"/>
        <v>WAGE WORKS - FSA &amp; HRA FEES</v>
      </c>
    </row>
    <row r="3037" spans="5:8" x14ac:dyDescent="0.25">
      <c r="E3037" t="str">
        <f>""</f>
        <v/>
      </c>
      <c r="F3037" t="str">
        <f>""</f>
        <v/>
      </c>
      <c r="H3037" t="str">
        <f t="shared" si="43"/>
        <v>WAGE WORKS - FSA &amp; HRA FEES</v>
      </c>
    </row>
    <row r="3038" spans="5:8" x14ac:dyDescent="0.25">
      <c r="E3038" t="str">
        <f>""</f>
        <v/>
      </c>
      <c r="F3038" t="str">
        <f>""</f>
        <v/>
      </c>
      <c r="H3038" t="str">
        <f t="shared" si="43"/>
        <v>WAGE WORKS - FSA &amp; HRA FEES</v>
      </c>
    </row>
    <row r="3039" spans="5:8" x14ac:dyDescent="0.25">
      <c r="E3039" t="str">
        <f>""</f>
        <v/>
      </c>
      <c r="F3039" t="str">
        <f>""</f>
        <v/>
      </c>
      <c r="H3039" t="str">
        <f t="shared" si="43"/>
        <v>WAGE WORKS - FSA &amp; HRA FEES</v>
      </c>
    </row>
    <row r="3040" spans="5:8" x14ac:dyDescent="0.25">
      <c r="E3040" t="str">
        <f>""</f>
        <v/>
      </c>
      <c r="F3040" t="str">
        <f>""</f>
        <v/>
      </c>
      <c r="H3040" t="str">
        <f t="shared" si="43"/>
        <v>WAGE WORKS - FSA &amp; HRA FEES</v>
      </c>
    </row>
    <row r="3041" spans="5:8" x14ac:dyDescent="0.25">
      <c r="E3041" t="str">
        <f>""</f>
        <v/>
      </c>
      <c r="F3041" t="str">
        <f>""</f>
        <v/>
      </c>
      <c r="H3041" t="str">
        <f t="shared" si="43"/>
        <v>WAGE WORKS - FSA &amp; HRA FEES</v>
      </c>
    </row>
    <row r="3042" spans="5:8" x14ac:dyDescent="0.25">
      <c r="E3042" t="str">
        <f>""</f>
        <v/>
      </c>
      <c r="F3042" t="str">
        <f>""</f>
        <v/>
      </c>
      <c r="H3042" t="str">
        <f t="shared" si="43"/>
        <v>WAGE WORKS - FSA &amp; HRA FEES</v>
      </c>
    </row>
    <row r="3043" spans="5:8" x14ac:dyDescent="0.25">
      <c r="E3043" t="str">
        <f>""</f>
        <v/>
      </c>
      <c r="F3043" t="str">
        <f>""</f>
        <v/>
      </c>
      <c r="H3043" t="str">
        <f t="shared" si="43"/>
        <v>WAGE WORKS - FSA &amp; HRA FEES</v>
      </c>
    </row>
    <row r="3044" spans="5:8" x14ac:dyDescent="0.25">
      <c r="E3044" t="str">
        <f>""</f>
        <v/>
      </c>
      <c r="F3044" t="str">
        <f>""</f>
        <v/>
      </c>
      <c r="H3044" t="str">
        <f t="shared" si="43"/>
        <v>WAGE WORKS - FSA &amp; HRA FEES</v>
      </c>
    </row>
    <row r="3045" spans="5:8" x14ac:dyDescent="0.25">
      <c r="E3045" t="str">
        <f>""</f>
        <v/>
      </c>
      <c r="F3045" t="str">
        <f>""</f>
        <v/>
      </c>
      <c r="H3045" t="str">
        <f t="shared" si="43"/>
        <v>WAGE WORKS - FSA &amp; HRA FEES</v>
      </c>
    </row>
    <row r="3046" spans="5:8" x14ac:dyDescent="0.25">
      <c r="E3046" t="str">
        <f>""</f>
        <v/>
      </c>
      <c r="F3046" t="str">
        <f>""</f>
        <v/>
      </c>
      <c r="H3046" t="str">
        <f t="shared" si="43"/>
        <v>WAGE WORKS - FSA &amp; HRA FEES</v>
      </c>
    </row>
    <row r="3047" spans="5:8" x14ac:dyDescent="0.25">
      <c r="E3047" t="str">
        <f>""</f>
        <v/>
      </c>
      <c r="F3047" t="str">
        <f>""</f>
        <v/>
      </c>
      <c r="H3047" t="str">
        <f t="shared" si="43"/>
        <v>WAGE WORKS - FSA &amp; HRA FEES</v>
      </c>
    </row>
    <row r="3048" spans="5:8" x14ac:dyDescent="0.25">
      <c r="E3048" t="str">
        <f>""</f>
        <v/>
      </c>
      <c r="F3048" t="str">
        <f>""</f>
        <v/>
      </c>
      <c r="H3048" t="str">
        <f t="shared" si="43"/>
        <v>WAGE WORKS - FSA &amp; HRA FEES</v>
      </c>
    </row>
    <row r="3049" spans="5:8" x14ac:dyDescent="0.25">
      <c r="E3049" t="str">
        <f>""</f>
        <v/>
      </c>
      <c r="F3049" t="str">
        <f>""</f>
        <v/>
      </c>
      <c r="H3049" t="str">
        <f t="shared" si="43"/>
        <v>WAGE WORKS - FSA &amp; HRA FEES</v>
      </c>
    </row>
    <row r="3050" spans="5:8" x14ac:dyDescent="0.25">
      <c r="E3050" t="str">
        <f>""</f>
        <v/>
      </c>
      <c r="F3050" t="str">
        <f>""</f>
        <v/>
      </c>
      <c r="H3050" t="str">
        <f t="shared" si="43"/>
        <v>WAGE WORKS - FSA &amp; HRA FEES</v>
      </c>
    </row>
    <row r="3051" spans="5:8" x14ac:dyDescent="0.25">
      <c r="E3051" t="str">
        <f>""</f>
        <v/>
      </c>
      <c r="F3051" t="str">
        <f>""</f>
        <v/>
      </c>
      <c r="H3051" t="str">
        <f t="shared" si="43"/>
        <v>WAGE WORKS - FSA &amp; HRA FEES</v>
      </c>
    </row>
    <row r="3052" spans="5:8" x14ac:dyDescent="0.25">
      <c r="E3052" t="str">
        <f>""</f>
        <v/>
      </c>
      <c r="F3052" t="str">
        <f>""</f>
        <v/>
      </c>
      <c r="H3052" t="str">
        <f t="shared" si="43"/>
        <v>WAGE WORKS - FSA &amp; HRA FEES</v>
      </c>
    </row>
    <row r="3053" spans="5:8" x14ac:dyDescent="0.25">
      <c r="E3053" t="str">
        <f>""</f>
        <v/>
      </c>
      <c r="F3053" t="str">
        <f>""</f>
        <v/>
      </c>
      <c r="H3053" t="str">
        <f t="shared" si="43"/>
        <v>WAGE WORKS - FSA &amp; HRA FEES</v>
      </c>
    </row>
    <row r="3054" spans="5:8" x14ac:dyDescent="0.25">
      <c r="E3054" t="str">
        <f>""</f>
        <v/>
      </c>
      <c r="F3054" t="str">
        <f>""</f>
        <v/>
      </c>
      <c r="H3054" t="str">
        <f t="shared" si="43"/>
        <v>WAGE WORKS - FSA &amp; HRA FEES</v>
      </c>
    </row>
    <row r="3055" spans="5:8" x14ac:dyDescent="0.25">
      <c r="E3055" t="str">
        <f>""</f>
        <v/>
      </c>
      <c r="F3055" t="str">
        <f>""</f>
        <v/>
      </c>
      <c r="H3055" t="str">
        <f t="shared" si="43"/>
        <v>WAGE WORKS - FSA &amp; HRA FEES</v>
      </c>
    </row>
    <row r="3056" spans="5:8" x14ac:dyDescent="0.25">
      <c r="E3056" t="str">
        <f>""</f>
        <v/>
      </c>
      <c r="F3056" t="str">
        <f>""</f>
        <v/>
      </c>
      <c r="H3056" t="str">
        <f t="shared" si="43"/>
        <v>WAGE WORKS - FSA &amp; HRA FEES</v>
      </c>
    </row>
    <row r="3057" spans="5:8" x14ac:dyDescent="0.25">
      <c r="E3057" t="str">
        <f>""</f>
        <v/>
      </c>
      <c r="F3057" t="str">
        <f>""</f>
        <v/>
      </c>
      <c r="H3057" t="str">
        <f t="shared" si="43"/>
        <v>WAGE WORKS - FSA &amp; HRA FEES</v>
      </c>
    </row>
    <row r="3058" spans="5:8" x14ac:dyDescent="0.25">
      <c r="E3058" t="str">
        <f>""</f>
        <v/>
      </c>
      <c r="F3058" t="str">
        <f>""</f>
        <v/>
      </c>
      <c r="H3058" t="str">
        <f t="shared" si="43"/>
        <v>WAGE WORKS - FSA &amp; HRA FEES</v>
      </c>
    </row>
    <row r="3059" spans="5:8" x14ac:dyDescent="0.25">
      <c r="E3059" t="str">
        <f>"FSF201808082882"</f>
        <v>FSF201808082882</v>
      </c>
      <c r="F3059" t="str">
        <f>"WAGE WORKS - FSA &amp; HRA FEES"</f>
        <v>WAGE WORKS - FSA &amp; HRA FEES</v>
      </c>
      <c r="G3059" s="2">
        <v>25.97</v>
      </c>
      <c r="H3059" t="str">
        <f t="shared" si="43"/>
        <v>WAGE WORKS - FSA &amp; HRA FEES</v>
      </c>
    </row>
    <row r="3060" spans="5:8" x14ac:dyDescent="0.25">
      <c r="E3060" t="str">
        <f>"FSO201808082881"</f>
        <v>FSO201808082881</v>
      </c>
      <c r="F3060" t="str">
        <f>"WAGE WORKS - FSA FEES"</f>
        <v>WAGE WORKS - FSA FEES</v>
      </c>
      <c r="G3060" s="2">
        <v>11.16</v>
      </c>
      <c r="H3060" t="str">
        <f t="shared" ref="H3060:H3067" si="44">"WAGE WORKS - FSA FEES"</f>
        <v>WAGE WORKS - FSA FEES</v>
      </c>
    </row>
    <row r="3061" spans="5:8" x14ac:dyDescent="0.25">
      <c r="E3061" t="str">
        <f>""</f>
        <v/>
      </c>
      <c r="F3061" t="str">
        <f>""</f>
        <v/>
      </c>
      <c r="H3061" t="str">
        <f t="shared" si="44"/>
        <v>WAGE WORKS - FSA FEES</v>
      </c>
    </row>
    <row r="3062" spans="5:8" x14ac:dyDescent="0.25">
      <c r="E3062" t="str">
        <f>""</f>
        <v/>
      </c>
      <c r="F3062" t="str">
        <f>""</f>
        <v/>
      </c>
      <c r="H3062" t="str">
        <f t="shared" si="44"/>
        <v>WAGE WORKS - FSA FEES</v>
      </c>
    </row>
    <row r="3063" spans="5:8" x14ac:dyDescent="0.25">
      <c r="E3063" t="str">
        <f>""</f>
        <v/>
      </c>
      <c r="F3063" t="str">
        <f>""</f>
        <v/>
      </c>
      <c r="H3063" t="str">
        <f t="shared" si="44"/>
        <v>WAGE WORKS - FSA FEES</v>
      </c>
    </row>
    <row r="3064" spans="5:8" x14ac:dyDescent="0.25">
      <c r="E3064" t="str">
        <f>""</f>
        <v/>
      </c>
      <c r="F3064" t="str">
        <f>""</f>
        <v/>
      </c>
      <c r="H3064" t="str">
        <f t="shared" si="44"/>
        <v>WAGE WORKS - FSA FEES</v>
      </c>
    </row>
    <row r="3065" spans="5:8" x14ac:dyDescent="0.25">
      <c r="E3065" t="str">
        <f>""</f>
        <v/>
      </c>
      <c r="F3065" t="str">
        <f>""</f>
        <v/>
      </c>
      <c r="H3065" t="str">
        <f t="shared" si="44"/>
        <v>WAGE WORKS - FSA FEES</v>
      </c>
    </row>
    <row r="3066" spans="5:8" x14ac:dyDescent="0.25">
      <c r="E3066" t="str">
        <f>""</f>
        <v/>
      </c>
      <c r="F3066" t="str">
        <f>""</f>
        <v/>
      </c>
      <c r="H3066" t="str">
        <f t="shared" si="44"/>
        <v>WAGE WORKS - FSA FEES</v>
      </c>
    </row>
    <row r="3067" spans="5:8" x14ac:dyDescent="0.25">
      <c r="E3067" t="str">
        <f>"FSO201808082882"</f>
        <v>FSO201808082882</v>
      </c>
      <c r="F3067" t="str">
        <f>"WAGE WORKS - FSA FEES"</f>
        <v>WAGE WORKS - FSA FEES</v>
      </c>
      <c r="G3067" s="2">
        <v>1.86</v>
      </c>
      <c r="H3067" t="str">
        <f t="shared" si="44"/>
        <v>WAGE WORKS - FSA FEES</v>
      </c>
    </row>
    <row r="3068" spans="5:8" x14ac:dyDescent="0.25">
      <c r="E3068" t="str">
        <f>"HRA201808082881"</f>
        <v>HRA201808082881</v>
      </c>
      <c r="F3068" t="str">
        <f>"WAGE WORKS"</f>
        <v>WAGE WORKS</v>
      </c>
      <c r="G3068" s="2">
        <v>333.3</v>
      </c>
      <c r="H3068" t="str">
        <f>"WAGE WORKS"</f>
        <v>WAGE WORKS</v>
      </c>
    </row>
    <row r="3069" spans="5:8" x14ac:dyDescent="0.25">
      <c r="E3069" t="str">
        <f>""</f>
        <v/>
      </c>
      <c r="F3069" t="str">
        <f>""</f>
        <v/>
      </c>
      <c r="H3069" t="str">
        <f>"WAGE WORKS"</f>
        <v>WAGE WORKS</v>
      </c>
    </row>
    <row r="3070" spans="5:8" x14ac:dyDescent="0.25">
      <c r="E3070" t="str">
        <f>""</f>
        <v/>
      </c>
      <c r="F3070" t="str">
        <f>""</f>
        <v/>
      </c>
      <c r="H3070" t="str">
        <f>"WAGE WORKS"</f>
        <v>WAGE WORKS</v>
      </c>
    </row>
    <row r="3071" spans="5:8" x14ac:dyDescent="0.25">
      <c r="E3071" t="str">
        <f>""</f>
        <v/>
      </c>
      <c r="F3071" t="str">
        <f>""</f>
        <v/>
      </c>
      <c r="H3071" t="str">
        <f>"WAGE WORKS"</f>
        <v>WAGE WORKS</v>
      </c>
    </row>
    <row r="3072" spans="5:8" x14ac:dyDescent="0.25">
      <c r="E3072" t="str">
        <f>""</f>
        <v/>
      </c>
      <c r="F3072" t="str">
        <f>""</f>
        <v/>
      </c>
      <c r="H3072" t="str">
        <f>"WAGE WORKS"</f>
        <v>WAGE WORKS</v>
      </c>
    </row>
    <row r="3073" spans="5:8" x14ac:dyDescent="0.25">
      <c r="E3073" t="str">
        <f>"HRF201808082881"</f>
        <v>HRF201808082881</v>
      </c>
      <c r="F3073" t="str">
        <f>"WAGE WORKS - HRA FEES"</f>
        <v>WAGE WORKS - HRA FEES</v>
      </c>
      <c r="G3073" s="2">
        <v>507.78</v>
      </c>
      <c r="H3073" t="str">
        <f t="shared" ref="H3073:H3111" si="45">"WAGE WORKS - HRA FEES"</f>
        <v>WAGE WORKS - HRA FEES</v>
      </c>
    </row>
    <row r="3074" spans="5:8" x14ac:dyDescent="0.25">
      <c r="E3074" t="str">
        <f>""</f>
        <v/>
      </c>
      <c r="F3074" t="str">
        <f>""</f>
        <v/>
      </c>
      <c r="H3074" t="str">
        <f t="shared" si="45"/>
        <v>WAGE WORKS - HRA FEES</v>
      </c>
    </row>
    <row r="3075" spans="5:8" x14ac:dyDescent="0.25">
      <c r="E3075" t="str">
        <f>""</f>
        <v/>
      </c>
      <c r="F3075" t="str">
        <f>""</f>
        <v/>
      </c>
      <c r="H3075" t="str">
        <f t="shared" si="45"/>
        <v>WAGE WORKS - HRA FEES</v>
      </c>
    </row>
    <row r="3076" spans="5:8" x14ac:dyDescent="0.25">
      <c r="E3076" t="str">
        <f>""</f>
        <v/>
      </c>
      <c r="F3076" t="str">
        <f>""</f>
        <v/>
      </c>
      <c r="H3076" t="str">
        <f t="shared" si="45"/>
        <v>WAGE WORKS - HRA FEES</v>
      </c>
    </row>
    <row r="3077" spans="5:8" x14ac:dyDescent="0.25">
      <c r="E3077" t="str">
        <f>""</f>
        <v/>
      </c>
      <c r="F3077" t="str">
        <f>""</f>
        <v/>
      </c>
      <c r="H3077" t="str">
        <f t="shared" si="45"/>
        <v>WAGE WORKS - HRA FEES</v>
      </c>
    </row>
    <row r="3078" spans="5:8" x14ac:dyDescent="0.25">
      <c r="E3078" t="str">
        <f>""</f>
        <v/>
      </c>
      <c r="F3078" t="str">
        <f>""</f>
        <v/>
      </c>
      <c r="H3078" t="str">
        <f t="shared" si="45"/>
        <v>WAGE WORKS - HRA FEES</v>
      </c>
    </row>
    <row r="3079" spans="5:8" x14ac:dyDescent="0.25">
      <c r="E3079" t="str">
        <f>""</f>
        <v/>
      </c>
      <c r="F3079" t="str">
        <f>""</f>
        <v/>
      </c>
      <c r="H3079" t="str">
        <f t="shared" si="45"/>
        <v>WAGE WORKS - HRA FEES</v>
      </c>
    </row>
    <row r="3080" spans="5:8" x14ac:dyDescent="0.25">
      <c r="E3080" t="str">
        <f>""</f>
        <v/>
      </c>
      <c r="F3080" t="str">
        <f>""</f>
        <v/>
      </c>
      <c r="H3080" t="str">
        <f t="shared" si="45"/>
        <v>WAGE WORKS - HRA FEES</v>
      </c>
    </row>
    <row r="3081" spans="5:8" x14ac:dyDescent="0.25">
      <c r="E3081" t="str">
        <f>""</f>
        <v/>
      </c>
      <c r="F3081" t="str">
        <f>""</f>
        <v/>
      </c>
      <c r="H3081" t="str">
        <f t="shared" si="45"/>
        <v>WAGE WORKS - HRA FEES</v>
      </c>
    </row>
    <row r="3082" spans="5:8" x14ac:dyDescent="0.25">
      <c r="E3082" t="str">
        <f>""</f>
        <v/>
      </c>
      <c r="F3082" t="str">
        <f>""</f>
        <v/>
      </c>
      <c r="H3082" t="str">
        <f t="shared" si="45"/>
        <v>WAGE WORKS - HRA FEES</v>
      </c>
    </row>
    <row r="3083" spans="5:8" x14ac:dyDescent="0.25">
      <c r="E3083" t="str">
        <f>""</f>
        <v/>
      </c>
      <c r="F3083" t="str">
        <f>""</f>
        <v/>
      </c>
      <c r="H3083" t="str">
        <f t="shared" si="45"/>
        <v>WAGE WORKS - HRA FEES</v>
      </c>
    </row>
    <row r="3084" spans="5:8" x14ac:dyDescent="0.25">
      <c r="E3084" t="str">
        <f>""</f>
        <v/>
      </c>
      <c r="F3084" t="str">
        <f>""</f>
        <v/>
      </c>
      <c r="H3084" t="str">
        <f t="shared" si="45"/>
        <v>WAGE WORKS - HRA FEES</v>
      </c>
    </row>
    <row r="3085" spans="5:8" x14ac:dyDescent="0.25">
      <c r="E3085" t="str">
        <f>""</f>
        <v/>
      </c>
      <c r="F3085" t="str">
        <f>""</f>
        <v/>
      </c>
      <c r="H3085" t="str">
        <f t="shared" si="45"/>
        <v>WAGE WORKS - HRA FEES</v>
      </c>
    </row>
    <row r="3086" spans="5:8" x14ac:dyDescent="0.25">
      <c r="E3086" t="str">
        <f>""</f>
        <v/>
      </c>
      <c r="F3086" t="str">
        <f>""</f>
        <v/>
      </c>
      <c r="H3086" t="str">
        <f t="shared" si="45"/>
        <v>WAGE WORKS - HRA FEES</v>
      </c>
    </row>
    <row r="3087" spans="5:8" x14ac:dyDescent="0.25">
      <c r="E3087" t="str">
        <f>""</f>
        <v/>
      </c>
      <c r="F3087" t="str">
        <f>""</f>
        <v/>
      </c>
      <c r="H3087" t="str">
        <f t="shared" si="45"/>
        <v>WAGE WORKS - HRA FEES</v>
      </c>
    </row>
    <row r="3088" spans="5:8" x14ac:dyDescent="0.25">
      <c r="E3088" t="str">
        <f>""</f>
        <v/>
      </c>
      <c r="F3088" t="str">
        <f>""</f>
        <v/>
      </c>
      <c r="H3088" t="str">
        <f t="shared" si="45"/>
        <v>WAGE WORKS - HRA FEES</v>
      </c>
    </row>
    <row r="3089" spans="5:8" x14ac:dyDescent="0.25">
      <c r="E3089" t="str">
        <f>""</f>
        <v/>
      </c>
      <c r="F3089" t="str">
        <f>""</f>
        <v/>
      </c>
      <c r="H3089" t="str">
        <f t="shared" si="45"/>
        <v>WAGE WORKS - HRA FEES</v>
      </c>
    </row>
    <row r="3090" spans="5:8" x14ac:dyDescent="0.25">
      <c r="E3090" t="str">
        <f>""</f>
        <v/>
      </c>
      <c r="F3090" t="str">
        <f>""</f>
        <v/>
      </c>
      <c r="H3090" t="str">
        <f t="shared" si="45"/>
        <v>WAGE WORKS - HRA FEES</v>
      </c>
    </row>
    <row r="3091" spans="5:8" x14ac:dyDescent="0.25">
      <c r="E3091" t="str">
        <f>""</f>
        <v/>
      </c>
      <c r="F3091" t="str">
        <f>""</f>
        <v/>
      </c>
      <c r="H3091" t="str">
        <f t="shared" si="45"/>
        <v>WAGE WORKS - HRA FEES</v>
      </c>
    </row>
    <row r="3092" spans="5:8" x14ac:dyDescent="0.25">
      <c r="E3092" t="str">
        <f>""</f>
        <v/>
      </c>
      <c r="F3092" t="str">
        <f>""</f>
        <v/>
      </c>
      <c r="H3092" t="str">
        <f t="shared" si="45"/>
        <v>WAGE WORKS - HRA FEES</v>
      </c>
    </row>
    <row r="3093" spans="5:8" x14ac:dyDescent="0.25">
      <c r="E3093" t="str">
        <f>""</f>
        <v/>
      </c>
      <c r="F3093" t="str">
        <f>""</f>
        <v/>
      </c>
      <c r="H3093" t="str">
        <f t="shared" si="45"/>
        <v>WAGE WORKS - HRA FEES</v>
      </c>
    </row>
    <row r="3094" spans="5:8" x14ac:dyDescent="0.25">
      <c r="E3094" t="str">
        <f>""</f>
        <v/>
      </c>
      <c r="F3094" t="str">
        <f>""</f>
        <v/>
      </c>
      <c r="H3094" t="str">
        <f t="shared" si="45"/>
        <v>WAGE WORKS - HRA FEES</v>
      </c>
    </row>
    <row r="3095" spans="5:8" x14ac:dyDescent="0.25">
      <c r="E3095" t="str">
        <f>""</f>
        <v/>
      </c>
      <c r="F3095" t="str">
        <f>""</f>
        <v/>
      </c>
      <c r="H3095" t="str">
        <f t="shared" si="45"/>
        <v>WAGE WORKS - HRA FEES</v>
      </c>
    </row>
    <row r="3096" spans="5:8" x14ac:dyDescent="0.25">
      <c r="E3096" t="str">
        <f>""</f>
        <v/>
      </c>
      <c r="F3096" t="str">
        <f>""</f>
        <v/>
      </c>
      <c r="H3096" t="str">
        <f t="shared" si="45"/>
        <v>WAGE WORKS - HRA FEES</v>
      </c>
    </row>
    <row r="3097" spans="5:8" x14ac:dyDescent="0.25">
      <c r="E3097" t="str">
        <f>""</f>
        <v/>
      </c>
      <c r="F3097" t="str">
        <f>""</f>
        <v/>
      </c>
      <c r="H3097" t="str">
        <f t="shared" si="45"/>
        <v>WAGE WORKS - HRA FEES</v>
      </c>
    </row>
    <row r="3098" spans="5:8" x14ac:dyDescent="0.25">
      <c r="E3098" t="str">
        <f>""</f>
        <v/>
      </c>
      <c r="F3098" t="str">
        <f>""</f>
        <v/>
      </c>
      <c r="H3098" t="str">
        <f t="shared" si="45"/>
        <v>WAGE WORKS - HRA FEES</v>
      </c>
    </row>
    <row r="3099" spans="5:8" x14ac:dyDescent="0.25">
      <c r="E3099" t="str">
        <f>""</f>
        <v/>
      </c>
      <c r="F3099" t="str">
        <f>""</f>
        <v/>
      </c>
      <c r="H3099" t="str">
        <f t="shared" si="45"/>
        <v>WAGE WORKS - HRA FEES</v>
      </c>
    </row>
    <row r="3100" spans="5:8" x14ac:dyDescent="0.25">
      <c r="E3100" t="str">
        <f>""</f>
        <v/>
      </c>
      <c r="F3100" t="str">
        <f>""</f>
        <v/>
      </c>
      <c r="H3100" t="str">
        <f t="shared" si="45"/>
        <v>WAGE WORKS - HRA FEES</v>
      </c>
    </row>
    <row r="3101" spans="5:8" x14ac:dyDescent="0.25">
      <c r="E3101" t="str">
        <f>""</f>
        <v/>
      </c>
      <c r="F3101" t="str">
        <f>""</f>
        <v/>
      </c>
      <c r="H3101" t="str">
        <f t="shared" si="45"/>
        <v>WAGE WORKS - HRA FEES</v>
      </c>
    </row>
    <row r="3102" spans="5:8" x14ac:dyDescent="0.25">
      <c r="E3102" t="str">
        <f>""</f>
        <v/>
      </c>
      <c r="F3102" t="str">
        <f>""</f>
        <v/>
      </c>
      <c r="H3102" t="str">
        <f t="shared" si="45"/>
        <v>WAGE WORKS - HRA FEES</v>
      </c>
    </row>
    <row r="3103" spans="5:8" x14ac:dyDescent="0.25">
      <c r="E3103" t="str">
        <f>""</f>
        <v/>
      </c>
      <c r="F3103" t="str">
        <f>""</f>
        <v/>
      </c>
      <c r="H3103" t="str">
        <f t="shared" si="45"/>
        <v>WAGE WORKS - HRA FEES</v>
      </c>
    </row>
    <row r="3104" spans="5:8" x14ac:dyDescent="0.25">
      <c r="E3104" t="str">
        <f>""</f>
        <v/>
      </c>
      <c r="F3104" t="str">
        <f>""</f>
        <v/>
      </c>
      <c r="H3104" t="str">
        <f t="shared" si="45"/>
        <v>WAGE WORKS - HRA FEES</v>
      </c>
    </row>
    <row r="3105" spans="1:8" x14ac:dyDescent="0.25">
      <c r="E3105" t="str">
        <f>""</f>
        <v/>
      </c>
      <c r="F3105" t="str">
        <f>""</f>
        <v/>
      </c>
      <c r="H3105" t="str">
        <f t="shared" si="45"/>
        <v>WAGE WORKS - HRA FEES</v>
      </c>
    </row>
    <row r="3106" spans="1:8" x14ac:dyDescent="0.25">
      <c r="E3106" t="str">
        <f>""</f>
        <v/>
      </c>
      <c r="F3106" t="str">
        <f>""</f>
        <v/>
      </c>
      <c r="H3106" t="str">
        <f t="shared" si="45"/>
        <v>WAGE WORKS - HRA FEES</v>
      </c>
    </row>
    <row r="3107" spans="1:8" x14ac:dyDescent="0.25">
      <c r="E3107" t="str">
        <f>""</f>
        <v/>
      </c>
      <c r="F3107" t="str">
        <f>""</f>
        <v/>
      </c>
      <c r="H3107" t="str">
        <f t="shared" si="45"/>
        <v>WAGE WORKS - HRA FEES</v>
      </c>
    </row>
    <row r="3108" spans="1:8" x14ac:dyDescent="0.25">
      <c r="E3108" t="str">
        <f>""</f>
        <v/>
      </c>
      <c r="F3108" t="str">
        <f>""</f>
        <v/>
      </c>
      <c r="H3108" t="str">
        <f t="shared" si="45"/>
        <v>WAGE WORKS - HRA FEES</v>
      </c>
    </row>
    <row r="3109" spans="1:8" x14ac:dyDescent="0.25">
      <c r="E3109" t="str">
        <f>""</f>
        <v/>
      </c>
      <c r="F3109" t="str">
        <f>""</f>
        <v/>
      </c>
      <c r="H3109" t="str">
        <f t="shared" si="45"/>
        <v>WAGE WORKS - HRA FEES</v>
      </c>
    </row>
    <row r="3110" spans="1:8" x14ac:dyDescent="0.25">
      <c r="E3110" t="str">
        <f>""</f>
        <v/>
      </c>
      <c r="F3110" t="str">
        <f>""</f>
        <v/>
      </c>
      <c r="H3110" t="str">
        <f t="shared" si="45"/>
        <v>WAGE WORKS - HRA FEES</v>
      </c>
    </row>
    <row r="3111" spans="1:8" x14ac:dyDescent="0.25">
      <c r="E3111" t="str">
        <f>"HRF201808082882"</f>
        <v>HRF201808082882</v>
      </c>
      <c r="F3111" t="str">
        <f>"WAGE WORKS - HRA FEES"</f>
        <v>WAGE WORKS - HRA FEES</v>
      </c>
      <c r="G3111" s="2">
        <v>14.88</v>
      </c>
      <c r="H3111" t="str">
        <f t="shared" si="45"/>
        <v>WAGE WORKS - HRA FEES</v>
      </c>
    </row>
    <row r="3112" spans="1:8" x14ac:dyDescent="0.25">
      <c r="A3112" t="s">
        <v>560</v>
      </c>
      <c r="B3112">
        <v>0</v>
      </c>
      <c r="C3112" s="3">
        <v>10814.52</v>
      </c>
      <c r="D3112" s="1">
        <v>43336</v>
      </c>
      <c r="E3112" t="str">
        <f>"FSA201808223027"</f>
        <v>FSA201808223027</v>
      </c>
      <c r="F3112" t="str">
        <f>"WAGE WORKS"</f>
        <v>WAGE WORKS</v>
      </c>
      <c r="G3112" s="2">
        <v>8241.82</v>
      </c>
      <c r="H3112" t="str">
        <f>"WAGE WORKS"</f>
        <v>WAGE WORKS</v>
      </c>
    </row>
    <row r="3113" spans="1:8" x14ac:dyDescent="0.25">
      <c r="E3113" t="str">
        <f>"FSA201808223028"</f>
        <v>FSA201808223028</v>
      </c>
      <c r="F3113" t="str">
        <f>"WAGE WORKS"</f>
        <v>WAGE WORKS</v>
      </c>
      <c r="G3113" s="2">
        <v>574</v>
      </c>
      <c r="H3113" t="str">
        <f>"WAGE WORKS"</f>
        <v>WAGE WORKS</v>
      </c>
    </row>
    <row r="3114" spans="1:8" x14ac:dyDescent="0.25">
      <c r="E3114" t="str">
        <f>"FSC201808223027"</f>
        <v>FSC201808223027</v>
      </c>
      <c r="F3114" t="str">
        <f>"WAGE WORKS"</f>
        <v>WAGE WORKS</v>
      </c>
      <c r="G3114" s="2">
        <v>913.95</v>
      </c>
      <c r="H3114" t="str">
        <f>"WAGE WORKS"</f>
        <v>WAGE WORKS</v>
      </c>
    </row>
    <row r="3115" spans="1:8" x14ac:dyDescent="0.25">
      <c r="E3115" t="str">
        <f>"FSF201808223027"</f>
        <v>FSF201808223027</v>
      </c>
      <c r="F3115" t="str">
        <f>"WAGE WORKS - FSA &amp; HRA FEES"</f>
        <v>WAGE WORKS - FSA &amp; HRA FEES</v>
      </c>
      <c r="G3115" s="2">
        <v>526.82000000000005</v>
      </c>
      <c r="H3115" t="str">
        <f t="shared" ref="H3115:H3155" si="46">"WAGE WORKS - FSA &amp; HRA FEES"</f>
        <v>WAGE WORKS - FSA &amp; HRA FEES</v>
      </c>
    </row>
    <row r="3116" spans="1:8" x14ac:dyDescent="0.25">
      <c r="E3116" t="str">
        <f>""</f>
        <v/>
      </c>
      <c r="F3116" t="str">
        <f>""</f>
        <v/>
      </c>
      <c r="H3116" t="str">
        <f t="shared" si="46"/>
        <v>WAGE WORKS - FSA &amp; HRA FEES</v>
      </c>
    </row>
    <row r="3117" spans="1:8" x14ac:dyDescent="0.25">
      <c r="E3117" t="str">
        <f>""</f>
        <v/>
      </c>
      <c r="F3117" t="str">
        <f>""</f>
        <v/>
      </c>
      <c r="H3117" t="str">
        <f t="shared" si="46"/>
        <v>WAGE WORKS - FSA &amp; HRA FEES</v>
      </c>
    </row>
    <row r="3118" spans="1:8" x14ac:dyDescent="0.25">
      <c r="E3118" t="str">
        <f>""</f>
        <v/>
      </c>
      <c r="F3118" t="str">
        <f>""</f>
        <v/>
      </c>
      <c r="H3118" t="str">
        <f t="shared" si="46"/>
        <v>WAGE WORKS - FSA &amp; HRA FEES</v>
      </c>
    </row>
    <row r="3119" spans="1:8" x14ac:dyDescent="0.25">
      <c r="E3119" t="str">
        <f>""</f>
        <v/>
      </c>
      <c r="F3119" t="str">
        <f>""</f>
        <v/>
      </c>
      <c r="H3119" t="str">
        <f t="shared" si="46"/>
        <v>WAGE WORKS - FSA &amp; HRA FEES</v>
      </c>
    </row>
    <row r="3120" spans="1:8" x14ac:dyDescent="0.25">
      <c r="E3120" t="str">
        <f>""</f>
        <v/>
      </c>
      <c r="F3120" t="str">
        <f>""</f>
        <v/>
      </c>
      <c r="H3120" t="str">
        <f t="shared" si="46"/>
        <v>WAGE WORKS - FSA &amp; HRA FEES</v>
      </c>
    </row>
    <row r="3121" spans="5:8" x14ac:dyDescent="0.25">
      <c r="E3121" t="str">
        <f>""</f>
        <v/>
      </c>
      <c r="F3121" t="str">
        <f>""</f>
        <v/>
      </c>
      <c r="H3121" t="str">
        <f t="shared" si="46"/>
        <v>WAGE WORKS - FSA &amp; HRA FEES</v>
      </c>
    </row>
    <row r="3122" spans="5:8" x14ac:dyDescent="0.25">
      <c r="E3122" t="str">
        <f>""</f>
        <v/>
      </c>
      <c r="F3122" t="str">
        <f>""</f>
        <v/>
      </c>
      <c r="H3122" t="str">
        <f t="shared" si="46"/>
        <v>WAGE WORKS - FSA &amp; HRA FEES</v>
      </c>
    </row>
    <row r="3123" spans="5:8" x14ac:dyDescent="0.25">
      <c r="E3123" t="str">
        <f>""</f>
        <v/>
      </c>
      <c r="F3123" t="str">
        <f>""</f>
        <v/>
      </c>
      <c r="H3123" t="str">
        <f t="shared" si="46"/>
        <v>WAGE WORKS - FSA &amp; HRA FEES</v>
      </c>
    </row>
    <row r="3124" spans="5:8" x14ac:dyDescent="0.25">
      <c r="E3124" t="str">
        <f>""</f>
        <v/>
      </c>
      <c r="F3124" t="str">
        <f>""</f>
        <v/>
      </c>
      <c r="H3124" t="str">
        <f t="shared" si="46"/>
        <v>WAGE WORKS - FSA &amp; HRA FEES</v>
      </c>
    </row>
    <row r="3125" spans="5:8" x14ac:dyDescent="0.25">
      <c r="E3125" t="str">
        <f>""</f>
        <v/>
      </c>
      <c r="F3125" t="str">
        <f>""</f>
        <v/>
      </c>
      <c r="H3125" t="str">
        <f t="shared" si="46"/>
        <v>WAGE WORKS - FSA &amp; HRA FEES</v>
      </c>
    </row>
    <row r="3126" spans="5:8" x14ac:dyDescent="0.25">
      <c r="E3126" t="str">
        <f>""</f>
        <v/>
      </c>
      <c r="F3126" t="str">
        <f>""</f>
        <v/>
      </c>
      <c r="H3126" t="str">
        <f t="shared" si="46"/>
        <v>WAGE WORKS - FSA &amp; HRA FEES</v>
      </c>
    </row>
    <row r="3127" spans="5:8" x14ac:dyDescent="0.25">
      <c r="E3127" t="str">
        <f>""</f>
        <v/>
      </c>
      <c r="F3127" t="str">
        <f>""</f>
        <v/>
      </c>
      <c r="H3127" t="str">
        <f t="shared" si="46"/>
        <v>WAGE WORKS - FSA &amp; HRA FEES</v>
      </c>
    </row>
    <row r="3128" spans="5:8" x14ac:dyDescent="0.25">
      <c r="E3128" t="str">
        <f>""</f>
        <v/>
      </c>
      <c r="F3128" t="str">
        <f>""</f>
        <v/>
      </c>
      <c r="H3128" t="str">
        <f t="shared" si="46"/>
        <v>WAGE WORKS - FSA &amp; HRA FEES</v>
      </c>
    </row>
    <row r="3129" spans="5:8" x14ac:dyDescent="0.25">
      <c r="E3129" t="str">
        <f>""</f>
        <v/>
      </c>
      <c r="F3129" t="str">
        <f>""</f>
        <v/>
      </c>
      <c r="H3129" t="str">
        <f t="shared" si="46"/>
        <v>WAGE WORKS - FSA &amp; HRA FEES</v>
      </c>
    </row>
    <row r="3130" spans="5:8" x14ac:dyDescent="0.25">
      <c r="E3130" t="str">
        <f>""</f>
        <v/>
      </c>
      <c r="F3130" t="str">
        <f>""</f>
        <v/>
      </c>
      <c r="H3130" t="str">
        <f t="shared" si="46"/>
        <v>WAGE WORKS - FSA &amp; HRA FEES</v>
      </c>
    </row>
    <row r="3131" spans="5:8" x14ac:dyDescent="0.25">
      <c r="E3131" t="str">
        <f>""</f>
        <v/>
      </c>
      <c r="F3131" t="str">
        <f>""</f>
        <v/>
      </c>
      <c r="H3131" t="str">
        <f t="shared" si="46"/>
        <v>WAGE WORKS - FSA &amp; HRA FEES</v>
      </c>
    </row>
    <row r="3132" spans="5:8" x14ac:dyDescent="0.25">
      <c r="E3132" t="str">
        <f>""</f>
        <v/>
      </c>
      <c r="F3132" t="str">
        <f>""</f>
        <v/>
      </c>
      <c r="H3132" t="str">
        <f t="shared" si="46"/>
        <v>WAGE WORKS - FSA &amp; HRA FEES</v>
      </c>
    </row>
    <row r="3133" spans="5:8" x14ac:dyDescent="0.25">
      <c r="E3133" t="str">
        <f>""</f>
        <v/>
      </c>
      <c r="F3133" t="str">
        <f>""</f>
        <v/>
      </c>
      <c r="H3133" t="str">
        <f t="shared" si="46"/>
        <v>WAGE WORKS - FSA &amp; HRA FEES</v>
      </c>
    </row>
    <row r="3134" spans="5:8" x14ac:dyDescent="0.25">
      <c r="E3134" t="str">
        <f>""</f>
        <v/>
      </c>
      <c r="F3134" t="str">
        <f>""</f>
        <v/>
      </c>
      <c r="H3134" t="str">
        <f t="shared" si="46"/>
        <v>WAGE WORKS - FSA &amp; HRA FEES</v>
      </c>
    </row>
    <row r="3135" spans="5:8" x14ac:dyDescent="0.25">
      <c r="E3135" t="str">
        <f>""</f>
        <v/>
      </c>
      <c r="F3135" t="str">
        <f>""</f>
        <v/>
      </c>
      <c r="H3135" t="str">
        <f t="shared" si="46"/>
        <v>WAGE WORKS - FSA &amp; HRA FEES</v>
      </c>
    </row>
    <row r="3136" spans="5:8" x14ac:dyDescent="0.25">
      <c r="E3136" t="str">
        <f>""</f>
        <v/>
      </c>
      <c r="F3136" t="str">
        <f>""</f>
        <v/>
      </c>
      <c r="H3136" t="str">
        <f t="shared" si="46"/>
        <v>WAGE WORKS - FSA &amp; HRA FEES</v>
      </c>
    </row>
    <row r="3137" spans="5:8" x14ac:dyDescent="0.25">
      <c r="E3137" t="str">
        <f>""</f>
        <v/>
      </c>
      <c r="F3137" t="str">
        <f>""</f>
        <v/>
      </c>
      <c r="H3137" t="str">
        <f t="shared" si="46"/>
        <v>WAGE WORKS - FSA &amp; HRA FEES</v>
      </c>
    </row>
    <row r="3138" spans="5:8" x14ac:dyDescent="0.25">
      <c r="E3138" t="str">
        <f>""</f>
        <v/>
      </c>
      <c r="F3138" t="str">
        <f>""</f>
        <v/>
      </c>
      <c r="H3138" t="str">
        <f t="shared" si="46"/>
        <v>WAGE WORKS - FSA &amp; HRA FEES</v>
      </c>
    </row>
    <row r="3139" spans="5:8" x14ac:dyDescent="0.25">
      <c r="E3139" t="str">
        <f>""</f>
        <v/>
      </c>
      <c r="F3139" t="str">
        <f>""</f>
        <v/>
      </c>
      <c r="H3139" t="str">
        <f t="shared" si="46"/>
        <v>WAGE WORKS - FSA &amp; HRA FEES</v>
      </c>
    </row>
    <row r="3140" spans="5:8" x14ac:dyDescent="0.25">
      <c r="E3140" t="str">
        <f>""</f>
        <v/>
      </c>
      <c r="F3140" t="str">
        <f>""</f>
        <v/>
      </c>
      <c r="H3140" t="str">
        <f t="shared" si="46"/>
        <v>WAGE WORKS - FSA &amp; HRA FEES</v>
      </c>
    </row>
    <row r="3141" spans="5:8" x14ac:dyDescent="0.25">
      <c r="E3141" t="str">
        <f>""</f>
        <v/>
      </c>
      <c r="F3141" t="str">
        <f>""</f>
        <v/>
      </c>
      <c r="H3141" t="str">
        <f t="shared" si="46"/>
        <v>WAGE WORKS - FSA &amp; HRA FEES</v>
      </c>
    </row>
    <row r="3142" spans="5:8" x14ac:dyDescent="0.25">
      <c r="E3142" t="str">
        <f>""</f>
        <v/>
      </c>
      <c r="F3142" t="str">
        <f>""</f>
        <v/>
      </c>
      <c r="H3142" t="str">
        <f t="shared" si="46"/>
        <v>WAGE WORKS - FSA &amp; HRA FEES</v>
      </c>
    </row>
    <row r="3143" spans="5:8" x14ac:dyDescent="0.25">
      <c r="E3143" t="str">
        <f>""</f>
        <v/>
      </c>
      <c r="F3143" t="str">
        <f>""</f>
        <v/>
      </c>
      <c r="H3143" t="str">
        <f t="shared" si="46"/>
        <v>WAGE WORKS - FSA &amp; HRA FEES</v>
      </c>
    </row>
    <row r="3144" spans="5:8" x14ac:dyDescent="0.25">
      <c r="E3144" t="str">
        <f>""</f>
        <v/>
      </c>
      <c r="F3144" t="str">
        <f>""</f>
        <v/>
      </c>
      <c r="H3144" t="str">
        <f t="shared" si="46"/>
        <v>WAGE WORKS - FSA &amp; HRA FEES</v>
      </c>
    </row>
    <row r="3145" spans="5:8" x14ac:dyDescent="0.25">
      <c r="E3145" t="str">
        <f>""</f>
        <v/>
      </c>
      <c r="F3145" t="str">
        <f>""</f>
        <v/>
      </c>
      <c r="H3145" t="str">
        <f t="shared" si="46"/>
        <v>WAGE WORKS - FSA &amp; HRA FEES</v>
      </c>
    </row>
    <row r="3146" spans="5:8" x14ac:dyDescent="0.25">
      <c r="E3146" t="str">
        <f>""</f>
        <v/>
      </c>
      <c r="F3146" t="str">
        <f>""</f>
        <v/>
      </c>
      <c r="H3146" t="str">
        <f t="shared" si="46"/>
        <v>WAGE WORKS - FSA &amp; HRA FEES</v>
      </c>
    </row>
    <row r="3147" spans="5:8" x14ac:dyDescent="0.25">
      <c r="E3147" t="str">
        <f>""</f>
        <v/>
      </c>
      <c r="F3147" t="str">
        <f>""</f>
        <v/>
      </c>
      <c r="H3147" t="str">
        <f t="shared" si="46"/>
        <v>WAGE WORKS - FSA &amp; HRA FEES</v>
      </c>
    </row>
    <row r="3148" spans="5:8" x14ac:dyDescent="0.25">
      <c r="E3148" t="str">
        <f>""</f>
        <v/>
      </c>
      <c r="F3148" t="str">
        <f>""</f>
        <v/>
      </c>
      <c r="H3148" t="str">
        <f t="shared" si="46"/>
        <v>WAGE WORKS - FSA &amp; HRA FEES</v>
      </c>
    </row>
    <row r="3149" spans="5:8" x14ac:dyDescent="0.25">
      <c r="E3149" t="str">
        <f>""</f>
        <v/>
      </c>
      <c r="F3149" t="str">
        <f>""</f>
        <v/>
      </c>
      <c r="H3149" t="str">
        <f t="shared" si="46"/>
        <v>WAGE WORKS - FSA &amp; HRA FEES</v>
      </c>
    </row>
    <row r="3150" spans="5:8" x14ac:dyDescent="0.25">
      <c r="E3150" t="str">
        <f>""</f>
        <v/>
      </c>
      <c r="F3150" t="str">
        <f>""</f>
        <v/>
      </c>
      <c r="H3150" t="str">
        <f t="shared" si="46"/>
        <v>WAGE WORKS - FSA &amp; HRA FEES</v>
      </c>
    </row>
    <row r="3151" spans="5:8" x14ac:dyDescent="0.25">
      <c r="E3151" t="str">
        <f>""</f>
        <v/>
      </c>
      <c r="F3151" t="str">
        <f>""</f>
        <v/>
      </c>
      <c r="H3151" t="str">
        <f t="shared" si="46"/>
        <v>WAGE WORKS - FSA &amp; HRA FEES</v>
      </c>
    </row>
    <row r="3152" spans="5:8" x14ac:dyDescent="0.25">
      <c r="E3152" t="str">
        <f>""</f>
        <v/>
      </c>
      <c r="F3152" t="str">
        <f>""</f>
        <v/>
      </c>
      <c r="H3152" t="str">
        <f t="shared" si="46"/>
        <v>WAGE WORKS - FSA &amp; HRA FEES</v>
      </c>
    </row>
    <row r="3153" spans="5:8" x14ac:dyDescent="0.25">
      <c r="E3153" t="str">
        <f>""</f>
        <v/>
      </c>
      <c r="F3153" t="str">
        <f>""</f>
        <v/>
      </c>
      <c r="H3153" t="str">
        <f t="shared" si="46"/>
        <v>WAGE WORKS - FSA &amp; HRA FEES</v>
      </c>
    </row>
    <row r="3154" spans="5:8" x14ac:dyDescent="0.25">
      <c r="E3154" t="str">
        <f>""</f>
        <v/>
      </c>
      <c r="F3154" t="str">
        <f>""</f>
        <v/>
      </c>
      <c r="H3154" t="str">
        <f t="shared" si="46"/>
        <v>WAGE WORKS - FSA &amp; HRA FEES</v>
      </c>
    </row>
    <row r="3155" spans="5:8" x14ac:dyDescent="0.25">
      <c r="E3155" t="str">
        <f>"FSF201808223028"</f>
        <v>FSF201808223028</v>
      </c>
      <c r="F3155" t="str">
        <f>"WAGE WORKS - FSA &amp; HRA FEES"</f>
        <v>WAGE WORKS - FSA &amp; HRA FEES</v>
      </c>
      <c r="G3155" s="2">
        <v>25.97</v>
      </c>
      <c r="H3155" t="str">
        <f t="shared" si="46"/>
        <v>WAGE WORKS - FSA &amp; HRA FEES</v>
      </c>
    </row>
    <row r="3156" spans="5:8" x14ac:dyDescent="0.25">
      <c r="E3156" t="str">
        <f>"FSO201808223027"</f>
        <v>FSO201808223027</v>
      </c>
      <c r="F3156" t="str">
        <f>"WAGE WORKS - FSA FEES"</f>
        <v>WAGE WORKS - FSA FEES</v>
      </c>
      <c r="G3156" s="2">
        <v>11.16</v>
      </c>
      <c r="H3156" t="str">
        <f t="shared" ref="H3156:H3163" si="47">"WAGE WORKS - FSA FEES"</f>
        <v>WAGE WORKS - FSA FEES</v>
      </c>
    </row>
    <row r="3157" spans="5:8" x14ac:dyDescent="0.25">
      <c r="E3157" t="str">
        <f>""</f>
        <v/>
      </c>
      <c r="F3157" t="str">
        <f>""</f>
        <v/>
      </c>
      <c r="H3157" t="str">
        <f t="shared" si="47"/>
        <v>WAGE WORKS - FSA FEES</v>
      </c>
    </row>
    <row r="3158" spans="5:8" x14ac:dyDescent="0.25">
      <c r="E3158" t="str">
        <f>""</f>
        <v/>
      </c>
      <c r="F3158" t="str">
        <f>""</f>
        <v/>
      </c>
      <c r="H3158" t="str">
        <f t="shared" si="47"/>
        <v>WAGE WORKS - FSA FEES</v>
      </c>
    </row>
    <row r="3159" spans="5:8" x14ac:dyDescent="0.25">
      <c r="E3159" t="str">
        <f>""</f>
        <v/>
      </c>
      <c r="F3159" t="str">
        <f>""</f>
        <v/>
      </c>
      <c r="H3159" t="str">
        <f t="shared" si="47"/>
        <v>WAGE WORKS - FSA FEES</v>
      </c>
    </row>
    <row r="3160" spans="5:8" x14ac:dyDescent="0.25">
      <c r="E3160" t="str">
        <f>""</f>
        <v/>
      </c>
      <c r="F3160" t="str">
        <f>""</f>
        <v/>
      </c>
      <c r="H3160" t="str">
        <f t="shared" si="47"/>
        <v>WAGE WORKS - FSA FEES</v>
      </c>
    </row>
    <row r="3161" spans="5:8" x14ac:dyDescent="0.25">
      <c r="E3161" t="str">
        <f>""</f>
        <v/>
      </c>
      <c r="F3161" t="str">
        <f>""</f>
        <v/>
      </c>
      <c r="H3161" t="str">
        <f t="shared" si="47"/>
        <v>WAGE WORKS - FSA FEES</v>
      </c>
    </row>
    <row r="3162" spans="5:8" x14ac:dyDescent="0.25">
      <c r="E3162" t="str">
        <f>""</f>
        <v/>
      </c>
      <c r="F3162" t="str">
        <f>""</f>
        <v/>
      </c>
      <c r="H3162" t="str">
        <f t="shared" si="47"/>
        <v>WAGE WORKS - FSA FEES</v>
      </c>
    </row>
    <row r="3163" spans="5:8" x14ac:dyDescent="0.25">
      <c r="E3163" t="str">
        <f>"FSO201808223028"</f>
        <v>FSO201808223028</v>
      </c>
      <c r="F3163" t="str">
        <f>"WAGE WORKS - FSA FEES"</f>
        <v>WAGE WORKS - FSA FEES</v>
      </c>
      <c r="G3163" s="2">
        <v>1.86</v>
      </c>
      <c r="H3163" t="str">
        <f t="shared" si="47"/>
        <v>WAGE WORKS - FSA FEES</v>
      </c>
    </row>
    <row r="3164" spans="5:8" x14ac:dyDescent="0.25">
      <c r="E3164" t="str">
        <f>"HRF201808223027"</f>
        <v>HRF201808223027</v>
      </c>
      <c r="F3164" t="str">
        <f>"WAGE WORKS - HRA FEES"</f>
        <v>WAGE WORKS - HRA FEES</v>
      </c>
      <c r="G3164" s="2">
        <v>504.06</v>
      </c>
      <c r="H3164" t="str">
        <f t="shared" ref="H3164:H3202" si="48">"WAGE WORKS - HRA FEES"</f>
        <v>WAGE WORKS - HRA FEES</v>
      </c>
    </row>
    <row r="3165" spans="5:8" x14ac:dyDescent="0.25">
      <c r="E3165" t="str">
        <f>""</f>
        <v/>
      </c>
      <c r="F3165" t="str">
        <f>""</f>
        <v/>
      </c>
      <c r="H3165" t="str">
        <f t="shared" si="48"/>
        <v>WAGE WORKS - HRA FEES</v>
      </c>
    </row>
    <row r="3166" spans="5:8" x14ac:dyDescent="0.25">
      <c r="E3166" t="str">
        <f>""</f>
        <v/>
      </c>
      <c r="F3166" t="str">
        <f>""</f>
        <v/>
      </c>
      <c r="H3166" t="str">
        <f t="shared" si="48"/>
        <v>WAGE WORKS - HRA FEES</v>
      </c>
    </row>
    <row r="3167" spans="5:8" x14ac:dyDescent="0.25">
      <c r="E3167" t="str">
        <f>""</f>
        <v/>
      </c>
      <c r="F3167" t="str">
        <f>""</f>
        <v/>
      </c>
      <c r="H3167" t="str">
        <f t="shared" si="48"/>
        <v>WAGE WORKS - HRA FEES</v>
      </c>
    </row>
    <row r="3168" spans="5:8" x14ac:dyDescent="0.25">
      <c r="E3168" t="str">
        <f>""</f>
        <v/>
      </c>
      <c r="F3168" t="str">
        <f>""</f>
        <v/>
      </c>
      <c r="H3168" t="str">
        <f t="shared" si="48"/>
        <v>WAGE WORKS - HRA FEES</v>
      </c>
    </row>
    <row r="3169" spans="5:8" x14ac:dyDescent="0.25">
      <c r="E3169" t="str">
        <f>""</f>
        <v/>
      </c>
      <c r="F3169" t="str">
        <f>""</f>
        <v/>
      </c>
      <c r="H3169" t="str">
        <f t="shared" si="48"/>
        <v>WAGE WORKS - HRA FEES</v>
      </c>
    </row>
    <row r="3170" spans="5:8" x14ac:dyDescent="0.25">
      <c r="E3170" t="str">
        <f>""</f>
        <v/>
      </c>
      <c r="F3170" t="str">
        <f>""</f>
        <v/>
      </c>
      <c r="H3170" t="str">
        <f t="shared" si="48"/>
        <v>WAGE WORKS - HRA FEES</v>
      </c>
    </row>
    <row r="3171" spans="5:8" x14ac:dyDescent="0.25">
      <c r="E3171" t="str">
        <f>""</f>
        <v/>
      </c>
      <c r="F3171" t="str">
        <f>""</f>
        <v/>
      </c>
      <c r="H3171" t="str">
        <f t="shared" si="48"/>
        <v>WAGE WORKS - HRA FEES</v>
      </c>
    </row>
    <row r="3172" spans="5:8" x14ac:dyDescent="0.25">
      <c r="E3172" t="str">
        <f>""</f>
        <v/>
      </c>
      <c r="F3172" t="str">
        <f>""</f>
        <v/>
      </c>
      <c r="H3172" t="str">
        <f t="shared" si="48"/>
        <v>WAGE WORKS - HRA FEES</v>
      </c>
    </row>
    <row r="3173" spans="5:8" x14ac:dyDescent="0.25">
      <c r="E3173" t="str">
        <f>""</f>
        <v/>
      </c>
      <c r="F3173" t="str">
        <f>""</f>
        <v/>
      </c>
      <c r="H3173" t="str">
        <f t="shared" si="48"/>
        <v>WAGE WORKS - HRA FEES</v>
      </c>
    </row>
    <row r="3174" spans="5:8" x14ac:dyDescent="0.25">
      <c r="E3174" t="str">
        <f>""</f>
        <v/>
      </c>
      <c r="F3174" t="str">
        <f>""</f>
        <v/>
      </c>
      <c r="H3174" t="str">
        <f t="shared" si="48"/>
        <v>WAGE WORKS - HRA FEES</v>
      </c>
    </row>
    <row r="3175" spans="5:8" x14ac:dyDescent="0.25">
      <c r="E3175" t="str">
        <f>""</f>
        <v/>
      </c>
      <c r="F3175" t="str">
        <f>""</f>
        <v/>
      </c>
      <c r="H3175" t="str">
        <f t="shared" si="48"/>
        <v>WAGE WORKS - HRA FEES</v>
      </c>
    </row>
    <row r="3176" spans="5:8" x14ac:dyDescent="0.25">
      <c r="E3176" t="str">
        <f>""</f>
        <v/>
      </c>
      <c r="F3176" t="str">
        <f>""</f>
        <v/>
      </c>
      <c r="H3176" t="str">
        <f t="shared" si="48"/>
        <v>WAGE WORKS - HRA FEES</v>
      </c>
    </row>
    <row r="3177" spans="5:8" x14ac:dyDescent="0.25">
      <c r="E3177" t="str">
        <f>""</f>
        <v/>
      </c>
      <c r="F3177" t="str">
        <f>""</f>
        <v/>
      </c>
      <c r="H3177" t="str">
        <f t="shared" si="48"/>
        <v>WAGE WORKS - HRA FEES</v>
      </c>
    </row>
    <row r="3178" spans="5:8" x14ac:dyDescent="0.25">
      <c r="E3178" t="str">
        <f>""</f>
        <v/>
      </c>
      <c r="F3178" t="str">
        <f>""</f>
        <v/>
      </c>
      <c r="H3178" t="str">
        <f t="shared" si="48"/>
        <v>WAGE WORKS - HRA FEES</v>
      </c>
    </row>
    <row r="3179" spans="5:8" x14ac:dyDescent="0.25">
      <c r="E3179" t="str">
        <f>""</f>
        <v/>
      </c>
      <c r="F3179" t="str">
        <f>""</f>
        <v/>
      </c>
      <c r="H3179" t="str">
        <f t="shared" si="48"/>
        <v>WAGE WORKS - HRA FEES</v>
      </c>
    </row>
    <row r="3180" spans="5:8" x14ac:dyDescent="0.25">
      <c r="E3180" t="str">
        <f>""</f>
        <v/>
      </c>
      <c r="F3180" t="str">
        <f>""</f>
        <v/>
      </c>
      <c r="H3180" t="str">
        <f t="shared" si="48"/>
        <v>WAGE WORKS - HRA FEES</v>
      </c>
    </row>
    <row r="3181" spans="5:8" x14ac:dyDescent="0.25">
      <c r="E3181" t="str">
        <f>""</f>
        <v/>
      </c>
      <c r="F3181" t="str">
        <f>""</f>
        <v/>
      </c>
      <c r="H3181" t="str">
        <f t="shared" si="48"/>
        <v>WAGE WORKS - HRA FEES</v>
      </c>
    </row>
    <row r="3182" spans="5:8" x14ac:dyDescent="0.25">
      <c r="E3182" t="str">
        <f>""</f>
        <v/>
      </c>
      <c r="F3182" t="str">
        <f>""</f>
        <v/>
      </c>
      <c r="H3182" t="str">
        <f t="shared" si="48"/>
        <v>WAGE WORKS - HRA FEES</v>
      </c>
    </row>
    <row r="3183" spans="5:8" x14ac:dyDescent="0.25">
      <c r="E3183" t="str">
        <f>""</f>
        <v/>
      </c>
      <c r="F3183" t="str">
        <f>""</f>
        <v/>
      </c>
      <c r="H3183" t="str">
        <f t="shared" si="48"/>
        <v>WAGE WORKS - HRA FEES</v>
      </c>
    </row>
    <row r="3184" spans="5:8" x14ac:dyDescent="0.25">
      <c r="E3184" t="str">
        <f>""</f>
        <v/>
      </c>
      <c r="F3184" t="str">
        <f>""</f>
        <v/>
      </c>
      <c r="H3184" t="str">
        <f t="shared" si="48"/>
        <v>WAGE WORKS - HRA FEES</v>
      </c>
    </row>
    <row r="3185" spans="5:8" x14ac:dyDescent="0.25">
      <c r="E3185" t="str">
        <f>""</f>
        <v/>
      </c>
      <c r="F3185" t="str">
        <f>""</f>
        <v/>
      </c>
      <c r="H3185" t="str">
        <f t="shared" si="48"/>
        <v>WAGE WORKS - HRA FEES</v>
      </c>
    </row>
    <row r="3186" spans="5:8" x14ac:dyDescent="0.25">
      <c r="E3186" t="str">
        <f>""</f>
        <v/>
      </c>
      <c r="F3186" t="str">
        <f>""</f>
        <v/>
      </c>
      <c r="H3186" t="str">
        <f t="shared" si="48"/>
        <v>WAGE WORKS - HRA FEES</v>
      </c>
    </row>
    <row r="3187" spans="5:8" x14ac:dyDescent="0.25">
      <c r="E3187" t="str">
        <f>""</f>
        <v/>
      </c>
      <c r="F3187" t="str">
        <f>""</f>
        <v/>
      </c>
      <c r="H3187" t="str">
        <f t="shared" si="48"/>
        <v>WAGE WORKS - HRA FEES</v>
      </c>
    </row>
    <row r="3188" spans="5:8" x14ac:dyDescent="0.25">
      <c r="E3188" t="str">
        <f>""</f>
        <v/>
      </c>
      <c r="F3188" t="str">
        <f>""</f>
        <v/>
      </c>
      <c r="H3188" t="str">
        <f t="shared" si="48"/>
        <v>WAGE WORKS - HRA FEES</v>
      </c>
    </row>
    <row r="3189" spans="5:8" x14ac:dyDescent="0.25">
      <c r="E3189" t="str">
        <f>""</f>
        <v/>
      </c>
      <c r="F3189" t="str">
        <f>""</f>
        <v/>
      </c>
      <c r="H3189" t="str">
        <f t="shared" si="48"/>
        <v>WAGE WORKS - HRA FEES</v>
      </c>
    </row>
    <row r="3190" spans="5:8" x14ac:dyDescent="0.25">
      <c r="E3190" t="str">
        <f>""</f>
        <v/>
      </c>
      <c r="F3190" t="str">
        <f>""</f>
        <v/>
      </c>
      <c r="H3190" t="str">
        <f t="shared" si="48"/>
        <v>WAGE WORKS - HRA FEES</v>
      </c>
    </row>
    <row r="3191" spans="5:8" x14ac:dyDescent="0.25">
      <c r="E3191" t="str">
        <f>""</f>
        <v/>
      </c>
      <c r="F3191" t="str">
        <f>""</f>
        <v/>
      </c>
      <c r="H3191" t="str">
        <f t="shared" si="48"/>
        <v>WAGE WORKS - HRA FEES</v>
      </c>
    </row>
    <row r="3192" spans="5:8" x14ac:dyDescent="0.25">
      <c r="E3192" t="str">
        <f>""</f>
        <v/>
      </c>
      <c r="F3192" t="str">
        <f>""</f>
        <v/>
      </c>
      <c r="H3192" t="str">
        <f t="shared" si="48"/>
        <v>WAGE WORKS - HRA FEES</v>
      </c>
    </row>
    <row r="3193" spans="5:8" x14ac:dyDescent="0.25">
      <c r="E3193" t="str">
        <f>""</f>
        <v/>
      </c>
      <c r="F3193" t="str">
        <f>""</f>
        <v/>
      </c>
      <c r="H3193" t="str">
        <f t="shared" si="48"/>
        <v>WAGE WORKS - HRA FEES</v>
      </c>
    </row>
    <row r="3194" spans="5:8" x14ac:dyDescent="0.25">
      <c r="E3194" t="str">
        <f>""</f>
        <v/>
      </c>
      <c r="F3194" t="str">
        <f>""</f>
        <v/>
      </c>
      <c r="H3194" t="str">
        <f t="shared" si="48"/>
        <v>WAGE WORKS - HRA FEES</v>
      </c>
    </row>
    <row r="3195" spans="5:8" x14ac:dyDescent="0.25">
      <c r="E3195" t="str">
        <f>""</f>
        <v/>
      </c>
      <c r="F3195" t="str">
        <f>""</f>
        <v/>
      </c>
      <c r="H3195" t="str">
        <f t="shared" si="48"/>
        <v>WAGE WORKS - HRA FEES</v>
      </c>
    </row>
    <row r="3196" spans="5:8" x14ac:dyDescent="0.25">
      <c r="E3196" t="str">
        <f>""</f>
        <v/>
      </c>
      <c r="F3196" t="str">
        <f>""</f>
        <v/>
      </c>
      <c r="H3196" t="str">
        <f t="shared" si="48"/>
        <v>WAGE WORKS - HRA FEES</v>
      </c>
    </row>
    <row r="3197" spans="5:8" x14ac:dyDescent="0.25">
      <c r="E3197" t="str">
        <f>""</f>
        <v/>
      </c>
      <c r="F3197" t="str">
        <f>""</f>
        <v/>
      </c>
      <c r="H3197" t="str">
        <f t="shared" si="48"/>
        <v>WAGE WORKS - HRA FEES</v>
      </c>
    </row>
    <row r="3198" spans="5:8" x14ac:dyDescent="0.25">
      <c r="E3198" t="str">
        <f>""</f>
        <v/>
      </c>
      <c r="F3198" t="str">
        <f>""</f>
        <v/>
      </c>
      <c r="H3198" t="str">
        <f t="shared" si="48"/>
        <v>WAGE WORKS - HRA FEES</v>
      </c>
    </row>
    <row r="3199" spans="5:8" x14ac:dyDescent="0.25">
      <c r="E3199" t="str">
        <f>""</f>
        <v/>
      </c>
      <c r="F3199" t="str">
        <f>""</f>
        <v/>
      </c>
      <c r="H3199" t="str">
        <f t="shared" si="48"/>
        <v>WAGE WORKS - HRA FEES</v>
      </c>
    </row>
    <row r="3200" spans="5:8" x14ac:dyDescent="0.25">
      <c r="E3200" t="str">
        <f>""</f>
        <v/>
      </c>
      <c r="F3200" t="str">
        <f>""</f>
        <v/>
      </c>
      <c r="H3200" t="str">
        <f t="shared" si="48"/>
        <v>WAGE WORKS - HRA FEES</v>
      </c>
    </row>
    <row r="3201" spans="2:8" x14ac:dyDescent="0.25">
      <c r="E3201" t="str">
        <f>""</f>
        <v/>
      </c>
      <c r="F3201" t="str">
        <f>""</f>
        <v/>
      </c>
      <c r="H3201" t="str">
        <f t="shared" si="48"/>
        <v>WAGE WORKS - HRA FEES</v>
      </c>
    </row>
    <row r="3202" spans="2:8" x14ac:dyDescent="0.25">
      <c r="B3202" s="4" t="s">
        <v>611</v>
      </c>
      <c r="C3202" s="3">
        <f>SUM(C2:C3201)</f>
        <v>3266363.49</v>
      </c>
      <c r="E3202" t="str">
        <f>"HRF201808223028"</f>
        <v>HRF201808223028</v>
      </c>
      <c r="F3202" t="str">
        <f>"WAGE WORKS - HRA FEES"</f>
        <v>WAGE WORKS - HRA FEES</v>
      </c>
      <c r="G3202" s="2">
        <v>14.88</v>
      </c>
      <c r="H3202" t="str">
        <f t="shared" si="48"/>
        <v>WAGE WORKS - HRA FEES</v>
      </c>
    </row>
    <row r="3203" spans="2:8" x14ac:dyDescent="0.25">
      <c r="D3203" s="1"/>
    </row>
    <row r="3204" spans="2:8" x14ac:dyDescent="0.25">
      <c r="D3204" s="1"/>
    </row>
    <row r="3205" spans="2:8" x14ac:dyDescent="0.25">
      <c r="D3205" s="1"/>
    </row>
    <row r="3206" spans="2:8" x14ac:dyDescent="0.25">
      <c r="D3206" s="1"/>
    </row>
    <row r="3207" spans="2:8" x14ac:dyDescent="0.25">
      <c r="D3207" s="1"/>
    </row>
    <row r="3208" spans="2:8" x14ac:dyDescent="0.25">
      <c r="D3208" s="1"/>
    </row>
    <row r="3209" spans="2:8" x14ac:dyDescent="0.25">
      <c r="D3209" s="1"/>
    </row>
    <row r="3210" spans="2:8" x14ac:dyDescent="0.25">
      <c r="D3210" s="1"/>
    </row>
    <row r="3211" spans="2:8" x14ac:dyDescent="0.25">
      <c r="D3211" s="1"/>
    </row>
    <row r="3212" spans="2:8" x14ac:dyDescent="0.25">
      <c r="D3212" s="1"/>
    </row>
    <row r="3213" spans="2:8" x14ac:dyDescent="0.25">
      <c r="D3213" s="1"/>
    </row>
    <row r="3214" spans="2:8" x14ac:dyDescent="0.25">
      <c r="D3214" s="1"/>
    </row>
    <row r="3215" spans="2:8" x14ac:dyDescent="0.25">
      <c r="D3215" s="1"/>
    </row>
    <row r="3216" spans="2:8" x14ac:dyDescent="0.25">
      <c r="D3216" s="1"/>
    </row>
    <row r="3217" spans="4:4" x14ac:dyDescent="0.25">
      <c r="D3217" s="1"/>
    </row>
    <row r="3218" spans="4:4" x14ac:dyDescent="0.25">
      <c r="D3218" s="1"/>
    </row>
    <row r="3219" spans="4:4" x14ac:dyDescent="0.25">
      <c r="D3219" s="1"/>
    </row>
    <row r="3220" spans="4:4" x14ac:dyDescent="0.25">
      <c r="D3220" s="1"/>
    </row>
    <row r="3221" spans="4:4" x14ac:dyDescent="0.25">
      <c r="D3221" s="1"/>
    </row>
    <row r="3222" spans="4:4" x14ac:dyDescent="0.25">
      <c r="D3222" s="1"/>
    </row>
    <row r="3223" spans="4:4" x14ac:dyDescent="0.25">
      <c r="D3223" s="1"/>
    </row>
    <row r="3224" spans="4:4" x14ac:dyDescent="0.25">
      <c r="D3224" s="1"/>
    </row>
    <row r="3225" spans="4:4" x14ac:dyDescent="0.25">
      <c r="D3225" s="1"/>
    </row>
    <row r="3226" spans="4:4" x14ac:dyDescent="0.25">
      <c r="D3226" s="1"/>
    </row>
    <row r="3227" spans="4:4" x14ac:dyDescent="0.25">
      <c r="D3227" s="1"/>
    </row>
    <row r="3228" spans="4:4" x14ac:dyDescent="0.25">
      <c r="D3228" s="1"/>
    </row>
    <row r="3229" spans="4:4" x14ac:dyDescent="0.25">
      <c r="D3229" s="1"/>
    </row>
    <row r="3230" spans="4:4" x14ac:dyDescent="0.25">
      <c r="D3230" s="1"/>
    </row>
    <row r="3231" spans="4:4" x14ac:dyDescent="0.25">
      <c r="D3231" s="1"/>
    </row>
    <row r="3232" spans="4:4" x14ac:dyDescent="0.25">
      <c r="D3232" s="1"/>
    </row>
    <row r="3233" spans="4:4" x14ac:dyDescent="0.25">
      <c r="D3233" s="1"/>
    </row>
    <row r="3234" spans="4:4" x14ac:dyDescent="0.25">
      <c r="D3234" s="1"/>
    </row>
    <row r="3235" spans="4:4" x14ac:dyDescent="0.25">
      <c r="D3235" s="1"/>
    </row>
    <row r="3236" spans="4:4" x14ac:dyDescent="0.25">
      <c r="D3236" s="1"/>
    </row>
    <row r="3237" spans="4:4" x14ac:dyDescent="0.25">
      <c r="D3237" s="1"/>
    </row>
    <row r="3238" spans="4:4" x14ac:dyDescent="0.25">
      <c r="D3238" s="1"/>
    </row>
    <row r="3239" spans="4:4" x14ac:dyDescent="0.25">
      <c r="D3239" s="1"/>
    </row>
    <row r="3240" spans="4:4" x14ac:dyDescent="0.25">
      <c r="D3240" s="1"/>
    </row>
    <row r="3241" spans="4:4" x14ac:dyDescent="0.25">
      <c r="D3241" s="1"/>
    </row>
    <row r="3242" spans="4:4" x14ac:dyDescent="0.25">
      <c r="D3242" s="1"/>
    </row>
    <row r="3243" spans="4:4" x14ac:dyDescent="0.25">
      <c r="D3243" s="1"/>
    </row>
    <row r="3244" spans="4:4" x14ac:dyDescent="0.25">
      <c r="D3244" s="1"/>
    </row>
    <row r="3245" spans="4:4" x14ac:dyDescent="0.25">
      <c r="D3245" s="1"/>
    </row>
    <row r="3246" spans="4:4" x14ac:dyDescent="0.25">
      <c r="D3246" s="1"/>
    </row>
    <row r="3247" spans="4:4" x14ac:dyDescent="0.25">
      <c r="D3247" s="1"/>
    </row>
    <row r="3248" spans="4:4" x14ac:dyDescent="0.25">
      <c r="D3248" s="1"/>
    </row>
    <row r="3249" spans="4:4" x14ac:dyDescent="0.25">
      <c r="D3249" s="1"/>
    </row>
    <row r="3250" spans="4:4" x14ac:dyDescent="0.25">
      <c r="D3250" s="1"/>
    </row>
    <row r="3251" spans="4:4" x14ac:dyDescent="0.25">
      <c r="D3251" s="1"/>
    </row>
    <row r="3252" spans="4:4" x14ac:dyDescent="0.25">
      <c r="D3252" s="1"/>
    </row>
    <row r="3253" spans="4:4" x14ac:dyDescent="0.25">
      <c r="D3253" s="1"/>
    </row>
    <row r="3254" spans="4:4" x14ac:dyDescent="0.25">
      <c r="D3254" s="1"/>
    </row>
    <row r="3255" spans="4:4" x14ac:dyDescent="0.25">
      <c r="D3255" s="1"/>
    </row>
    <row r="3256" spans="4:4" x14ac:dyDescent="0.25">
      <c r="D3256" s="1"/>
    </row>
    <row r="3257" spans="4:4" x14ac:dyDescent="0.25">
      <c r="D3257" s="1"/>
    </row>
    <row r="3258" spans="4:4" x14ac:dyDescent="0.25">
      <c r="D3258" s="1"/>
    </row>
    <row r="3259" spans="4:4" x14ac:dyDescent="0.25">
      <c r="D3259" s="1"/>
    </row>
    <row r="3260" spans="4:4" x14ac:dyDescent="0.25">
      <c r="D3260" s="1"/>
    </row>
    <row r="3261" spans="4:4" x14ac:dyDescent="0.25">
      <c r="D3261" s="1"/>
    </row>
    <row r="3262" spans="4:4" x14ac:dyDescent="0.25">
      <c r="D3262" s="1"/>
    </row>
    <row r="3263" spans="4:4" x14ac:dyDescent="0.25">
      <c r="D3263" s="1"/>
    </row>
    <row r="3264" spans="4:4" x14ac:dyDescent="0.25">
      <c r="D3264" s="1"/>
    </row>
    <row r="3265" spans="4:4" x14ac:dyDescent="0.25">
      <c r="D3265" s="1"/>
    </row>
    <row r="3266" spans="4:4" x14ac:dyDescent="0.25">
      <c r="D3266" s="1"/>
    </row>
    <row r="3267" spans="4:4" x14ac:dyDescent="0.25">
      <c r="D3267" s="1"/>
    </row>
    <row r="3268" spans="4:4" x14ac:dyDescent="0.25">
      <c r="D3268" s="1"/>
    </row>
    <row r="3269" spans="4:4" x14ac:dyDescent="0.25">
      <c r="D3269" s="1"/>
    </row>
    <row r="3270" spans="4:4" x14ac:dyDescent="0.25">
      <c r="D3270" s="1"/>
    </row>
    <row r="3271" spans="4:4" x14ac:dyDescent="0.25">
      <c r="D3271" s="1"/>
    </row>
    <row r="3272" spans="4:4" x14ac:dyDescent="0.25">
      <c r="D3272" s="1"/>
    </row>
    <row r="3273" spans="4:4" x14ac:dyDescent="0.25">
      <c r="D3273" s="1"/>
    </row>
    <row r="3274" spans="4:4" x14ac:dyDescent="0.25">
      <c r="D3274" s="1"/>
    </row>
    <row r="3275" spans="4:4" x14ac:dyDescent="0.25">
      <c r="D327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AP-CHK-RPT-20190201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2019-02-04T15:04:19Z</dcterms:created>
  <dcterms:modified xsi:type="dcterms:W3CDTF">2019-02-04T16:40:52Z</dcterms:modified>
</cp:coreProperties>
</file>