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10848"/>
  </bookViews>
  <sheets>
    <sheet name="AP-CHK-RPT-20180501" sheetId="1" r:id="rId1"/>
  </sheets>
  <calcPr calcId="0"/>
</workbook>
</file>

<file path=xl/calcChain.xml><?xml version="1.0" encoding="utf-8"?>
<calcChain xmlns="http://schemas.openxmlformats.org/spreadsheetml/2006/main">
  <c r="A2" i="1" l="1"/>
  <c r="B2" i="1"/>
  <c r="G2" i="1"/>
  <c r="H2" i="1"/>
  <c r="J2" i="1"/>
  <c r="A3" i="1"/>
  <c r="B3" i="1"/>
  <c r="G3" i="1"/>
  <c r="H3" i="1"/>
  <c r="J3" i="1"/>
  <c r="A4" i="1"/>
  <c r="B4" i="1"/>
  <c r="G4" i="1"/>
  <c r="H4" i="1"/>
  <c r="J4" i="1"/>
  <c r="A5" i="1"/>
  <c r="B5" i="1"/>
  <c r="G5" i="1"/>
  <c r="H5" i="1"/>
  <c r="J5" i="1"/>
  <c r="A6" i="1"/>
  <c r="B6" i="1"/>
  <c r="G6" i="1"/>
  <c r="H6" i="1"/>
  <c r="J6" i="1"/>
  <c r="A7" i="1"/>
  <c r="B7" i="1"/>
  <c r="G7" i="1"/>
  <c r="H7" i="1"/>
  <c r="J7" i="1"/>
  <c r="A8" i="1"/>
  <c r="B8" i="1"/>
  <c r="G8" i="1"/>
  <c r="H8" i="1"/>
  <c r="J8" i="1"/>
  <c r="A9" i="1"/>
  <c r="B9" i="1"/>
  <c r="G9" i="1"/>
  <c r="H9" i="1"/>
  <c r="J9" i="1"/>
  <c r="A10" i="1"/>
  <c r="B10" i="1"/>
  <c r="G10" i="1"/>
  <c r="H10" i="1"/>
  <c r="J10" i="1"/>
  <c r="A11" i="1"/>
  <c r="B11" i="1"/>
  <c r="G11" i="1"/>
  <c r="H11" i="1"/>
  <c r="J11" i="1"/>
  <c r="A12" i="1"/>
  <c r="B12" i="1"/>
  <c r="G12" i="1"/>
  <c r="H12" i="1"/>
  <c r="J12" i="1"/>
  <c r="A13" i="1"/>
  <c r="B13" i="1"/>
  <c r="G13" i="1"/>
  <c r="H13" i="1"/>
  <c r="J13" i="1"/>
  <c r="A14" i="1"/>
  <c r="B14" i="1"/>
  <c r="G14" i="1"/>
  <c r="H14" i="1"/>
  <c r="J14" i="1"/>
  <c r="A15" i="1"/>
  <c r="B15" i="1"/>
  <c r="G15" i="1"/>
  <c r="H15" i="1"/>
  <c r="J15" i="1"/>
  <c r="A16" i="1"/>
  <c r="B16" i="1"/>
  <c r="G16" i="1"/>
  <c r="H16" i="1"/>
  <c r="J16" i="1"/>
  <c r="A17" i="1"/>
  <c r="B17" i="1"/>
  <c r="G17" i="1"/>
  <c r="H17" i="1"/>
  <c r="J17" i="1"/>
  <c r="A18" i="1"/>
  <c r="B18" i="1"/>
  <c r="G18" i="1"/>
  <c r="H18" i="1"/>
  <c r="J18" i="1"/>
  <c r="A19" i="1"/>
  <c r="B19" i="1"/>
  <c r="G19" i="1"/>
  <c r="H19" i="1"/>
  <c r="J19" i="1"/>
  <c r="A20" i="1"/>
  <c r="B20" i="1"/>
  <c r="G20" i="1"/>
  <c r="H20" i="1"/>
  <c r="J20" i="1"/>
  <c r="A21" i="1"/>
  <c r="B21" i="1"/>
  <c r="G21" i="1"/>
  <c r="H21" i="1"/>
  <c r="J21" i="1"/>
  <c r="A22" i="1"/>
  <c r="B22" i="1"/>
  <c r="G22" i="1"/>
  <c r="H22" i="1"/>
  <c r="J22" i="1"/>
  <c r="A23" i="1"/>
  <c r="B23" i="1"/>
  <c r="G23" i="1"/>
  <c r="H23" i="1"/>
  <c r="J23" i="1"/>
  <c r="A24" i="1"/>
  <c r="B24" i="1"/>
  <c r="G24" i="1"/>
  <c r="H24" i="1"/>
  <c r="J24" i="1"/>
  <c r="A25" i="1"/>
  <c r="B25" i="1"/>
  <c r="G25" i="1"/>
  <c r="H25" i="1"/>
  <c r="J25" i="1"/>
  <c r="A26" i="1"/>
  <c r="B26" i="1"/>
  <c r="G26" i="1"/>
  <c r="H26" i="1"/>
  <c r="J26" i="1"/>
  <c r="A27" i="1"/>
  <c r="B27" i="1"/>
  <c r="G27" i="1"/>
  <c r="H27" i="1"/>
  <c r="J27" i="1"/>
  <c r="A28" i="1"/>
  <c r="B28" i="1"/>
  <c r="G28" i="1"/>
  <c r="H28" i="1"/>
  <c r="J28" i="1"/>
  <c r="A29" i="1"/>
  <c r="B29" i="1"/>
  <c r="G29" i="1"/>
  <c r="H29" i="1"/>
  <c r="J29" i="1"/>
  <c r="A30" i="1"/>
  <c r="B30" i="1"/>
  <c r="G30" i="1"/>
  <c r="H30" i="1"/>
  <c r="J30" i="1"/>
  <c r="A31" i="1"/>
  <c r="B31" i="1"/>
  <c r="G31" i="1"/>
  <c r="H31" i="1"/>
  <c r="J31" i="1"/>
  <c r="A32" i="1"/>
  <c r="B32" i="1"/>
  <c r="G32" i="1"/>
  <c r="H32" i="1"/>
  <c r="J32" i="1"/>
  <c r="A33" i="1"/>
  <c r="B33" i="1"/>
  <c r="G33" i="1"/>
  <c r="H33" i="1"/>
  <c r="J33" i="1"/>
  <c r="A34" i="1"/>
  <c r="B34" i="1"/>
  <c r="G34" i="1"/>
  <c r="H34" i="1"/>
  <c r="J34" i="1"/>
  <c r="A35" i="1"/>
  <c r="B35" i="1"/>
  <c r="G35" i="1"/>
  <c r="H35" i="1"/>
  <c r="J35" i="1"/>
  <c r="A36" i="1"/>
  <c r="B36" i="1"/>
  <c r="G36" i="1"/>
  <c r="H36" i="1"/>
  <c r="J36" i="1"/>
  <c r="A37" i="1"/>
  <c r="B37" i="1"/>
  <c r="G37" i="1"/>
  <c r="H37" i="1"/>
  <c r="J37" i="1"/>
  <c r="A38" i="1"/>
  <c r="B38" i="1"/>
  <c r="G38" i="1"/>
  <c r="H38" i="1"/>
  <c r="J38" i="1"/>
  <c r="A39" i="1"/>
  <c r="B39" i="1"/>
  <c r="G39" i="1"/>
  <c r="H39" i="1"/>
  <c r="J39" i="1"/>
  <c r="A40" i="1"/>
  <c r="B40" i="1"/>
  <c r="G40" i="1"/>
  <c r="H40" i="1"/>
  <c r="J40" i="1"/>
  <c r="A41" i="1"/>
  <c r="B41" i="1"/>
  <c r="G41" i="1"/>
  <c r="H41" i="1"/>
  <c r="J41" i="1"/>
  <c r="A42" i="1"/>
  <c r="B42" i="1"/>
  <c r="G42" i="1"/>
  <c r="H42" i="1"/>
  <c r="J42" i="1"/>
  <c r="A43" i="1"/>
  <c r="B43" i="1"/>
  <c r="G43" i="1"/>
  <c r="H43" i="1"/>
  <c r="J43" i="1"/>
  <c r="A44" i="1"/>
  <c r="B44" i="1"/>
  <c r="G44" i="1"/>
  <c r="H44" i="1"/>
  <c r="J44" i="1"/>
  <c r="A45" i="1"/>
  <c r="B45" i="1"/>
  <c r="G45" i="1"/>
  <c r="H45" i="1"/>
  <c r="J45" i="1"/>
  <c r="A46" i="1"/>
  <c r="B46" i="1"/>
  <c r="G46" i="1"/>
  <c r="H46" i="1"/>
  <c r="J46" i="1"/>
  <c r="A47" i="1"/>
  <c r="B47" i="1"/>
  <c r="G47" i="1"/>
  <c r="H47" i="1"/>
  <c r="J47" i="1"/>
  <c r="A48" i="1"/>
  <c r="B48" i="1"/>
  <c r="G48" i="1"/>
  <c r="H48" i="1"/>
  <c r="J48" i="1"/>
  <c r="A49" i="1"/>
  <c r="B49" i="1"/>
  <c r="G49" i="1"/>
  <c r="H49" i="1"/>
  <c r="J49" i="1"/>
  <c r="A50" i="1"/>
  <c r="B50" i="1"/>
  <c r="G50" i="1"/>
  <c r="H50" i="1"/>
  <c r="J50" i="1"/>
  <c r="A51" i="1"/>
  <c r="B51" i="1"/>
  <c r="G51" i="1"/>
  <c r="H51" i="1"/>
  <c r="J51" i="1"/>
  <c r="A52" i="1"/>
  <c r="B52" i="1"/>
  <c r="G52" i="1"/>
  <c r="H52" i="1"/>
  <c r="J52" i="1"/>
  <c r="A53" i="1"/>
  <c r="B53" i="1"/>
  <c r="G53" i="1"/>
  <c r="H53" i="1"/>
  <c r="J53" i="1"/>
  <c r="A54" i="1"/>
  <c r="B54" i="1"/>
  <c r="G54" i="1"/>
  <c r="H54" i="1"/>
  <c r="J54" i="1"/>
  <c r="A55" i="1"/>
  <c r="B55" i="1"/>
  <c r="G55" i="1"/>
  <c r="H55" i="1"/>
  <c r="J55" i="1"/>
  <c r="A56" i="1"/>
  <c r="B56" i="1"/>
  <c r="G56" i="1"/>
  <c r="H56" i="1"/>
  <c r="J56" i="1"/>
  <c r="A57" i="1"/>
  <c r="B57" i="1"/>
  <c r="G57" i="1"/>
  <c r="H57" i="1"/>
  <c r="J57" i="1"/>
  <c r="A58" i="1"/>
  <c r="B58" i="1"/>
  <c r="G58" i="1"/>
  <c r="H58" i="1"/>
  <c r="J58" i="1"/>
  <c r="A59" i="1"/>
  <c r="B59" i="1"/>
  <c r="G59" i="1"/>
  <c r="H59" i="1"/>
  <c r="J59" i="1"/>
  <c r="A60" i="1"/>
  <c r="B60" i="1"/>
  <c r="G60" i="1"/>
  <c r="H60" i="1"/>
  <c r="J60" i="1"/>
  <c r="A61" i="1"/>
  <c r="B61" i="1"/>
  <c r="G61" i="1"/>
  <c r="H61" i="1"/>
  <c r="J61" i="1"/>
  <c r="A62" i="1"/>
  <c r="B62" i="1"/>
  <c r="G62" i="1"/>
  <c r="H62" i="1"/>
  <c r="J62" i="1"/>
  <c r="A63" i="1"/>
  <c r="B63" i="1"/>
  <c r="G63" i="1"/>
  <c r="H63" i="1"/>
  <c r="J63" i="1"/>
  <c r="A64" i="1"/>
  <c r="B64" i="1"/>
  <c r="G64" i="1"/>
  <c r="H64" i="1"/>
  <c r="J64" i="1"/>
  <c r="A65" i="1"/>
  <c r="B65" i="1"/>
  <c r="G65" i="1"/>
  <c r="H65" i="1"/>
  <c r="J65" i="1"/>
  <c r="A66" i="1"/>
  <c r="B66" i="1"/>
  <c r="G66" i="1"/>
  <c r="H66" i="1"/>
  <c r="J66" i="1"/>
  <c r="A67" i="1"/>
  <c r="B67" i="1"/>
  <c r="G67" i="1"/>
  <c r="H67" i="1"/>
  <c r="J67" i="1"/>
  <c r="A68" i="1"/>
  <c r="B68" i="1"/>
  <c r="G68" i="1"/>
  <c r="H68" i="1"/>
  <c r="J68" i="1"/>
  <c r="A69" i="1"/>
  <c r="B69" i="1"/>
  <c r="G69" i="1"/>
  <c r="H69" i="1"/>
  <c r="J69" i="1"/>
  <c r="A70" i="1"/>
  <c r="B70" i="1"/>
  <c r="G70" i="1"/>
  <c r="H70" i="1"/>
  <c r="J70" i="1"/>
  <c r="A71" i="1"/>
  <c r="B71" i="1"/>
  <c r="G71" i="1"/>
  <c r="H71" i="1"/>
  <c r="J71" i="1"/>
  <c r="A72" i="1"/>
  <c r="B72" i="1"/>
  <c r="G72" i="1"/>
  <c r="H72" i="1"/>
  <c r="J72" i="1"/>
  <c r="A73" i="1"/>
  <c r="B73" i="1"/>
  <c r="G73" i="1"/>
  <c r="H73" i="1"/>
  <c r="J73" i="1"/>
  <c r="A74" i="1"/>
  <c r="B74" i="1"/>
  <c r="G74" i="1"/>
  <c r="H74" i="1"/>
  <c r="J74" i="1"/>
  <c r="A75" i="1"/>
  <c r="B75" i="1"/>
  <c r="G75" i="1"/>
  <c r="H75" i="1"/>
  <c r="J75" i="1"/>
  <c r="A76" i="1"/>
  <c r="B76" i="1"/>
  <c r="G76" i="1"/>
  <c r="H76" i="1"/>
  <c r="J76" i="1"/>
  <c r="A77" i="1"/>
  <c r="B77" i="1"/>
  <c r="G77" i="1"/>
  <c r="H77" i="1"/>
  <c r="J77" i="1"/>
  <c r="A78" i="1"/>
  <c r="B78" i="1"/>
  <c r="G78" i="1"/>
  <c r="H78" i="1"/>
  <c r="J78" i="1"/>
  <c r="A79" i="1"/>
  <c r="B79" i="1"/>
  <c r="G79" i="1"/>
  <c r="H79" i="1"/>
  <c r="J79" i="1"/>
  <c r="A80" i="1"/>
  <c r="B80" i="1"/>
  <c r="G80" i="1"/>
  <c r="H80" i="1"/>
  <c r="J80" i="1"/>
  <c r="A81" i="1"/>
  <c r="B81" i="1"/>
  <c r="G81" i="1"/>
  <c r="H81" i="1"/>
  <c r="J81" i="1"/>
  <c r="A82" i="1"/>
  <c r="B82" i="1"/>
  <c r="G82" i="1"/>
  <c r="H82" i="1"/>
  <c r="J82" i="1"/>
  <c r="A83" i="1"/>
  <c r="B83" i="1"/>
  <c r="G83" i="1"/>
  <c r="H83" i="1"/>
  <c r="J83" i="1"/>
  <c r="A84" i="1"/>
  <c r="B84" i="1"/>
  <c r="G84" i="1"/>
  <c r="H84" i="1"/>
  <c r="J84" i="1"/>
  <c r="A85" i="1"/>
  <c r="B85" i="1"/>
  <c r="G85" i="1"/>
  <c r="H85" i="1"/>
  <c r="J85" i="1"/>
  <c r="A86" i="1"/>
  <c r="B86" i="1"/>
  <c r="G86" i="1"/>
  <c r="H86" i="1"/>
  <c r="J86" i="1"/>
  <c r="A87" i="1"/>
  <c r="B87" i="1"/>
  <c r="G87" i="1"/>
  <c r="H87" i="1"/>
  <c r="A88" i="1"/>
  <c r="B88" i="1"/>
  <c r="G88" i="1"/>
  <c r="H88" i="1"/>
  <c r="J88" i="1"/>
  <c r="A89" i="1"/>
  <c r="B89" i="1"/>
  <c r="G89" i="1"/>
  <c r="H89" i="1"/>
  <c r="J89" i="1"/>
  <c r="A90" i="1"/>
  <c r="B90" i="1"/>
  <c r="G90" i="1"/>
  <c r="H90" i="1"/>
  <c r="J90" i="1"/>
  <c r="A91" i="1"/>
  <c r="B91" i="1"/>
  <c r="G91" i="1"/>
  <c r="H91" i="1"/>
  <c r="J91" i="1"/>
  <c r="A92" i="1"/>
  <c r="B92" i="1"/>
  <c r="G92" i="1"/>
  <c r="H92" i="1"/>
  <c r="J92" i="1"/>
  <c r="A93" i="1"/>
  <c r="B93" i="1"/>
  <c r="G93" i="1"/>
  <c r="H93" i="1"/>
  <c r="J93" i="1"/>
  <c r="A94" i="1"/>
  <c r="B94" i="1"/>
  <c r="G94" i="1"/>
  <c r="H94" i="1"/>
  <c r="J94" i="1"/>
  <c r="A95" i="1"/>
  <c r="B95" i="1"/>
  <c r="G95" i="1"/>
  <c r="H95" i="1"/>
  <c r="J95" i="1"/>
  <c r="A96" i="1"/>
  <c r="B96" i="1"/>
  <c r="G96" i="1"/>
  <c r="H96" i="1"/>
  <c r="J96" i="1"/>
  <c r="A97" i="1"/>
  <c r="B97" i="1"/>
  <c r="G97" i="1"/>
  <c r="H97" i="1"/>
  <c r="J97" i="1"/>
  <c r="A98" i="1"/>
  <c r="B98" i="1"/>
  <c r="G98" i="1"/>
  <c r="H98" i="1"/>
  <c r="J98" i="1"/>
  <c r="A99" i="1"/>
  <c r="B99" i="1"/>
  <c r="G99" i="1"/>
  <c r="H99" i="1"/>
  <c r="J99" i="1"/>
  <c r="A100" i="1"/>
  <c r="B100" i="1"/>
  <c r="G100" i="1"/>
  <c r="H100" i="1"/>
  <c r="J100" i="1"/>
  <c r="A101" i="1"/>
  <c r="B101" i="1"/>
  <c r="G101" i="1"/>
  <c r="H101" i="1"/>
  <c r="J101" i="1"/>
  <c r="A102" i="1"/>
  <c r="B102" i="1"/>
  <c r="G102" i="1"/>
  <c r="H102" i="1"/>
  <c r="J102" i="1"/>
  <c r="A103" i="1"/>
  <c r="B103" i="1"/>
  <c r="G103" i="1"/>
  <c r="H103" i="1"/>
  <c r="J103" i="1"/>
  <c r="A104" i="1"/>
  <c r="B104" i="1"/>
  <c r="G104" i="1"/>
  <c r="H104" i="1"/>
  <c r="J104" i="1"/>
  <c r="A105" i="1"/>
  <c r="B105" i="1"/>
  <c r="G105" i="1"/>
  <c r="H105" i="1"/>
  <c r="A106" i="1"/>
  <c r="B106" i="1"/>
  <c r="G106" i="1"/>
  <c r="H106" i="1"/>
  <c r="A107" i="1"/>
  <c r="B107" i="1"/>
  <c r="G107" i="1"/>
  <c r="H107" i="1"/>
  <c r="A108" i="1"/>
  <c r="B108" i="1"/>
  <c r="G108" i="1"/>
  <c r="H108" i="1"/>
  <c r="A109" i="1"/>
  <c r="B109" i="1"/>
  <c r="G109" i="1"/>
  <c r="H109" i="1"/>
  <c r="A110" i="1"/>
  <c r="B110" i="1"/>
  <c r="G110" i="1"/>
  <c r="H110" i="1"/>
  <c r="J110" i="1"/>
  <c r="A111" i="1"/>
  <c r="B111" i="1"/>
  <c r="G111" i="1"/>
  <c r="H111" i="1"/>
  <c r="J111" i="1"/>
  <c r="A112" i="1"/>
  <c r="B112" i="1"/>
  <c r="G112" i="1"/>
  <c r="H112" i="1"/>
  <c r="J112" i="1"/>
  <c r="A113" i="1"/>
  <c r="B113" i="1"/>
  <c r="G113" i="1"/>
  <c r="H113" i="1"/>
  <c r="J113" i="1"/>
  <c r="A114" i="1"/>
  <c r="B114" i="1"/>
  <c r="G114" i="1"/>
  <c r="H114" i="1"/>
  <c r="J114" i="1"/>
  <c r="A115" i="1"/>
  <c r="B115" i="1"/>
  <c r="G115" i="1"/>
  <c r="H115" i="1"/>
  <c r="J115" i="1"/>
  <c r="A116" i="1"/>
  <c r="B116" i="1"/>
  <c r="G116" i="1"/>
  <c r="H116" i="1"/>
  <c r="J116" i="1"/>
  <c r="A117" i="1"/>
  <c r="B117" i="1"/>
  <c r="G117" i="1"/>
  <c r="H117" i="1"/>
  <c r="J117" i="1"/>
  <c r="A118" i="1"/>
  <c r="B118" i="1"/>
  <c r="G118" i="1"/>
  <c r="H118" i="1"/>
  <c r="J118" i="1"/>
  <c r="A119" i="1"/>
  <c r="B119" i="1"/>
  <c r="G119" i="1"/>
  <c r="H119" i="1"/>
  <c r="J119" i="1"/>
  <c r="A120" i="1"/>
  <c r="B120" i="1"/>
  <c r="G120" i="1"/>
  <c r="H120" i="1"/>
  <c r="J120" i="1"/>
  <c r="A121" i="1"/>
  <c r="B121" i="1"/>
  <c r="G121" i="1"/>
  <c r="H121" i="1"/>
  <c r="J121" i="1"/>
  <c r="A122" i="1"/>
  <c r="B122" i="1"/>
  <c r="G122" i="1"/>
  <c r="H122" i="1"/>
  <c r="J122" i="1"/>
  <c r="A123" i="1"/>
  <c r="B123" i="1"/>
  <c r="G123" i="1"/>
  <c r="H123" i="1"/>
  <c r="J123" i="1"/>
  <c r="A124" i="1"/>
  <c r="B124" i="1"/>
  <c r="G124" i="1"/>
  <c r="H124" i="1"/>
  <c r="J124" i="1"/>
  <c r="A125" i="1"/>
  <c r="B125" i="1"/>
  <c r="G125" i="1"/>
  <c r="H125" i="1"/>
  <c r="J125" i="1"/>
  <c r="A126" i="1"/>
  <c r="B126" i="1"/>
  <c r="G126" i="1"/>
  <c r="H126" i="1"/>
  <c r="J126" i="1"/>
  <c r="A127" i="1"/>
  <c r="B127" i="1"/>
  <c r="G127" i="1"/>
  <c r="H127" i="1"/>
  <c r="J127" i="1"/>
  <c r="A128" i="1"/>
  <c r="B128" i="1"/>
  <c r="G128" i="1"/>
  <c r="H128" i="1"/>
  <c r="J128" i="1"/>
  <c r="A129" i="1"/>
  <c r="B129" i="1"/>
  <c r="G129" i="1"/>
  <c r="H129" i="1"/>
  <c r="J129" i="1"/>
  <c r="A130" i="1"/>
  <c r="B130" i="1"/>
  <c r="G130" i="1"/>
  <c r="H130" i="1"/>
  <c r="J130" i="1"/>
  <c r="A131" i="1"/>
  <c r="B131" i="1"/>
  <c r="G131" i="1"/>
  <c r="H131" i="1"/>
  <c r="J131" i="1"/>
  <c r="A132" i="1"/>
  <c r="B132" i="1"/>
  <c r="G132" i="1"/>
  <c r="H132" i="1"/>
  <c r="J132" i="1"/>
  <c r="A133" i="1"/>
  <c r="B133" i="1"/>
  <c r="G133" i="1"/>
  <c r="H133" i="1"/>
  <c r="J133" i="1"/>
  <c r="A134" i="1"/>
  <c r="B134" i="1"/>
  <c r="G134" i="1"/>
  <c r="H134" i="1"/>
  <c r="J134" i="1"/>
  <c r="A135" i="1"/>
  <c r="B135" i="1"/>
  <c r="I135" i="1"/>
  <c r="J135" i="1"/>
  <c r="A136" i="1"/>
  <c r="B136" i="1"/>
  <c r="I136" i="1"/>
  <c r="J136" i="1"/>
  <c r="A137" i="1"/>
  <c r="B137" i="1"/>
  <c r="I137" i="1"/>
  <c r="J137" i="1"/>
  <c r="A138" i="1"/>
  <c r="B138" i="1"/>
  <c r="I138" i="1"/>
  <c r="J138" i="1"/>
  <c r="A139" i="1"/>
  <c r="B139" i="1"/>
  <c r="G139" i="1"/>
  <c r="H139" i="1"/>
  <c r="J139" i="1"/>
  <c r="A140" i="1"/>
  <c r="B140" i="1"/>
  <c r="I140" i="1"/>
  <c r="J140" i="1"/>
  <c r="A141" i="1"/>
  <c r="B141" i="1"/>
  <c r="I141" i="1"/>
  <c r="J141" i="1"/>
  <c r="A142" i="1"/>
  <c r="B142" i="1"/>
  <c r="I142" i="1"/>
  <c r="J142" i="1"/>
  <c r="A143" i="1"/>
  <c r="B143" i="1"/>
  <c r="I143" i="1"/>
  <c r="J143" i="1"/>
  <c r="A144" i="1"/>
  <c r="B144" i="1"/>
  <c r="G144" i="1"/>
  <c r="H144" i="1"/>
  <c r="J144" i="1"/>
  <c r="A145" i="1"/>
  <c r="B145" i="1"/>
  <c r="G145" i="1"/>
  <c r="H145" i="1"/>
  <c r="J145" i="1"/>
  <c r="A146" i="1"/>
  <c r="B146" i="1"/>
  <c r="G146" i="1"/>
  <c r="H146" i="1"/>
  <c r="J146" i="1"/>
  <c r="A147" i="1"/>
  <c r="B147" i="1"/>
  <c r="G147" i="1"/>
  <c r="H147" i="1"/>
  <c r="J147" i="1"/>
  <c r="A148" i="1"/>
  <c r="B148" i="1"/>
  <c r="G148" i="1"/>
  <c r="H148" i="1"/>
  <c r="J148" i="1"/>
  <c r="A149" i="1"/>
  <c r="B149" i="1"/>
  <c r="G149" i="1"/>
  <c r="H149" i="1"/>
  <c r="J149" i="1"/>
  <c r="A150" i="1"/>
  <c r="B150" i="1"/>
  <c r="G150" i="1"/>
  <c r="H150" i="1"/>
  <c r="J150" i="1"/>
  <c r="A151" i="1"/>
  <c r="B151" i="1"/>
  <c r="G151" i="1"/>
  <c r="H151" i="1"/>
  <c r="J151" i="1"/>
  <c r="A152" i="1"/>
  <c r="B152" i="1"/>
  <c r="G152" i="1"/>
  <c r="H152" i="1"/>
  <c r="J152" i="1"/>
  <c r="A153" i="1"/>
  <c r="B153" i="1"/>
  <c r="G153" i="1"/>
  <c r="H153" i="1"/>
  <c r="J153" i="1"/>
  <c r="A154" i="1"/>
  <c r="B154" i="1"/>
  <c r="G154" i="1"/>
  <c r="H154" i="1"/>
  <c r="J154" i="1"/>
  <c r="A155" i="1"/>
  <c r="B155" i="1"/>
  <c r="G155" i="1"/>
  <c r="H155" i="1"/>
  <c r="J155" i="1"/>
  <c r="A156" i="1"/>
  <c r="B156" i="1"/>
  <c r="G156" i="1"/>
  <c r="H156" i="1"/>
  <c r="J156" i="1"/>
  <c r="A157" i="1"/>
  <c r="B157" i="1"/>
  <c r="G157" i="1"/>
  <c r="H157" i="1"/>
  <c r="J157" i="1"/>
  <c r="A158" i="1"/>
  <c r="B158" i="1"/>
  <c r="G158" i="1"/>
  <c r="H158" i="1"/>
  <c r="J158" i="1"/>
  <c r="A159" i="1"/>
  <c r="B159" i="1"/>
  <c r="G159" i="1"/>
  <c r="H159" i="1"/>
  <c r="J159" i="1"/>
  <c r="A160" i="1"/>
  <c r="B160" i="1"/>
  <c r="G160" i="1"/>
  <c r="H160" i="1"/>
  <c r="J160" i="1"/>
  <c r="A161" i="1"/>
  <c r="B161" i="1"/>
  <c r="G161" i="1"/>
  <c r="H161" i="1"/>
  <c r="J161" i="1"/>
  <c r="A162" i="1"/>
  <c r="B162" i="1"/>
  <c r="G162" i="1"/>
  <c r="H162" i="1"/>
  <c r="J162" i="1"/>
  <c r="A163" i="1"/>
  <c r="B163" i="1"/>
  <c r="G163" i="1"/>
  <c r="H163" i="1"/>
  <c r="J163" i="1"/>
  <c r="A164" i="1"/>
  <c r="B164" i="1"/>
  <c r="G164" i="1"/>
  <c r="H164" i="1"/>
  <c r="J164" i="1"/>
  <c r="A165" i="1"/>
  <c r="B165" i="1"/>
  <c r="G165" i="1"/>
  <c r="H165" i="1"/>
  <c r="J165" i="1"/>
  <c r="A166" i="1"/>
  <c r="B166" i="1"/>
  <c r="G166" i="1"/>
  <c r="H166" i="1"/>
  <c r="J166" i="1"/>
  <c r="A167" i="1"/>
  <c r="B167" i="1"/>
  <c r="G167" i="1"/>
  <c r="H167" i="1"/>
  <c r="J167" i="1"/>
  <c r="A168" i="1"/>
  <c r="B168" i="1"/>
  <c r="G168" i="1"/>
  <c r="H168" i="1"/>
  <c r="J168" i="1"/>
  <c r="A169" i="1"/>
  <c r="B169" i="1"/>
  <c r="G169" i="1"/>
  <c r="H169" i="1"/>
  <c r="J169" i="1"/>
  <c r="A170" i="1"/>
  <c r="B170" i="1"/>
  <c r="G170" i="1"/>
  <c r="H170" i="1"/>
  <c r="J170" i="1"/>
  <c r="A171" i="1"/>
  <c r="B171" i="1"/>
  <c r="G171" i="1"/>
  <c r="H171" i="1"/>
  <c r="J171" i="1"/>
  <c r="A172" i="1"/>
  <c r="B172" i="1"/>
  <c r="G172" i="1"/>
  <c r="H172" i="1"/>
  <c r="J172" i="1"/>
  <c r="A173" i="1"/>
  <c r="B173" i="1"/>
  <c r="G173" i="1"/>
  <c r="H173" i="1"/>
  <c r="J173" i="1"/>
  <c r="A174" i="1"/>
  <c r="B174" i="1"/>
  <c r="G174" i="1"/>
  <c r="H174" i="1"/>
  <c r="J174" i="1"/>
  <c r="A175" i="1"/>
  <c r="B175" i="1"/>
  <c r="G175" i="1"/>
  <c r="H175" i="1"/>
  <c r="J175" i="1"/>
  <c r="A176" i="1"/>
  <c r="B176" i="1"/>
  <c r="G176" i="1"/>
  <c r="H176" i="1"/>
  <c r="J176" i="1"/>
  <c r="A177" i="1"/>
  <c r="B177" i="1"/>
  <c r="G177" i="1"/>
  <c r="H177" i="1"/>
  <c r="J177" i="1"/>
  <c r="A178" i="1"/>
  <c r="B178" i="1"/>
  <c r="G178" i="1"/>
  <c r="H178" i="1"/>
  <c r="J178" i="1"/>
  <c r="A179" i="1"/>
  <c r="B179" i="1"/>
  <c r="G179" i="1"/>
  <c r="H179" i="1"/>
  <c r="J179" i="1"/>
  <c r="A180" i="1"/>
  <c r="B180" i="1"/>
  <c r="G180" i="1"/>
  <c r="H180" i="1"/>
  <c r="J180" i="1"/>
  <c r="A181" i="1"/>
  <c r="B181" i="1"/>
  <c r="G181" i="1"/>
  <c r="H181" i="1"/>
  <c r="J181" i="1"/>
  <c r="A182" i="1"/>
  <c r="B182" i="1"/>
  <c r="G182" i="1"/>
  <c r="H182" i="1"/>
  <c r="J182" i="1"/>
  <c r="A183" i="1"/>
  <c r="B183" i="1"/>
  <c r="G183" i="1"/>
  <c r="H183" i="1"/>
  <c r="J183" i="1"/>
  <c r="A184" i="1"/>
  <c r="B184" i="1"/>
  <c r="G184" i="1"/>
  <c r="H184" i="1"/>
  <c r="J184" i="1"/>
  <c r="A185" i="1"/>
  <c r="B185" i="1"/>
  <c r="G185" i="1"/>
  <c r="H185" i="1"/>
  <c r="J185" i="1"/>
  <c r="A186" i="1"/>
  <c r="B186" i="1"/>
  <c r="G186" i="1"/>
  <c r="H186" i="1"/>
  <c r="J186" i="1"/>
  <c r="A187" i="1"/>
  <c r="B187" i="1"/>
  <c r="G187" i="1"/>
  <c r="H187" i="1"/>
  <c r="J187" i="1"/>
  <c r="A188" i="1"/>
  <c r="B188" i="1"/>
  <c r="G188" i="1"/>
  <c r="H188" i="1"/>
  <c r="J188" i="1"/>
  <c r="A189" i="1"/>
  <c r="B189" i="1"/>
  <c r="G189" i="1"/>
  <c r="H189" i="1"/>
  <c r="J189" i="1"/>
  <c r="A190" i="1"/>
  <c r="B190" i="1"/>
  <c r="G190" i="1"/>
  <c r="H190" i="1"/>
  <c r="J190" i="1"/>
  <c r="A191" i="1"/>
  <c r="B191" i="1"/>
  <c r="G191" i="1"/>
  <c r="H191" i="1"/>
  <c r="J191" i="1"/>
  <c r="A192" i="1"/>
  <c r="B192" i="1"/>
  <c r="G192" i="1"/>
  <c r="H192" i="1"/>
  <c r="J192" i="1"/>
  <c r="A193" i="1"/>
  <c r="B193" i="1"/>
  <c r="G193" i="1"/>
  <c r="H193" i="1"/>
  <c r="J193" i="1"/>
  <c r="A194" i="1"/>
  <c r="B194" i="1"/>
  <c r="G194" i="1"/>
  <c r="H194" i="1"/>
  <c r="J194" i="1"/>
  <c r="A195" i="1"/>
  <c r="B195" i="1"/>
  <c r="G195" i="1"/>
  <c r="H195" i="1"/>
  <c r="J195" i="1"/>
  <c r="A196" i="1"/>
  <c r="B196" i="1"/>
  <c r="G196" i="1"/>
  <c r="H196" i="1"/>
  <c r="J196" i="1"/>
  <c r="A197" i="1"/>
  <c r="B197" i="1"/>
  <c r="G197" i="1"/>
  <c r="H197" i="1"/>
  <c r="J197" i="1"/>
  <c r="A198" i="1"/>
  <c r="B198" i="1"/>
  <c r="G198" i="1"/>
  <c r="H198" i="1"/>
  <c r="J198" i="1"/>
  <c r="A199" i="1"/>
  <c r="B199" i="1"/>
  <c r="G199" i="1"/>
  <c r="H199" i="1"/>
  <c r="J199" i="1"/>
  <c r="A200" i="1"/>
  <c r="B200" i="1"/>
  <c r="G200" i="1"/>
  <c r="H200" i="1"/>
  <c r="J200" i="1"/>
  <c r="A201" i="1"/>
  <c r="B201" i="1"/>
  <c r="G201" i="1"/>
  <c r="H201" i="1"/>
  <c r="J201" i="1"/>
  <c r="A202" i="1"/>
  <c r="B202" i="1"/>
  <c r="G202" i="1"/>
  <c r="H202" i="1"/>
  <c r="J202" i="1"/>
  <c r="A203" i="1"/>
  <c r="B203" i="1"/>
  <c r="G203" i="1"/>
  <c r="H203" i="1"/>
  <c r="J203" i="1"/>
  <c r="A204" i="1"/>
  <c r="B204" i="1"/>
  <c r="G204" i="1"/>
  <c r="H204" i="1"/>
  <c r="J204" i="1"/>
  <c r="A205" i="1"/>
  <c r="B205" i="1"/>
  <c r="G205" i="1"/>
  <c r="H205" i="1"/>
  <c r="J205" i="1"/>
  <c r="A206" i="1"/>
  <c r="B206" i="1"/>
  <c r="G206" i="1"/>
  <c r="H206" i="1"/>
  <c r="J206" i="1"/>
  <c r="A207" i="1"/>
  <c r="B207" i="1"/>
  <c r="G207" i="1"/>
  <c r="H207" i="1"/>
  <c r="J207" i="1"/>
  <c r="A208" i="1"/>
  <c r="B208" i="1"/>
  <c r="G208" i="1"/>
  <c r="H208" i="1"/>
  <c r="J208" i="1"/>
  <c r="A209" i="1"/>
  <c r="B209" i="1"/>
  <c r="G209" i="1"/>
  <c r="H209" i="1"/>
  <c r="J209" i="1"/>
  <c r="A210" i="1"/>
  <c r="B210" i="1"/>
  <c r="G210" i="1"/>
  <c r="H210" i="1"/>
  <c r="J210" i="1"/>
  <c r="A211" i="1"/>
  <c r="B211" i="1"/>
  <c r="G211" i="1"/>
  <c r="H211" i="1"/>
  <c r="J211" i="1"/>
  <c r="A212" i="1"/>
  <c r="B212" i="1"/>
  <c r="G212" i="1"/>
  <c r="H212" i="1"/>
  <c r="J212" i="1"/>
  <c r="A213" i="1"/>
  <c r="B213" i="1"/>
  <c r="G213" i="1"/>
  <c r="H213" i="1"/>
  <c r="J213" i="1"/>
  <c r="A214" i="1"/>
  <c r="B214" i="1"/>
  <c r="G214" i="1"/>
  <c r="H214" i="1"/>
  <c r="J214" i="1"/>
  <c r="A215" i="1"/>
  <c r="B215" i="1"/>
  <c r="G215" i="1"/>
  <c r="H215" i="1"/>
  <c r="J215" i="1"/>
  <c r="A216" i="1"/>
  <c r="B216" i="1"/>
  <c r="G216" i="1"/>
  <c r="H216" i="1"/>
  <c r="J216" i="1"/>
  <c r="A217" i="1"/>
  <c r="B217" i="1"/>
  <c r="G217" i="1"/>
  <c r="H217" i="1"/>
  <c r="J217" i="1"/>
  <c r="A218" i="1"/>
  <c r="B218" i="1"/>
  <c r="G218" i="1"/>
  <c r="H218" i="1"/>
  <c r="J218" i="1"/>
  <c r="A219" i="1"/>
  <c r="B219" i="1"/>
  <c r="G219" i="1"/>
  <c r="H219" i="1"/>
  <c r="J219" i="1"/>
  <c r="A220" i="1"/>
  <c r="B220" i="1"/>
  <c r="G220" i="1"/>
  <c r="H220" i="1"/>
  <c r="J220" i="1"/>
  <c r="A221" i="1"/>
  <c r="B221" i="1"/>
  <c r="G221" i="1"/>
  <c r="H221" i="1"/>
  <c r="J221" i="1"/>
  <c r="A222" i="1"/>
  <c r="B222" i="1"/>
  <c r="G222" i="1"/>
  <c r="H222" i="1"/>
  <c r="J222" i="1"/>
  <c r="A223" i="1"/>
  <c r="B223" i="1"/>
  <c r="G223" i="1"/>
  <c r="H223" i="1"/>
  <c r="J223" i="1"/>
  <c r="A224" i="1"/>
  <c r="B224" i="1"/>
  <c r="G224" i="1"/>
  <c r="H224" i="1"/>
  <c r="J224" i="1"/>
  <c r="A225" i="1"/>
  <c r="B225" i="1"/>
  <c r="G225" i="1"/>
  <c r="H225" i="1"/>
  <c r="J225" i="1"/>
  <c r="A226" i="1"/>
  <c r="B226" i="1"/>
  <c r="G226" i="1"/>
  <c r="H226" i="1"/>
  <c r="J226" i="1"/>
  <c r="A227" i="1"/>
  <c r="B227" i="1"/>
  <c r="G227" i="1"/>
  <c r="H227" i="1"/>
  <c r="J227" i="1"/>
  <c r="A228" i="1"/>
  <c r="B228" i="1"/>
  <c r="G228" i="1"/>
  <c r="H228" i="1"/>
  <c r="J228" i="1"/>
  <c r="A229" i="1"/>
  <c r="B229" i="1"/>
  <c r="G229" i="1"/>
  <c r="H229" i="1"/>
  <c r="J229" i="1"/>
  <c r="A230" i="1"/>
  <c r="B230" i="1"/>
  <c r="G230" i="1"/>
  <c r="H230" i="1"/>
  <c r="J230" i="1"/>
  <c r="A231" i="1"/>
  <c r="B231" i="1"/>
  <c r="G231" i="1"/>
  <c r="H231" i="1"/>
  <c r="J231" i="1"/>
  <c r="A232" i="1"/>
  <c r="B232" i="1"/>
  <c r="G232" i="1"/>
  <c r="H232" i="1"/>
  <c r="J232" i="1"/>
  <c r="A233" i="1"/>
  <c r="B233" i="1"/>
  <c r="G233" i="1"/>
  <c r="H233" i="1"/>
  <c r="J233" i="1"/>
  <c r="A234" i="1"/>
  <c r="B234" i="1"/>
  <c r="G234" i="1"/>
  <c r="H234" i="1"/>
  <c r="J234" i="1"/>
  <c r="A235" i="1"/>
  <c r="B235" i="1"/>
  <c r="G235" i="1"/>
  <c r="H235" i="1"/>
  <c r="J235" i="1"/>
  <c r="A236" i="1"/>
  <c r="B236" i="1"/>
  <c r="G236" i="1"/>
  <c r="H236" i="1"/>
  <c r="J236" i="1"/>
  <c r="A237" i="1"/>
  <c r="B237" i="1"/>
  <c r="G237" i="1"/>
  <c r="H237" i="1"/>
  <c r="J237" i="1"/>
  <c r="A238" i="1"/>
  <c r="B238" i="1"/>
  <c r="G238" i="1"/>
  <c r="H238" i="1"/>
  <c r="J238" i="1"/>
  <c r="A239" i="1"/>
  <c r="B239" i="1"/>
  <c r="G239" i="1"/>
  <c r="H239" i="1"/>
  <c r="J239" i="1"/>
  <c r="A240" i="1"/>
  <c r="B240" i="1"/>
  <c r="G240" i="1"/>
  <c r="H240" i="1"/>
  <c r="J240" i="1"/>
  <c r="A241" i="1"/>
  <c r="B241" i="1"/>
  <c r="G241" i="1"/>
  <c r="H241" i="1"/>
  <c r="J241" i="1"/>
  <c r="A242" i="1"/>
  <c r="B242" i="1"/>
  <c r="G242" i="1"/>
  <c r="H242" i="1"/>
  <c r="J242" i="1"/>
  <c r="A243" i="1"/>
  <c r="B243" i="1"/>
  <c r="G243" i="1"/>
  <c r="H243" i="1"/>
  <c r="J243" i="1"/>
  <c r="A244" i="1"/>
  <c r="B244" i="1"/>
  <c r="G244" i="1"/>
  <c r="H244" i="1"/>
  <c r="J244" i="1"/>
  <c r="A245" i="1"/>
  <c r="B245" i="1"/>
  <c r="G245" i="1"/>
  <c r="H245" i="1"/>
  <c r="J245" i="1"/>
  <c r="A246" i="1"/>
  <c r="B246" i="1"/>
  <c r="G246" i="1"/>
  <c r="H246" i="1"/>
  <c r="J246" i="1"/>
  <c r="A247" i="1"/>
  <c r="B247" i="1"/>
  <c r="G247" i="1"/>
  <c r="H247" i="1"/>
  <c r="J247" i="1"/>
  <c r="A248" i="1"/>
  <c r="B248" i="1"/>
  <c r="G248" i="1"/>
  <c r="H248" i="1"/>
  <c r="J248" i="1"/>
  <c r="A249" i="1"/>
  <c r="B249" i="1"/>
  <c r="G249" i="1"/>
  <c r="H249" i="1"/>
  <c r="J249" i="1"/>
  <c r="A250" i="1"/>
  <c r="B250" i="1"/>
  <c r="G250" i="1"/>
  <c r="H250" i="1"/>
  <c r="J250" i="1"/>
  <c r="A251" i="1"/>
  <c r="B251" i="1"/>
  <c r="G251" i="1"/>
  <c r="H251" i="1"/>
  <c r="J251" i="1"/>
  <c r="A252" i="1"/>
  <c r="B252" i="1"/>
  <c r="G252" i="1"/>
  <c r="H252" i="1"/>
  <c r="J252" i="1"/>
  <c r="A253" i="1"/>
  <c r="B253" i="1"/>
  <c r="G253" i="1"/>
  <c r="H253" i="1"/>
  <c r="J253" i="1"/>
  <c r="A254" i="1"/>
  <c r="B254" i="1"/>
  <c r="G254" i="1"/>
  <c r="H254" i="1"/>
  <c r="J254" i="1"/>
  <c r="A255" i="1"/>
  <c r="B255" i="1"/>
  <c r="G255" i="1"/>
  <c r="H255" i="1"/>
  <c r="J255" i="1"/>
  <c r="A256" i="1"/>
  <c r="B256" i="1"/>
  <c r="G256" i="1"/>
  <c r="H256" i="1"/>
  <c r="J256" i="1"/>
  <c r="A257" i="1"/>
  <c r="B257" i="1"/>
  <c r="G257" i="1"/>
  <c r="H257" i="1"/>
  <c r="J257" i="1"/>
  <c r="A258" i="1"/>
  <c r="B258" i="1"/>
  <c r="G258" i="1"/>
  <c r="H258" i="1"/>
  <c r="J258" i="1"/>
  <c r="A259" i="1"/>
  <c r="B259" i="1"/>
  <c r="G259" i="1"/>
  <c r="H259" i="1"/>
  <c r="J259" i="1"/>
  <c r="A260" i="1"/>
  <c r="B260" i="1"/>
  <c r="G260" i="1"/>
  <c r="H260" i="1"/>
  <c r="J260" i="1"/>
  <c r="A261" i="1"/>
  <c r="B261" i="1"/>
  <c r="G261" i="1"/>
  <c r="H261" i="1"/>
  <c r="J261" i="1"/>
  <c r="A262" i="1"/>
  <c r="B262" i="1"/>
  <c r="G262" i="1"/>
  <c r="H262" i="1"/>
  <c r="J262" i="1"/>
  <c r="A263" i="1"/>
  <c r="B263" i="1"/>
  <c r="G263" i="1"/>
  <c r="H263" i="1"/>
  <c r="J263" i="1"/>
  <c r="A264" i="1"/>
  <c r="B264" i="1"/>
  <c r="G264" i="1"/>
  <c r="H264" i="1"/>
  <c r="J264" i="1"/>
  <c r="A265" i="1"/>
  <c r="B265" i="1"/>
  <c r="G265" i="1"/>
  <c r="H265" i="1"/>
  <c r="J265" i="1"/>
  <c r="A266" i="1"/>
  <c r="B266" i="1"/>
  <c r="G266" i="1"/>
  <c r="H266" i="1"/>
  <c r="J266" i="1"/>
  <c r="A267" i="1"/>
  <c r="B267" i="1"/>
  <c r="G267" i="1"/>
  <c r="H267" i="1"/>
  <c r="J267" i="1"/>
  <c r="A268" i="1"/>
  <c r="B268" i="1"/>
  <c r="G268" i="1"/>
  <c r="H268" i="1"/>
  <c r="J268" i="1"/>
  <c r="A269" i="1"/>
  <c r="B269" i="1"/>
  <c r="G269" i="1"/>
  <c r="H269" i="1"/>
  <c r="J269" i="1"/>
  <c r="A270" i="1"/>
  <c r="B270" i="1"/>
  <c r="G270" i="1"/>
  <c r="H270" i="1"/>
  <c r="J270" i="1"/>
  <c r="A271" i="1"/>
  <c r="B271" i="1"/>
  <c r="G271" i="1"/>
  <c r="H271" i="1"/>
  <c r="J271" i="1"/>
  <c r="A272" i="1"/>
  <c r="B272" i="1"/>
  <c r="G272" i="1"/>
  <c r="H272" i="1"/>
  <c r="J272" i="1"/>
  <c r="A273" i="1"/>
  <c r="B273" i="1"/>
  <c r="G273" i="1"/>
  <c r="H273" i="1"/>
  <c r="J273" i="1"/>
  <c r="A274" i="1"/>
  <c r="B274" i="1"/>
  <c r="G274" i="1"/>
  <c r="H274" i="1"/>
  <c r="J274" i="1"/>
  <c r="A275" i="1"/>
  <c r="B275" i="1"/>
  <c r="G275" i="1"/>
  <c r="H275" i="1"/>
  <c r="J275" i="1"/>
  <c r="A276" i="1"/>
  <c r="B276" i="1"/>
  <c r="G276" i="1"/>
  <c r="H276" i="1"/>
  <c r="J276" i="1"/>
  <c r="A277" i="1"/>
  <c r="B277" i="1"/>
  <c r="G277" i="1"/>
  <c r="H277" i="1"/>
  <c r="J277" i="1"/>
  <c r="A278" i="1"/>
  <c r="B278" i="1"/>
  <c r="G278" i="1"/>
  <c r="H278" i="1"/>
  <c r="J278" i="1"/>
  <c r="A279" i="1"/>
  <c r="B279" i="1"/>
  <c r="G279" i="1"/>
  <c r="H279" i="1"/>
  <c r="J279" i="1"/>
  <c r="A280" i="1"/>
  <c r="B280" i="1"/>
  <c r="G280" i="1"/>
  <c r="H280" i="1"/>
  <c r="J280" i="1"/>
  <c r="A281" i="1"/>
  <c r="B281" i="1"/>
  <c r="G281" i="1"/>
  <c r="H281" i="1"/>
  <c r="J281" i="1"/>
  <c r="A282" i="1"/>
  <c r="B282" i="1"/>
  <c r="G282" i="1"/>
  <c r="H282" i="1"/>
  <c r="J282" i="1"/>
  <c r="A283" i="1"/>
  <c r="B283" i="1"/>
  <c r="G283" i="1"/>
  <c r="H283" i="1"/>
  <c r="J283" i="1"/>
  <c r="A284" i="1"/>
  <c r="B284" i="1"/>
  <c r="G284" i="1"/>
  <c r="H284" i="1"/>
  <c r="J284" i="1"/>
  <c r="A285" i="1"/>
  <c r="B285" i="1"/>
  <c r="G285" i="1"/>
  <c r="H285" i="1"/>
  <c r="J285" i="1"/>
  <c r="A286" i="1"/>
  <c r="B286" i="1"/>
  <c r="G286" i="1"/>
  <c r="H286" i="1"/>
  <c r="J286" i="1"/>
  <c r="A287" i="1"/>
  <c r="B287" i="1"/>
  <c r="G287" i="1"/>
  <c r="H287" i="1"/>
  <c r="J287" i="1"/>
  <c r="A288" i="1"/>
  <c r="B288" i="1"/>
  <c r="G288" i="1"/>
  <c r="H288" i="1"/>
  <c r="J288" i="1"/>
  <c r="A289" i="1"/>
  <c r="B289" i="1"/>
  <c r="G289" i="1"/>
  <c r="H289" i="1"/>
  <c r="J289" i="1"/>
  <c r="A290" i="1"/>
  <c r="B290" i="1"/>
  <c r="G290" i="1"/>
  <c r="H290" i="1"/>
  <c r="J290" i="1"/>
  <c r="A291" i="1"/>
  <c r="B291" i="1"/>
  <c r="G291" i="1"/>
  <c r="H291" i="1"/>
  <c r="J291" i="1"/>
  <c r="A292" i="1"/>
  <c r="B292" i="1"/>
  <c r="G292" i="1"/>
  <c r="H292" i="1"/>
  <c r="J292" i="1"/>
  <c r="A293" i="1"/>
  <c r="B293" i="1"/>
  <c r="G293" i="1"/>
  <c r="H293" i="1"/>
  <c r="J293" i="1"/>
  <c r="A294" i="1"/>
  <c r="B294" i="1"/>
  <c r="G294" i="1"/>
  <c r="H294" i="1"/>
  <c r="J294" i="1"/>
  <c r="A295" i="1"/>
  <c r="B295" i="1"/>
  <c r="G295" i="1"/>
  <c r="H295" i="1"/>
  <c r="J295" i="1"/>
  <c r="A296" i="1"/>
  <c r="B296" i="1"/>
  <c r="G296" i="1"/>
  <c r="H296" i="1"/>
  <c r="J296" i="1"/>
  <c r="A297" i="1"/>
  <c r="B297" i="1"/>
  <c r="G297" i="1"/>
  <c r="H297" i="1"/>
  <c r="J297" i="1"/>
  <c r="A298" i="1"/>
  <c r="B298" i="1"/>
  <c r="G298" i="1"/>
  <c r="H298" i="1"/>
  <c r="J298" i="1"/>
  <c r="A299" i="1"/>
  <c r="B299" i="1"/>
  <c r="G299" i="1"/>
  <c r="H299" i="1"/>
  <c r="J299" i="1"/>
  <c r="A300" i="1"/>
  <c r="B300" i="1"/>
  <c r="G300" i="1"/>
  <c r="H300" i="1"/>
  <c r="J300" i="1"/>
  <c r="A301" i="1"/>
  <c r="B301" i="1"/>
  <c r="G301" i="1"/>
  <c r="H301" i="1"/>
  <c r="J301" i="1"/>
  <c r="A302" i="1"/>
  <c r="B302" i="1"/>
  <c r="G302" i="1"/>
  <c r="H302" i="1"/>
  <c r="J302" i="1"/>
  <c r="A303" i="1"/>
  <c r="B303" i="1"/>
  <c r="G303" i="1"/>
  <c r="H303" i="1"/>
  <c r="J303" i="1"/>
  <c r="A304" i="1"/>
  <c r="B304" i="1"/>
  <c r="G304" i="1"/>
  <c r="H304" i="1"/>
  <c r="J304" i="1"/>
  <c r="A305" i="1"/>
  <c r="B305" i="1"/>
  <c r="G305" i="1"/>
  <c r="H305" i="1"/>
  <c r="J305" i="1"/>
  <c r="A306" i="1"/>
  <c r="B306" i="1"/>
  <c r="G306" i="1"/>
  <c r="H306" i="1"/>
  <c r="J306" i="1"/>
  <c r="A307" i="1"/>
  <c r="B307" i="1"/>
  <c r="G307" i="1"/>
  <c r="H307" i="1"/>
  <c r="J307" i="1"/>
  <c r="A308" i="1"/>
  <c r="B308" i="1"/>
  <c r="G308" i="1"/>
  <c r="H308" i="1"/>
  <c r="J308" i="1"/>
  <c r="A309" i="1"/>
  <c r="B309" i="1"/>
  <c r="G309" i="1"/>
  <c r="H309" i="1"/>
  <c r="J309" i="1"/>
  <c r="A310" i="1"/>
  <c r="B310" i="1"/>
  <c r="G310" i="1"/>
  <c r="H310" i="1"/>
  <c r="J310" i="1"/>
  <c r="A311" i="1"/>
  <c r="B311" i="1"/>
  <c r="G311" i="1"/>
  <c r="H311" i="1"/>
  <c r="J311" i="1"/>
  <c r="A312" i="1"/>
  <c r="B312" i="1"/>
  <c r="G312" i="1"/>
  <c r="H312" i="1"/>
  <c r="J312" i="1"/>
  <c r="A313" i="1"/>
  <c r="B313" i="1"/>
  <c r="G313" i="1"/>
  <c r="H313" i="1"/>
  <c r="J313" i="1"/>
  <c r="A314" i="1"/>
  <c r="B314" i="1"/>
  <c r="G314" i="1"/>
  <c r="H314" i="1"/>
  <c r="J314" i="1"/>
  <c r="A315" i="1"/>
  <c r="B315" i="1"/>
  <c r="G315" i="1"/>
  <c r="H315" i="1"/>
  <c r="J315" i="1"/>
  <c r="A316" i="1"/>
  <c r="B316" i="1"/>
  <c r="G316" i="1"/>
  <c r="H316" i="1"/>
  <c r="J316" i="1"/>
  <c r="A317" i="1"/>
  <c r="B317" i="1"/>
  <c r="G317" i="1"/>
  <c r="H317" i="1"/>
  <c r="J317" i="1"/>
  <c r="A318" i="1"/>
  <c r="B318" i="1"/>
  <c r="G318" i="1"/>
  <c r="H318" i="1"/>
  <c r="J318" i="1"/>
  <c r="A319" i="1"/>
  <c r="B319" i="1"/>
  <c r="G319" i="1"/>
  <c r="H319" i="1"/>
  <c r="J319" i="1"/>
  <c r="A320" i="1"/>
  <c r="B320" i="1"/>
  <c r="G320" i="1"/>
  <c r="H320" i="1"/>
  <c r="J320" i="1"/>
  <c r="A321" i="1"/>
  <c r="B321" i="1"/>
  <c r="G321" i="1"/>
  <c r="H321" i="1"/>
  <c r="J321" i="1"/>
  <c r="A322" i="1"/>
  <c r="B322" i="1"/>
  <c r="G322" i="1"/>
  <c r="H322" i="1"/>
  <c r="J322" i="1"/>
  <c r="A323" i="1"/>
  <c r="B323" i="1"/>
  <c r="G323" i="1"/>
  <c r="H323" i="1"/>
  <c r="J323" i="1"/>
  <c r="A324" i="1"/>
  <c r="B324" i="1"/>
  <c r="G324" i="1"/>
  <c r="H324" i="1"/>
  <c r="J324" i="1"/>
  <c r="A325" i="1"/>
  <c r="B325" i="1"/>
  <c r="G325" i="1"/>
  <c r="H325" i="1"/>
  <c r="J325" i="1"/>
  <c r="A326" i="1"/>
  <c r="B326" i="1"/>
  <c r="G326" i="1"/>
  <c r="H326" i="1"/>
  <c r="J326" i="1"/>
  <c r="A327" i="1"/>
  <c r="B327" i="1"/>
  <c r="G327" i="1"/>
  <c r="H327" i="1"/>
  <c r="J327" i="1"/>
  <c r="A328" i="1"/>
  <c r="B328" i="1"/>
  <c r="G328" i="1"/>
  <c r="H328" i="1"/>
  <c r="J328" i="1"/>
  <c r="A329" i="1"/>
  <c r="B329" i="1"/>
  <c r="G329" i="1"/>
  <c r="H329" i="1"/>
  <c r="J329" i="1"/>
  <c r="A330" i="1"/>
  <c r="B330" i="1"/>
  <c r="G330" i="1"/>
  <c r="H330" i="1"/>
  <c r="J330" i="1"/>
  <c r="A331" i="1"/>
  <c r="B331" i="1"/>
  <c r="G331" i="1"/>
  <c r="H331" i="1"/>
  <c r="J331" i="1"/>
  <c r="A332" i="1"/>
  <c r="B332" i="1"/>
  <c r="G332" i="1"/>
  <c r="H332" i="1"/>
  <c r="J332" i="1"/>
  <c r="A333" i="1"/>
  <c r="B333" i="1"/>
  <c r="G333" i="1"/>
  <c r="H333" i="1"/>
  <c r="J333" i="1"/>
  <c r="A334" i="1"/>
  <c r="B334" i="1"/>
  <c r="G334" i="1"/>
  <c r="H334" i="1"/>
  <c r="J334" i="1"/>
  <c r="A335" i="1"/>
  <c r="B335" i="1"/>
  <c r="G335" i="1"/>
  <c r="H335" i="1"/>
  <c r="J335" i="1"/>
  <c r="A336" i="1"/>
  <c r="B336" i="1"/>
  <c r="G336" i="1"/>
  <c r="H336" i="1"/>
  <c r="J336" i="1"/>
  <c r="A337" i="1"/>
  <c r="B337" i="1"/>
  <c r="G337" i="1"/>
  <c r="H337" i="1"/>
  <c r="J337" i="1"/>
  <c r="A338" i="1"/>
  <c r="B338" i="1"/>
  <c r="G338" i="1"/>
  <c r="H338" i="1"/>
  <c r="J338" i="1"/>
  <c r="A339" i="1"/>
  <c r="B339" i="1"/>
  <c r="G339" i="1"/>
  <c r="H339" i="1"/>
  <c r="J339" i="1"/>
  <c r="A340" i="1"/>
  <c r="B340" i="1"/>
  <c r="G340" i="1"/>
  <c r="H340" i="1"/>
  <c r="J340" i="1"/>
  <c r="A341" i="1"/>
  <c r="B341" i="1"/>
  <c r="G341" i="1"/>
  <c r="H341" i="1"/>
  <c r="J341" i="1"/>
  <c r="A342" i="1"/>
  <c r="B342" i="1"/>
  <c r="G342" i="1"/>
  <c r="H342" i="1"/>
  <c r="J342" i="1"/>
  <c r="A343" i="1"/>
  <c r="B343" i="1"/>
  <c r="G343" i="1"/>
  <c r="H343" i="1"/>
  <c r="J343" i="1"/>
  <c r="A344" i="1"/>
  <c r="B344" i="1"/>
  <c r="G344" i="1"/>
  <c r="H344" i="1"/>
  <c r="J344" i="1"/>
  <c r="A345" i="1"/>
  <c r="B345" i="1"/>
  <c r="G345" i="1"/>
  <c r="H345" i="1"/>
  <c r="J345" i="1"/>
  <c r="A346" i="1"/>
  <c r="B346" i="1"/>
  <c r="G346" i="1"/>
  <c r="H346" i="1"/>
  <c r="J346" i="1"/>
  <c r="A347" i="1"/>
  <c r="B347" i="1"/>
  <c r="G347" i="1"/>
  <c r="H347" i="1"/>
  <c r="J347" i="1"/>
  <c r="A348" i="1"/>
  <c r="B348" i="1"/>
  <c r="G348" i="1"/>
  <c r="H348" i="1"/>
  <c r="J348" i="1"/>
  <c r="A349" i="1"/>
  <c r="B349" i="1"/>
  <c r="G349" i="1"/>
  <c r="H349" i="1"/>
  <c r="J349" i="1"/>
  <c r="A350" i="1"/>
  <c r="B350" i="1"/>
  <c r="G350" i="1"/>
  <c r="H350" i="1"/>
  <c r="J350" i="1"/>
  <c r="A351" i="1"/>
  <c r="B351" i="1"/>
  <c r="G351" i="1"/>
  <c r="H351" i="1"/>
  <c r="J351" i="1"/>
  <c r="A352" i="1"/>
  <c r="B352" i="1"/>
  <c r="G352" i="1"/>
  <c r="H352" i="1"/>
  <c r="J352" i="1"/>
  <c r="A353" i="1"/>
  <c r="B353" i="1"/>
  <c r="G353" i="1"/>
  <c r="H353" i="1"/>
  <c r="J353" i="1"/>
  <c r="A354" i="1"/>
  <c r="B354" i="1"/>
  <c r="G354" i="1"/>
  <c r="H354" i="1"/>
  <c r="J354" i="1"/>
  <c r="A355" i="1"/>
  <c r="B355" i="1"/>
  <c r="G355" i="1"/>
  <c r="H355" i="1"/>
  <c r="J355" i="1"/>
  <c r="A356" i="1"/>
  <c r="B356" i="1"/>
  <c r="G356" i="1"/>
  <c r="H356" i="1"/>
  <c r="J356" i="1"/>
  <c r="A357" i="1"/>
  <c r="B357" i="1"/>
  <c r="G357" i="1"/>
  <c r="H357" i="1"/>
  <c r="J357" i="1"/>
  <c r="A358" i="1"/>
  <c r="B358" i="1"/>
  <c r="G358" i="1"/>
  <c r="H358" i="1"/>
  <c r="J358" i="1"/>
  <c r="A359" i="1"/>
  <c r="B359" i="1"/>
  <c r="G359" i="1"/>
  <c r="H359" i="1"/>
  <c r="J359" i="1"/>
  <c r="A360" i="1"/>
  <c r="B360" i="1"/>
  <c r="G360" i="1"/>
  <c r="H360" i="1"/>
  <c r="J360" i="1"/>
  <c r="A361" i="1"/>
  <c r="B361" i="1"/>
  <c r="G361" i="1"/>
  <c r="H361" i="1"/>
  <c r="J361" i="1"/>
  <c r="A362" i="1"/>
  <c r="B362" i="1"/>
  <c r="G362" i="1"/>
  <c r="H362" i="1"/>
  <c r="J362" i="1"/>
  <c r="A363" i="1"/>
  <c r="B363" i="1"/>
  <c r="G363" i="1"/>
  <c r="H363" i="1"/>
  <c r="J363" i="1"/>
  <c r="A364" i="1"/>
  <c r="B364" i="1"/>
  <c r="G364" i="1"/>
  <c r="H364" i="1"/>
  <c r="J364" i="1"/>
  <c r="A365" i="1"/>
  <c r="B365" i="1"/>
  <c r="G365" i="1"/>
  <c r="H365" i="1"/>
  <c r="J365" i="1"/>
  <c r="A366" i="1"/>
  <c r="B366" i="1"/>
  <c r="G366" i="1"/>
  <c r="H366" i="1"/>
  <c r="J366" i="1"/>
  <c r="A367" i="1"/>
  <c r="B367" i="1"/>
  <c r="G367" i="1"/>
  <c r="H367" i="1"/>
  <c r="J367" i="1"/>
  <c r="A368" i="1"/>
  <c r="B368" i="1"/>
  <c r="G368" i="1"/>
  <c r="H368" i="1"/>
  <c r="J368" i="1"/>
  <c r="A369" i="1"/>
  <c r="B369" i="1"/>
  <c r="G369" i="1"/>
  <c r="H369" i="1"/>
  <c r="J369" i="1"/>
  <c r="A370" i="1"/>
  <c r="B370" i="1"/>
  <c r="G370" i="1"/>
  <c r="H370" i="1"/>
  <c r="J370" i="1"/>
  <c r="A371" i="1"/>
  <c r="B371" i="1"/>
  <c r="G371" i="1"/>
  <c r="H371" i="1"/>
  <c r="A372" i="1"/>
  <c r="B372" i="1"/>
  <c r="G372" i="1"/>
  <c r="H372" i="1"/>
  <c r="J372" i="1"/>
  <c r="A373" i="1"/>
  <c r="B373" i="1"/>
  <c r="G373" i="1"/>
  <c r="H373" i="1"/>
  <c r="J373" i="1"/>
  <c r="A374" i="1"/>
  <c r="B374" i="1"/>
  <c r="G374" i="1"/>
  <c r="H374" i="1"/>
  <c r="J374" i="1"/>
  <c r="A375" i="1"/>
  <c r="B375" i="1"/>
  <c r="G375" i="1"/>
  <c r="H375" i="1"/>
  <c r="J375" i="1"/>
  <c r="A376" i="1"/>
  <c r="B376" i="1"/>
  <c r="G376" i="1"/>
  <c r="H376" i="1"/>
  <c r="J376" i="1"/>
  <c r="A377" i="1"/>
  <c r="B377" i="1"/>
  <c r="G377" i="1"/>
  <c r="H377" i="1"/>
  <c r="J377" i="1"/>
  <c r="A378" i="1"/>
  <c r="B378" i="1"/>
  <c r="G378" i="1"/>
  <c r="H378" i="1"/>
  <c r="J378" i="1"/>
  <c r="A379" i="1"/>
  <c r="B379" i="1"/>
  <c r="G379" i="1"/>
  <c r="H379" i="1"/>
  <c r="J379" i="1"/>
  <c r="A380" i="1"/>
  <c r="B380" i="1"/>
  <c r="G380" i="1"/>
  <c r="H380" i="1"/>
  <c r="J380" i="1"/>
  <c r="A381" i="1"/>
  <c r="B381" i="1"/>
  <c r="G381" i="1"/>
  <c r="H381" i="1"/>
  <c r="J381" i="1"/>
  <c r="A382" i="1"/>
  <c r="B382" i="1"/>
  <c r="G382" i="1"/>
  <c r="H382" i="1"/>
  <c r="J382" i="1"/>
  <c r="A383" i="1"/>
  <c r="B383" i="1"/>
  <c r="G383" i="1"/>
  <c r="H383" i="1"/>
  <c r="J383" i="1"/>
  <c r="A384" i="1"/>
  <c r="B384" i="1"/>
  <c r="G384" i="1"/>
  <c r="H384" i="1"/>
  <c r="J384" i="1"/>
  <c r="A385" i="1"/>
  <c r="B385" i="1"/>
  <c r="G385" i="1"/>
  <c r="H385" i="1"/>
  <c r="J385" i="1"/>
  <c r="A386" i="1"/>
  <c r="B386" i="1"/>
  <c r="G386" i="1"/>
  <c r="H386" i="1"/>
  <c r="J386" i="1"/>
  <c r="A387" i="1"/>
  <c r="B387" i="1"/>
  <c r="G387" i="1"/>
  <c r="H387" i="1"/>
  <c r="J387" i="1"/>
  <c r="A388" i="1"/>
  <c r="B388" i="1"/>
  <c r="G388" i="1"/>
  <c r="H388" i="1"/>
  <c r="J388" i="1"/>
  <c r="A389" i="1"/>
  <c r="B389" i="1"/>
  <c r="G389" i="1"/>
  <c r="H389" i="1"/>
  <c r="J389" i="1"/>
  <c r="A390" i="1"/>
  <c r="B390" i="1"/>
  <c r="G390" i="1"/>
  <c r="H390" i="1"/>
  <c r="J390" i="1"/>
  <c r="A391" i="1"/>
  <c r="B391" i="1"/>
  <c r="G391" i="1"/>
  <c r="H391" i="1"/>
  <c r="J391" i="1"/>
  <c r="A392" i="1"/>
  <c r="B392" i="1"/>
  <c r="G392" i="1"/>
  <c r="H392" i="1"/>
  <c r="J392" i="1"/>
  <c r="A393" i="1"/>
  <c r="B393" i="1"/>
  <c r="G393" i="1"/>
  <c r="H393" i="1"/>
  <c r="J393" i="1"/>
  <c r="A394" i="1"/>
  <c r="B394" i="1"/>
  <c r="G394" i="1"/>
  <c r="H394" i="1"/>
  <c r="J394" i="1"/>
  <c r="A395" i="1"/>
  <c r="B395" i="1"/>
  <c r="G395" i="1"/>
  <c r="H395" i="1"/>
  <c r="J395" i="1"/>
  <c r="A396" i="1"/>
  <c r="B396" i="1"/>
  <c r="G396" i="1"/>
  <c r="H396" i="1"/>
  <c r="J396" i="1"/>
  <c r="A397" i="1"/>
  <c r="B397" i="1"/>
  <c r="G397" i="1"/>
  <c r="H397" i="1"/>
  <c r="J397" i="1"/>
  <c r="A398" i="1"/>
  <c r="B398" i="1"/>
  <c r="G398" i="1"/>
  <c r="H398" i="1"/>
  <c r="J398" i="1"/>
  <c r="A399" i="1"/>
  <c r="B399" i="1"/>
  <c r="G399" i="1"/>
  <c r="H399" i="1"/>
  <c r="J399" i="1"/>
  <c r="A400" i="1"/>
  <c r="B400" i="1"/>
  <c r="G400" i="1"/>
  <c r="H400" i="1"/>
  <c r="J400" i="1"/>
  <c r="A401" i="1"/>
  <c r="B401" i="1"/>
  <c r="G401" i="1"/>
  <c r="H401" i="1"/>
  <c r="J401" i="1"/>
  <c r="A402" i="1"/>
  <c r="B402" i="1"/>
  <c r="G402" i="1"/>
  <c r="H402" i="1"/>
  <c r="J402" i="1"/>
  <c r="A403" i="1"/>
  <c r="B403" i="1"/>
  <c r="G403" i="1"/>
  <c r="H403" i="1"/>
  <c r="J403" i="1"/>
  <c r="A404" i="1"/>
  <c r="B404" i="1"/>
  <c r="G404" i="1"/>
  <c r="H404" i="1"/>
  <c r="J404" i="1"/>
  <c r="A405" i="1"/>
  <c r="B405" i="1"/>
  <c r="G405" i="1"/>
  <c r="H405" i="1"/>
  <c r="J405" i="1"/>
  <c r="A406" i="1"/>
  <c r="B406" i="1"/>
  <c r="G406" i="1"/>
  <c r="H406" i="1"/>
  <c r="J406" i="1"/>
  <c r="A407" i="1"/>
  <c r="B407" i="1"/>
  <c r="G407" i="1"/>
  <c r="H407" i="1"/>
  <c r="J407" i="1"/>
  <c r="A408" i="1"/>
  <c r="B408" i="1"/>
  <c r="G408" i="1"/>
  <c r="H408" i="1"/>
  <c r="J408" i="1"/>
  <c r="A409" i="1"/>
  <c r="B409" i="1"/>
  <c r="G409" i="1"/>
  <c r="H409" i="1"/>
  <c r="J409" i="1"/>
  <c r="A410" i="1"/>
  <c r="B410" i="1"/>
  <c r="G410" i="1"/>
  <c r="H410" i="1"/>
  <c r="J410" i="1"/>
  <c r="A411" i="1"/>
  <c r="B411" i="1"/>
  <c r="G411" i="1"/>
  <c r="H411" i="1"/>
  <c r="J411" i="1"/>
  <c r="A412" i="1"/>
  <c r="B412" i="1"/>
  <c r="G412" i="1"/>
  <c r="H412" i="1"/>
  <c r="J412" i="1"/>
  <c r="A413" i="1"/>
  <c r="B413" i="1"/>
  <c r="G413" i="1"/>
  <c r="H413" i="1"/>
  <c r="J413" i="1"/>
  <c r="A414" i="1"/>
  <c r="B414" i="1"/>
  <c r="G414" i="1"/>
  <c r="H414" i="1"/>
  <c r="J414" i="1"/>
  <c r="A415" i="1"/>
  <c r="B415" i="1"/>
  <c r="G415" i="1"/>
  <c r="H415" i="1"/>
  <c r="J415" i="1"/>
  <c r="A416" i="1"/>
  <c r="B416" i="1"/>
  <c r="G416" i="1"/>
  <c r="H416" i="1"/>
  <c r="J416" i="1"/>
  <c r="A417" i="1"/>
  <c r="B417" i="1"/>
  <c r="G417" i="1"/>
  <c r="H417" i="1"/>
  <c r="J417" i="1"/>
  <c r="A418" i="1"/>
  <c r="B418" i="1"/>
  <c r="G418" i="1"/>
  <c r="H418" i="1"/>
  <c r="J418" i="1"/>
  <c r="A419" i="1"/>
  <c r="B419" i="1"/>
  <c r="G419" i="1"/>
  <c r="H419" i="1"/>
  <c r="J419" i="1"/>
  <c r="A420" i="1"/>
  <c r="B420" i="1"/>
  <c r="G420" i="1"/>
  <c r="H420" i="1"/>
  <c r="J420" i="1"/>
  <c r="A421" i="1"/>
  <c r="B421" i="1"/>
  <c r="G421" i="1"/>
  <c r="H421" i="1"/>
  <c r="J421" i="1"/>
  <c r="A422" i="1"/>
  <c r="B422" i="1"/>
  <c r="G422" i="1"/>
  <c r="H422" i="1"/>
  <c r="J422" i="1"/>
  <c r="A423" i="1"/>
  <c r="B423" i="1"/>
  <c r="G423" i="1"/>
  <c r="H423" i="1"/>
  <c r="J423" i="1"/>
  <c r="A424" i="1"/>
  <c r="B424" i="1"/>
  <c r="G424" i="1"/>
  <c r="H424" i="1"/>
  <c r="J424" i="1"/>
  <c r="A425" i="1"/>
  <c r="B425" i="1"/>
  <c r="G425" i="1"/>
  <c r="H425" i="1"/>
  <c r="J425" i="1"/>
  <c r="A426" i="1"/>
  <c r="B426" i="1"/>
  <c r="G426" i="1"/>
  <c r="H426" i="1"/>
  <c r="J426" i="1"/>
  <c r="A427" i="1"/>
  <c r="B427" i="1"/>
  <c r="G427" i="1"/>
  <c r="H427" i="1"/>
  <c r="J427" i="1"/>
  <c r="A428" i="1"/>
  <c r="B428" i="1"/>
  <c r="G428" i="1"/>
  <c r="H428" i="1"/>
  <c r="J428" i="1"/>
  <c r="A429" i="1"/>
  <c r="B429" i="1"/>
  <c r="G429" i="1"/>
  <c r="H429" i="1"/>
  <c r="J429" i="1"/>
  <c r="A430" i="1"/>
  <c r="B430" i="1"/>
  <c r="G430" i="1"/>
  <c r="H430" i="1"/>
  <c r="J430" i="1"/>
  <c r="A431" i="1"/>
  <c r="B431" i="1"/>
  <c r="G431" i="1"/>
  <c r="H431" i="1"/>
  <c r="J431" i="1"/>
  <c r="A432" i="1"/>
  <c r="B432" i="1"/>
  <c r="G432" i="1"/>
  <c r="H432" i="1"/>
  <c r="J432" i="1"/>
  <c r="A433" i="1"/>
  <c r="B433" i="1"/>
  <c r="G433" i="1"/>
  <c r="H433" i="1"/>
  <c r="J433" i="1"/>
  <c r="A434" i="1"/>
  <c r="B434" i="1"/>
  <c r="G434" i="1"/>
  <c r="H434" i="1"/>
  <c r="J434" i="1"/>
  <c r="A435" i="1"/>
  <c r="B435" i="1"/>
  <c r="G435" i="1"/>
  <c r="H435" i="1"/>
  <c r="J435" i="1"/>
  <c r="A436" i="1"/>
  <c r="B436" i="1"/>
  <c r="G436" i="1"/>
  <c r="H436" i="1"/>
  <c r="J436" i="1"/>
  <c r="A437" i="1"/>
  <c r="B437" i="1"/>
  <c r="G437" i="1"/>
  <c r="H437" i="1"/>
  <c r="J437" i="1"/>
  <c r="A438" i="1"/>
  <c r="B438" i="1"/>
  <c r="G438" i="1"/>
  <c r="H438" i="1"/>
  <c r="J438" i="1"/>
  <c r="A439" i="1"/>
  <c r="B439" i="1"/>
  <c r="G439" i="1"/>
  <c r="H439" i="1"/>
  <c r="J439" i="1"/>
  <c r="A440" i="1"/>
  <c r="B440" i="1"/>
  <c r="G440" i="1"/>
  <c r="H440" i="1"/>
  <c r="J440" i="1"/>
  <c r="A441" i="1"/>
  <c r="B441" i="1"/>
  <c r="G441" i="1"/>
  <c r="H441" i="1"/>
  <c r="J441" i="1"/>
  <c r="A442" i="1"/>
  <c r="B442" i="1"/>
  <c r="G442" i="1"/>
  <c r="H442" i="1"/>
  <c r="J442" i="1"/>
  <c r="A443" i="1"/>
  <c r="B443" i="1"/>
  <c r="G443" i="1"/>
  <c r="H443" i="1"/>
  <c r="J443" i="1"/>
  <c r="A444" i="1"/>
  <c r="B444" i="1"/>
  <c r="G444" i="1"/>
  <c r="H444" i="1"/>
  <c r="J444" i="1"/>
  <c r="A445" i="1"/>
  <c r="B445" i="1"/>
  <c r="G445" i="1"/>
  <c r="H445" i="1"/>
  <c r="J445" i="1"/>
  <c r="A446" i="1"/>
  <c r="B446" i="1"/>
  <c r="G446" i="1"/>
  <c r="H446" i="1"/>
  <c r="J446" i="1"/>
  <c r="A447" i="1"/>
  <c r="B447" i="1"/>
  <c r="G447" i="1"/>
  <c r="H447" i="1"/>
  <c r="J447" i="1"/>
  <c r="A448" i="1"/>
  <c r="B448" i="1"/>
  <c r="G448" i="1"/>
  <c r="H448" i="1"/>
  <c r="J448" i="1"/>
  <c r="A449" i="1"/>
  <c r="B449" i="1"/>
  <c r="G449" i="1"/>
  <c r="H449" i="1"/>
  <c r="J449" i="1"/>
  <c r="A450" i="1"/>
  <c r="B450" i="1"/>
  <c r="G450" i="1"/>
  <c r="H450" i="1"/>
  <c r="J450" i="1"/>
  <c r="A451" i="1"/>
  <c r="B451" i="1"/>
  <c r="G451" i="1"/>
  <c r="H451" i="1"/>
  <c r="J451" i="1"/>
  <c r="A452" i="1"/>
  <c r="B452" i="1"/>
  <c r="G452" i="1"/>
  <c r="H452" i="1"/>
  <c r="J452" i="1"/>
  <c r="A453" i="1"/>
  <c r="B453" i="1"/>
  <c r="G453" i="1"/>
  <c r="H453" i="1"/>
  <c r="J453" i="1"/>
  <c r="A454" i="1"/>
  <c r="B454" i="1"/>
  <c r="G454" i="1"/>
  <c r="H454" i="1"/>
  <c r="J454" i="1"/>
  <c r="A455" i="1"/>
  <c r="B455" i="1"/>
  <c r="G455" i="1"/>
  <c r="H455" i="1"/>
  <c r="J455" i="1"/>
  <c r="A456" i="1"/>
  <c r="B456" i="1"/>
  <c r="G456" i="1"/>
  <c r="H456" i="1"/>
  <c r="J456" i="1"/>
  <c r="A457" i="1"/>
  <c r="B457" i="1"/>
  <c r="G457" i="1"/>
  <c r="H457" i="1"/>
  <c r="J457" i="1"/>
  <c r="A458" i="1"/>
  <c r="B458" i="1"/>
  <c r="G458" i="1"/>
  <c r="H458" i="1"/>
  <c r="J458" i="1"/>
  <c r="A459" i="1"/>
  <c r="B459" i="1"/>
  <c r="G459" i="1"/>
  <c r="H459" i="1"/>
  <c r="J459" i="1"/>
  <c r="A460" i="1"/>
  <c r="B460" i="1"/>
  <c r="G460" i="1"/>
  <c r="H460" i="1"/>
  <c r="J460" i="1"/>
  <c r="A461" i="1"/>
  <c r="B461" i="1"/>
  <c r="G461" i="1"/>
  <c r="H461" i="1"/>
  <c r="J461" i="1"/>
  <c r="A462" i="1"/>
  <c r="B462" i="1"/>
  <c r="G462" i="1"/>
  <c r="H462" i="1"/>
  <c r="J462" i="1"/>
  <c r="A463" i="1"/>
  <c r="B463" i="1"/>
  <c r="G463" i="1"/>
  <c r="H463" i="1"/>
  <c r="J463" i="1"/>
  <c r="A464" i="1"/>
  <c r="B464" i="1"/>
  <c r="G464" i="1"/>
  <c r="H464" i="1"/>
  <c r="J464" i="1"/>
  <c r="A465" i="1"/>
  <c r="B465" i="1"/>
  <c r="G465" i="1"/>
  <c r="H465" i="1"/>
  <c r="J465" i="1"/>
  <c r="A466" i="1"/>
  <c r="B466" i="1"/>
  <c r="G466" i="1"/>
  <c r="H466" i="1"/>
  <c r="J466" i="1"/>
  <c r="A467" i="1"/>
  <c r="B467" i="1"/>
  <c r="G467" i="1"/>
  <c r="H467" i="1"/>
  <c r="J467" i="1"/>
  <c r="A468" i="1"/>
  <c r="B468" i="1"/>
  <c r="G468" i="1"/>
  <c r="H468" i="1"/>
  <c r="A469" i="1"/>
  <c r="B469" i="1"/>
  <c r="G469" i="1"/>
  <c r="H469" i="1"/>
  <c r="A470" i="1"/>
  <c r="B470" i="1"/>
  <c r="G470" i="1"/>
  <c r="H470" i="1"/>
  <c r="A471" i="1"/>
  <c r="B471" i="1"/>
  <c r="G471" i="1"/>
  <c r="H471" i="1"/>
  <c r="J471" i="1"/>
  <c r="A472" i="1"/>
  <c r="B472" i="1"/>
  <c r="G472" i="1"/>
  <c r="H472" i="1"/>
  <c r="J472" i="1"/>
  <c r="A473" i="1"/>
  <c r="B473" i="1"/>
  <c r="G473" i="1"/>
  <c r="H473" i="1"/>
  <c r="J473" i="1"/>
  <c r="A474" i="1"/>
  <c r="B474" i="1"/>
  <c r="G474" i="1"/>
  <c r="H474" i="1"/>
  <c r="J474" i="1"/>
  <c r="A475" i="1"/>
  <c r="B475" i="1"/>
  <c r="G475" i="1"/>
  <c r="H475" i="1"/>
  <c r="J475" i="1"/>
  <c r="A476" i="1"/>
  <c r="B476" i="1"/>
  <c r="G476" i="1"/>
  <c r="H476" i="1"/>
  <c r="J476" i="1"/>
  <c r="A477" i="1"/>
  <c r="B477" i="1"/>
  <c r="G477" i="1"/>
  <c r="H477" i="1"/>
  <c r="J477" i="1"/>
  <c r="A478" i="1"/>
  <c r="B478" i="1"/>
  <c r="G478" i="1"/>
  <c r="H478" i="1"/>
  <c r="J478" i="1"/>
  <c r="A479" i="1"/>
  <c r="B479" i="1"/>
  <c r="G479" i="1"/>
  <c r="H479" i="1"/>
  <c r="J479" i="1"/>
  <c r="A480" i="1"/>
  <c r="B480" i="1"/>
  <c r="G480" i="1"/>
  <c r="H480" i="1"/>
  <c r="J480" i="1"/>
  <c r="A481" i="1"/>
  <c r="B481" i="1"/>
  <c r="G481" i="1"/>
  <c r="H481" i="1"/>
  <c r="J481" i="1"/>
  <c r="A482" i="1"/>
  <c r="B482" i="1"/>
  <c r="G482" i="1"/>
  <c r="H482" i="1"/>
  <c r="J482" i="1"/>
  <c r="A483" i="1"/>
  <c r="B483" i="1"/>
  <c r="G483" i="1"/>
  <c r="H483" i="1"/>
  <c r="J483" i="1"/>
  <c r="A484" i="1"/>
  <c r="B484" i="1"/>
  <c r="G484" i="1"/>
  <c r="H484" i="1"/>
  <c r="J484" i="1"/>
  <c r="A485" i="1"/>
  <c r="B485" i="1"/>
  <c r="G485" i="1"/>
  <c r="H485" i="1"/>
  <c r="J485" i="1"/>
  <c r="A486" i="1"/>
  <c r="B486" i="1"/>
  <c r="G486" i="1"/>
  <c r="H486" i="1"/>
  <c r="J486" i="1"/>
  <c r="A487" i="1"/>
  <c r="B487" i="1"/>
  <c r="G487" i="1"/>
  <c r="H487" i="1"/>
  <c r="J487" i="1"/>
  <c r="A488" i="1"/>
  <c r="B488" i="1"/>
  <c r="G488" i="1"/>
  <c r="H488" i="1"/>
  <c r="J488" i="1"/>
  <c r="A489" i="1"/>
  <c r="B489" i="1"/>
  <c r="G489" i="1"/>
  <c r="H489" i="1"/>
  <c r="J489" i="1"/>
  <c r="A490" i="1"/>
  <c r="B490" i="1"/>
  <c r="G490" i="1"/>
  <c r="H490" i="1"/>
  <c r="J490" i="1"/>
  <c r="A491" i="1"/>
  <c r="B491" i="1"/>
  <c r="G491" i="1"/>
  <c r="H491" i="1"/>
  <c r="J491" i="1"/>
  <c r="A492" i="1"/>
  <c r="B492" i="1"/>
  <c r="G492" i="1"/>
  <c r="H492" i="1"/>
  <c r="J492" i="1"/>
  <c r="A493" i="1"/>
  <c r="B493" i="1"/>
  <c r="G493" i="1"/>
  <c r="H493" i="1"/>
  <c r="J493" i="1"/>
  <c r="A494" i="1"/>
  <c r="B494" i="1"/>
  <c r="G494" i="1"/>
  <c r="H494" i="1"/>
  <c r="J494" i="1"/>
  <c r="A495" i="1"/>
  <c r="B495" i="1"/>
  <c r="G495" i="1"/>
  <c r="H495" i="1"/>
  <c r="J495" i="1"/>
  <c r="A496" i="1"/>
  <c r="B496" i="1"/>
  <c r="G496" i="1"/>
  <c r="H496" i="1"/>
  <c r="J496" i="1"/>
  <c r="A497" i="1"/>
  <c r="B497" i="1"/>
  <c r="G497" i="1"/>
  <c r="H497" i="1"/>
  <c r="J497" i="1"/>
  <c r="A498" i="1"/>
  <c r="B498" i="1"/>
  <c r="G498" i="1"/>
  <c r="H498" i="1"/>
  <c r="J498" i="1"/>
  <c r="A499" i="1"/>
  <c r="B499" i="1"/>
  <c r="G499" i="1"/>
  <c r="H499" i="1"/>
  <c r="J499" i="1"/>
  <c r="A500" i="1"/>
  <c r="B500" i="1"/>
  <c r="G500" i="1"/>
  <c r="H500" i="1"/>
  <c r="J500" i="1"/>
  <c r="A501" i="1"/>
  <c r="B501" i="1"/>
  <c r="G501" i="1"/>
  <c r="H501" i="1"/>
  <c r="J501" i="1"/>
  <c r="A502" i="1"/>
  <c r="B502" i="1"/>
  <c r="G502" i="1"/>
  <c r="H502" i="1"/>
  <c r="J502" i="1"/>
  <c r="A503" i="1"/>
  <c r="B503" i="1"/>
  <c r="G503" i="1"/>
  <c r="H503" i="1"/>
  <c r="J503" i="1"/>
  <c r="A504" i="1"/>
  <c r="B504" i="1"/>
  <c r="G504" i="1"/>
  <c r="H504" i="1"/>
  <c r="J504" i="1"/>
  <c r="A505" i="1"/>
  <c r="B505" i="1"/>
  <c r="G505" i="1"/>
  <c r="H505" i="1"/>
  <c r="J505" i="1"/>
  <c r="A506" i="1"/>
  <c r="B506" i="1"/>
  <c r="G506" i="1"/>
  <c r="H506" i="1"/>
  <c r="J506" i="1"/>
  <c r="A507" i="1"/>
  <c r="B507" i="1"/>
  <c r="G507" i="1"/>
  <c r="H507" i="1"/>
  <c r="J507" i="1"/>
  <c r="A508" i="1"/>
  <c r="B508" i="1"/>
  <c r="G508" i="1"/>
  <c r="H508" i="1"/>
  <c r="J508" i="1"/>
  <c r="A509" i="1"/>
  <c r="B509" i="1"/>
  <c r="G509" i="1"/>
  <c r="H509" i="1"/>
  <c r="J509" i="1"/>
  <c r="A510" i="1"/>
  <c r="B510" i="1"/>
  <c r="G510" i="1"/>
  <c r="H510" i="1"/>
  <c r="J510" i="1"/>
  <c r="A511" i="1"/>
  <c r="B511" i="1"/>
  <c r="G511" i="1"/>
  <c r="H511" i="1"/>
  <c r="J511" i="1"/>
  <c r="A512" i="1"/>
  <c r="B512" i="1"/>
  <c r="G512" i="1"/>
  <c r="H512" i="1"/>
  <c r="J512" i="1"/>
  <c r="A513" i="1"/>
  <c r="B513" i="1"/>
  <c r="G513" i="1"/>
  <c r="H513" i="1"/>
  <c r="J513" i="1"/>
  <c r="A514" i="1"/>
  <c r="B514" i="1"/>
  <c r="G514" i="1"/>
  <c r="H514" i="1"/>
  <c r="J514" i="1"/>
  <c r="A515" i="1"/>
  <c r="B515" i="1"/>
  <c r="G515" i="1"/>
  <c r="A516" i="1"/>
  <c r="B516" i="1"/>
  <c r="G516" i="1"/>
  <c r="H516" i="1"/>
  <c r="J516" i="1"/>
  <c r="A517" i="1"/>
  <c r="B517" i="1"/>
  <c r="G517" i="1"/>
  <c r="H517" i="1"/>
  <c r="J517" i="1"/>
  <c r="A518" i="1"/>
  <c r="B518" i="1"/>
  <c r="G518" i="1"/>
  <c r="H518" i="1"/>
  <c r="J518" i="1"/>
  <c r="A519" i="1"/>
  <c r="B519" i="1"/>
  <c r="G519" i="1"/>
  <c r="H519" i="1"/>
  <c r="J519" i="1"/>
  <c r="A520" i="1"/>
  <c r="B520" i="1"/>
  <c r="G520" i="1"/>
  <c r="H520" i="1"/>
  <c r="J520" i="1"/>
  <c r="A521" i="1"/>
  <c r="B521" i="1"/>
  <c r="G521" i="1"/>
  <c r="H521" i="1"/>
  <c r="J521" i="1"/>
  <c r="A522" i="1"/>
  <c r="B522" i="1"/>
  <c r="G522" i="1"/>
  <c r="H522" i="1"/>
  <c r="J522" i="1"/>
  <c r="A523" i="1"/>
  <c r="B523" i="1"/>
  <c r="G523" i="1"/>
  <c r="H523" i="1"/>
  <c r="J523" i="1"/>
  <c r="A524" i="1"/>
  <c r="B524" i="1"/>
  <c r="G524" i="1"/>
  <c r="H524" i="1"/>
  <c r="J524" i="1"/>
  <c r="A525" i="1"/>
  <c r="B525" i="1"/>
  <c r="G525" i="1"/>
  <c r="H525" i="1"/>
  <c r="J525" i="1"/>
  <c r="A526" i="1"/>
  <c r="B526" i="1"/>
  <c r="G526" i="1"/>
  <c r="H526" i="1"/>
  <c r="J526" i="1"/>
  <c r="A527" i="1"/>
  <c r="B527" i="1"/>
  <c r="G527" i="1"/>
  <c r="H527" i="1"/>
  <c r="J527" i="1"/>
  <c r="A528" i="1"/>
  <c r="B528" i="1"/>
  <c r="G528" i="1"/>
  <c r="H528" i="1"/>
  <c r="J528" i="1"/>
  <c r="A529" i="1"/>
  <c r="B529" i="1"/>
  <c r="G529" i="1"/>
  <c r="H529" i="1"/>
  <c r="J529" i="1"/>
  <c r="A530" i="1"/>
  <c r="B530" i="1"/>
  <c r="G530" i="1"/>
  <c r="H530" i="1"/>
  <c r="J530" i="1"/>
  <c r="A531" i="1"/>
  <c r="B531" i="1"/>
  <c r="G531" i="1"/>
  <c r="H531" i="1"/>
  <c r="J531" i="1"/>
  <c r="A532" i="1"/>
  <c r="B532" i="1"/>
  <c r="G532" i="1"/>
  <c r="H532" i="1"/>
  <c r="J532" i="1"/>
  <c r="A533" i="1"/>
  <c r="B533" i="1"/>
  <c r="G533" i="1"/>
  <c r="H533" i="1"/>
  <c r="J533" i="1"/>
  <c r="A534" i="1"/>
  <c r="B534" i="1"/>
  <c r="G534" i="1"/>
  <c r="H534" i="1"/>
  <c r="J534" i="1"/>
  <c r="A535" i="1"/>
  <c r="B535" i="1"/>
  <c r="G535" i="1"/>
  <c r="H535" i="1"/>
  <c r="J535" i="1"/>
  <c r="A536" i="1"/>
  <c r="B536" i="1"/>
  <c r="G536" i="1"/>
  <c r="H536" i="1"/>
  <c r="J536" i="1"/>
  <c r="A537" i="1"/>
  <c r="B537" i="1"/>
  <c r="G537" i="1"/>
  <c r="H537" i="1"/>
  <c r="J537" i="1"/>
  <c r="A538" i="1"/>
  <c r="B538" i="1"/>
  <c r="G538" i="1"/>
  <c r="H538" i="1"/>
  <c r="J538" i="1"/>
  <c r="A539" i="1"/>
  <c r="B539" i="1"/>
  <c r="G539" i="1"/>
  <c r="H539" i="1"/>
  <c r="J539" i="1"/>
  <c r="A540" i="1"/>
  <c r="B540" i="1"/>
  <c r="G540" i="1"/>
  <c r="H540" i="1"/>
  <c r="J540" i="1"/>
  <c r="A541" i="1"/>
  <c r="B541" i="1"/>
  <c r="G541" i="1"/>
  <c r="H541" i="1"/>
  <c r="J541" i="1"/>
  <c r="A542" i="1"/>
  <c r="B542" i="1"/>
  <c r="G542" i="1"/>
  <c r="H542" i="1"/>
  <c r="J542" i="1"/>
  <c r="A543" i="1"/>
  <c r="B543" i="1"/>
  <c r="G543" i="1"/>
  <c r="H543" i="1"/>
  <c r="J543" i="1"/>
  <c r="A544" i="1"/>
  <c r="B544" i="1"/>
  <c r="G544" i="1"/>
  <c r="H544" i="1"/>
  <c r="J544" i="1"/>
  <c r="A545" i="1"/>
  <c r="B545" i="1"/>
  <c r="G545" i="1"/>
  <c r="H545" i="1"/>
  <c r="J545" i="1"/>
  <c r="A546" i="1"/>
  <c r="B546" i="1"/>
  <c r="G546" i="1"/>
  <c r="H546" i="1"/>
  <c r="J546" i="1"/>
  <c r="A547" i="1"/>
  <c r="B547" i="1"/>
  <c r="G547" i="1"/>
  <c r="H547" i="1"/>
  <c r="J547" i="1"/>
  <c r="A548" i="1"/>
  <c r="B548" i="1"/>
  <c r="G548" i="1"/>
  <c r="H548" i="1"/>
  <c r="J548" i="1"/>
  <c r="A549" i="1"/>
  <c r="B549" i="1"/>
  <c r="G549" i="1"/>
  <c r="H549" i="1"/>
  <c r="J549" i="1"/>
  <c r="A550" i="1"/>
  <c r="B550" i="1"/>
  <c r="G550" i="1"/>
  <c r="H550" i="1"/>
  <c r="J550" i="1"/>
  <c r="A551" i="1"/>
  <c r="B551" i="1"/>
  <c r="G551" i="1"/>
  <c r="H551" i="1"/>
  <c r="J551" i="1"/>
  <c r="A552" i="1"/>
  <c r="B552" i="1"/>
  <c r="G552" i="1"/>
  <c r="H552" i="1"/>
  <c r="J552" i="1"/>
  <c r="A553" i="1"/>
  <c r="B553" i="1"/>
  <c r="G553" i="1"/>
  <c r="H553" i="1"/>
  <c r="J553" i="1"/>
  <c r="A554" i="1"/>
  <c r="B554" i="1"/>
  <c r="G554" i="1"/>
  <c r="H554" i="1"/>
  <c r="J554" i="1"/>
  <c r="A555" i="1"/>
  <c r="B555" i="1"/>
  <c r="G555" i="1"/>
  <c r="H555" i="1"/>
  <c r="J555" i="1"/>
  <c r="A556" i="1"/>
  <c r="B556" i="1"/>
  <c r="G556" i="1"/>
  <c r="H556" i="1"/>
  <c r="J556" i="1"/>
  <c r="A557" i="1"/>
  <c r="B557" i="1"/>
  <c r="G557" i="1"/>
  <c r="H557" i="1"/>
  <c r="J557" i="1"/>
  <c r="A558" i="1"/>
  <c r="B558" i="1"/>
  <c r="G558" i="1"/>
  <c r="H558" i="1"/>
  <c r="J558" i="1"/>
  <c r="A559" i="1"/>
  <c r="B559" i="1"/>
  <c r="G559" i="1"/>
  <c r="H559" i="1"/>
  <c r="J559" i="1"/>
  <c r="A560" i="1"/>
  <c r="B560" i="1"/>
  <c r="G560" i="1"/>
  <c r="H560" i="1"/>
  <c r="J560" i="1"/>
  <c r="A561" i="1"/>
  <c r="B561" i="1"/>
  <c r="G561" i="1"/>
  <c r="H561" i="1"/>
  <c r="J561" i="1"/>
  <c r="A562" i="1"/>
  <c r="B562" i="1"/>
  <c r="G562" i="1"/>
  <c r="H562" i="1"/>
  <c r="J562" i="1"/>
  <c r="A563" i="1"/>
  <c r="B563" i="1"/>
  <c r="G563" i="1"/>
  <c r="H563" i="1"/>
  <c r="J563" i="1"/>
  <c r="A564" i="1"/>
  <c r="B564" i="1"/>
  <c r="G564" i="1"/>
  <c r="H564" i="1"/>
  <c r="J564" i="1"/>
  <c r="A565" i="1"/>
  <c r="B565" i="1"/>
  <c r="G565" i="1"/>
  <c r="H565" i="1"/>
  <c r="J565" i="1"/>
  <c r="A566" i="1"/>
  <c r="B566" i="1"/>
  <c r="G566" i="1"/>
  <c r="H566" i="1"/>
  <c r="J566" i="1"/>
  <c r="A567" i="1"/>
  <c r="B567" i="1"/>
  <c r="G567" i="1"/>
  <c r="H567" i="1"/>
  <c r="J567" i="1"/>
  <c r="A568" i="1"/>
  <c r="B568" i="1"/>
  <c r="G568" i="1"/>
  <c r="H568" i="1"/>
  <c r="J568" i="1"/>
  <c r="A569" i="1"/>
  <c r="B569" i="1"/>
  <c r="G569" i="1"/>
  <c r="H569" i="1"/>
  <c r="J569" i="1"/>
  <c r="A570" i="1"/>
  <c r="B570" i="1"/>
  <c r="G570" i="1"/>
  <c r="H570" i="1"/>
  <c r="J570" i="1"/>
  <c r="A571" i="1"/>
  <c r="B571" i="1"/>
  <c r="G571" i="1"/>
  <c r="H571" i="1"/>
  <c r="J571" i="1"/>
  <c r="A572" i="1"/>
  <c r="B572" i="1"/>
  <c r="G572" i="1"/>
  <c r="H572" i="1"/>
  <c r="J572" i="1"/>
  <c r="A573" i="1"/>
  <c r="B573" i="1"/>
  <c r="G573" i="1"/>
  <c r="H573" i="1"/>
  <c r="J573" i="1"/>
  <c r="A574" i="1"/>
  <c r="B574" i="1"/>
  <c r="G574" i="1"/>
  <c r="H574" i="1"/>
  <c r="J574" i="1"/>
  <c r="A575" i="1"/>
  <c r="B575" i="1"/>
  <c r="G575" i="1"/>
  <c r="H575" i="1"/>
  <c r="J575" i="1"/>
  <c r="A576" i="1"/>
  <c r="B576" i="1"/>
  <c r="G576" i="1"/>
  <c r="H576" i="1"/>
  <c r="J576" i="1"/>
  <c r="A577" i="1"/>
  <c r="B577" i="1"/>
  <c r="G577" i="1"/>
  <c r="H577" i="1"/>
  <c r="J577" i="1"/>
  <c r="A578" i="1"/>
  <c r="B578" i="1"/>
  <c r="G578" i="1"/>
  <c r="H578" i="1"/>
  <c r="J578" i="1"/>
  <c r="A579" i="1"/>
  <c r="B579" i="1"/>
  <c r="G579" i="1"/>
  <c r="H579" i="1"/>
  <c r="J579" i="1"/>
  <c r="A580" i="1"/>
  <c r="B580" i="1"/>
  <c r="G580" i="1"/>
  <c r="H580" i="1"/>
  <c r="J580" i="1"/>
  <c r="A581" i="1"/>
  <c r="B581" i="1"/>
  <c r="G581" i="1"/>
  <c r="H581" i="1"/>
  <c r="J581" i="1"/>
  <c r="A582" i="1"/>
  <c r="B582" i="1"/>
  <c r="G582" i="1"/>
  <c r="H582" i="1"/>
  <c r="J582" i="1"/>
  <c r="A583" i="1"/>
  <c r="B583" i="1"/>
  <c r="G583" i="1"/>
  <c r="H583" i="1"/>
  <c r="J583" i="1"/>
  <c r="A584" i="1"/>
  <c r="B584" i="1"/>
  <c r="G584" i="1"/>
  <c r="H584" i="1"/>
  <c r="J584" i="1"/>
  <c r="A585" i="1"/>
  <c r="B585" i="1"/>
  <c r="G585" i="1"/>
  <c r="H585" i="1"/>
  <c r="J585" i="1"/>
  <c r="A586" i="1"/>
  <c r="B586" i="1"/>
  <c r="G586" i="1"/>
  <c r="H586" i="1"/>
  <c r="J586" i="1"/>
  <c r="A587" i="1"/>
  <c r="B587" i="1"/>
  <c r="G587" i="1"/>
  <c r="H587" i="1"/>
  <c r="J587" i="1"/>
  <c r="A588" i="1"/>
  <c r="B588" i="1"/>
  <c r="G588" i="1"/>
  <c r="H588" i="1"/>
  <c r="J588" i="1"/>
  <c r="A589" i="1"/>
  <c r="B589" i="1"/>
  <c r="G589" i="1"/>
  <c r="H589" i="1"/>
  <c r="J589" i="1"/>
  <c r="A590" i="1"/>
  <c r="B590" i="1"/>
  <c r="G590" i="1"/>
  <c r="H590" i="1"/>
  <c r="J590" i="1"/>
  <c r="A591" i="1"/>
  <c r="B591" i="1"/>
  <c r="G591" i="1"/>
  <c r="H591" i="1"/>
  <c r="J591" i="1"/>
  <c r="A592" i="1"/>
  <c r="B592" i="1"/>
  <c r="G592" i="1"/>
  <c r="H592" i="1"/>
  <c r="J592" i="1"/>
  <c r="A593" i="1"/>
  <c r="B593" i="1"/>
  <c r="G593" i="1"/>
  <c r="H593" i="1"/>
  <c r="J593" i="1"/>
  <c r="A594" i="1"/>
  <c r="B594" i="1"/>
  <c r="G594" i="1"/>
  <c r="H594" i="1"/>
  <c r="J594" i="1"/>
  <c r="A595" i="1"/>
  <c r="B595" i="1"/>
  <c r="G595" i="1"/>
  <c r="H595" i="1"/>
  <c r="J595" i="1"/>
  <c r="A596" i="1"/>
  <c r="B596" i="1"/>
  <c r="G596" i="1"/>
  <c r="H596" i="1"/>
  <c r="J596" i="1"/>
  <c r="A597" i="1"/>
  <c r="B597" i="1"/>
  <c r="G597" i="1"/>
  <c r="H597" i="1"/>
  <c r="J597" i="1"/>
  <c r="A598" i="1"/>
  <c r="B598" i="1"/>
  <c r="G598" i="1"/>
  <c r="H598" i="1"/>
  <c r="J598" i="1"/>
  <c r="A599" i="1"/>
  <c r="B599" i="1"/>
  <c r="G599" i="1"/>
  <c r="H599" i="1"/>
  <c r="J599" i="1"/>
  <c r="A600" i="1"/>
  <c r="B600" i="1"/>
  <c r="G600" i="1"/>
  <c r="H600" i="1"/>
  <c r="J600" i="1"/>
  <c r="A601" i="1"/>
  <c r="B601" i="1"/>
  <c r="G601" i="1"/>
  <c r="H601" i="1"/>
  <c r="J601" i="1"/>
  <c r="A602" i="1"/>
  <c r="B602" i="1"/>
  <c r="G602" i="1"/>
  <c r="H602" i="1"/>
  <c r="J602" i="1"/>
  <c r="A603" i="1"/>
  <c r="B603" i="1"/>
  <c r="G603" i="1"/>
  <c r="H603" i="1"/>
  <c r="J603" i="1"/>
  <c r="A604" i="1"/>
  <c r="B604" i="1"/>
  <c r="G604" i="1"/>
  <c r="H604" i="1"/>
  <c r="J604" i="1"/>
  <c r="A605" i="1"/>
  <c r="B605" i="1"/>
  <c r="G605" i="1"/>
  <c r="H605" i="1"/>
  <c r="J605" i="1"/>
  <c r="A606" i="1"/>
  <c r="B606" i="1"/>
  <c r="G606" i="1"/>
  <c r="H606" i="1"/>
  <c r="J606" i="1"/>
  <c r="A607" i="1"/>
  <c r="B607" i="1"/>
  <c r="G607" i="1"/>
  <c r="H607" i="1"/>
  <c r="J607" i="1"/>
  <c r="A608" i="1"/>
  <c r="B608" i="1"/>
  <c r="G608" i="1"/>
  <c r="H608" i="1"/>
  <c r="J608" i="1"/>
  <c r="A609" i="1"/>
  <c r="B609" i="1"/>
  <c r="G609" i="1"/>
  <c r="H609" i="1"/>
  <c r="J609" i="1"/>
  <c r="A610" i="1"/>
  <c r="B610" i="1"/>
  <c r="G610" i="1"/>
  <c r="H610" i="1"/>
  <c r="J610" i="1"/>
  <c r="A611" i="1"/>
  <c r="B611" i="1"/>
  <c r="G611" i="1"/>
  <c r="H611" i="1"/>
  <c r="J611" i="1"/>
  <c r="A612" i="1"/>
  <c r="B612" i="1"/>
  <c r="G612" i="1"/>
  <c r="H612" i="1"/>
  <c r="J612" i="1"/>
  <c r="A613" i="1"/>
  <c r="B613" i="1"/>
  <c r="G613" i="1"/>
  <c r="H613" i="1"/>
  <c r="J613" i="1"/>
  <c r="A614" i="1"/>
  <c r="B614" i="1"/>
  <c r="G614" i="1"/>
  <c r="H614" i="1"/>
  <c r="J614" i="1"/>
  <c r="A615" i="1"/>
  <c r="B615" i="1"/>
  <c r="G615" i="1"/>
  <c r="H615" i="1"/>
  <c r="J615" i="1"/>
  <c r="A616" i="1"/>
  <c r="B616" i="1"/>
  <c r="G616" i="1"/>
  <c r="H616" i="1"/>
  <c r="J616" i="1"/>
  <c r="A617" i="1"/>
  <c r="B617" i="1"/>
  <c r="G617" i="1"/>
  <c r="H617" i="1"/>
  <c r="J617" i="1"/>
  <c r="A618" i="1"/>
  <c r="B618" i="1"/>
  <c r="G618" i="1"/>
  <c r="H618" i="1"/>
  <c r="J618" i="1"/>
  <c r="A619" i="1"/>
  <c r="B619" i="1"/>
  <c r="G619" i="1"/>
  <c r="H619" i="1"/>
  <c r="J619" i="1"/>
  <c r="A620" i="1"/>
  <c r="B620" i="1"/>
  <c r="G620" i="1"/>
  <c r="H620" i="1"/>
  <c r="J620" i="1"/>
  <c r="A621" i="1"/>
  <c r="B621" i="1"/>
  <c r="G621" i="1"/>
  <c r="H621" i="1"/>
  <c r="J621" i="1"/>
  <c r="A622" i="1"/>
  <c r="B622" i="1"/>
  <c r="G622" i="1"/>
  <c r="H622" i="1"/>
  <c r="J622" i="1"/>
  <c r="A623" i="1"/>
  <c r="B623" i="1"/>
  <c r="G623" i="1"/>
  <c r="H623" i="1"/>
  <c r="J623" i="1"/>
  <c r="A624" i="1"/>
  <c r="B624" i="1"/>
  <c r="G624" i="1"/>
  <c r="H624" i="1"/>
  <c r="J624" i="1"/>
  <c r="A625" i="1"/>
  <c r="B625" i="1"/>
  <c r="G625" i="1"/>
  <c r="H625" i="1"/>
  <c r="J625" i="1"/>
  <c r="A626" i="1"/>
  <c r="B626" i="1"/>
  <c r="G626" i="1"/>
  <c r="H626" i="1"/>
  <c r="J626" i="1"/>
  <c r="A627" i="1"/>
  <c r="B627" i="1"/>
  <c r="I627" i="1"/>
  <c r="J627" i="1"/>
  <c r="A628" i="1"/>
  <c r="B628" i="1"/>
  <c r="G628" i="1"/>
  <c r="H628" i="1"/>
  <c r="J628" i="1"/>
  <c r="A629" i="1"/>
  <c r="B629" i="1"/>
  <c r="G629" i="1"/>
  <c r="H629" i="1"/>
  <c r="J629" i="1"/>
  <c r="A630" i="1"/>
  <c r="B630" i="1"/>
  <c r="G630" i="1"/>
  <c r="H630" i="1"/>
  <c r="J630" i="1"/>
  <c r="A631" i="1"/>
  <c r="B631" i="1"/>
  <c r="G631" i="1"/>
  <c r="H631" i="1"/>
  <c r="J631" i="1"/>
  <c r="A632" i="1"/>
  <c r="B632" i="1"/>
  <c r="I632" i="1"/>
  <c r="J632" i="1"/>
  <c r="A633" i="1"/>
  <c r="B633" i="1"/>
  <c r="G633" i="1"/>
  <c r="H633" i="1"/>
  <c r="J633" i="1"/>
  <c r="A634" i="1"/>
  <c r="B634" i="1"/>
  <c r="G634" i="1"/>
  <c r="H634" i="1"/>
  <c r="J634" i="1"/>
  <c r="A635" i="1"/>
  <c r="B635" i="1"/>
  <c r="G635" i="1"/>
  <c r="H635" i="1"/>
  <c r="J635" i="1"/>
  <c r="A636" i="1"/>
  <c r="B636" i="1"/>
  <c r="G636" i="1"/>
  <c r="H636" i="1"/>
  <c r="J636" i="1"/>
  <c r="A637" i="1"/>
  <c r="B637" i="1"/>
  <c r="G637" i="1"/>
  <c r="H637" i="1"/>
  <c r="J637" i="1"/>
  <c r="A638" i="1"/>
  <c r="B638" i="1"/>
  <c r="G638" i="1"/>
  <c r="H638" i="1"/>
  <c r="J638" i="1"/>
  <c r="A639" i="1"/>
  <c r="B639" i="1"/>
  <c r="G639" i="1"/>
  <c r="H639" i="1"/>
  <c r="J639" i="1"/>
  <c r="A640" i="1"/>
  <c r="B640" i="1"/>
  <c r="I640" i="1"/>
  <c r="J640" i="1"/>
  <c r="A641" i="1"/>
  <c r="B641" i="1"/>
  <c r="G641" i="1"/>
  <c r="H641" i="1"/>
  <c r="J641" i="1"/>
  <c r="A642" i="1"/>
  <c r="B642" i="1"/>
  <c r="G642" i="1"/>
  <c r="H642" i="1"/>
  <c r="J642" i="1"/>
  <c r="A643" i="1"/>
  <c r="B643" i="1"/>
  <c r="G643" i="1"/>
  <c r="H643" i="1"/>
  <c r="J643" i="1"/>
  <c r="A644" i="1"/>
  <c r="B644" i="1"/>
  <c r="G644" i="1"/>
  <c r="H644" i="1"/>
  <c r="J644" i="1"/>
  <c r="A645" i="1"/>
  <c r="B645" i="1"/>
  <c r="G645" i="1"/>
  <c r="H645" i="1"/>
  <c r="J645" i="1"/>
  <c r="A646" i="1"/>
  <c r="B646" i="1"/>
  <c r="G646" i="1"/>
  <c r="H646" i="1"/>
  <c r="J646" i="1"/>
  <c r="A647" i="1"/>
  <c r="B647" i="1"/>
  <c r="G647" i="1"/>
  <c r="H647" i="1"/>
  <c r="J647" i="1"/>
  <c r="A648" i="1"/>
  <c r="B648" i="1"/>
  <c r="G648" i="1"/>
  <c r="H648" i="1"/>
  <c r="J648" i="1"/>
  <c r="A649" i="1"/>
  <c r="B649" i="1"/>
  <c r="G649" i="1"/>
  <c r="H649" i="1"/>
  <c r="J649" i="1"/>
  <c r="A650" i="1"/>
  <c r="B650" i="1"/>
  <c r="G650" i="1"/>
  <c r="H650" i="1"/>
  <c r="J650" i="1"/>
  <c r="A651" i="1"/>
  <c r="B651" i="1"/>
  <c r="G651" i="1"/>
  <c r="H651" i="1"/>
  <c r="J651" i="1"/>
  <c r="A652" i="1"/>
  <c r="B652" i="1"/>
  <c r="G652" i="1"/>
  <c r="H652" i="1"/>
  <c r="J652" i="1"/>
  <c r="A653" i="1"/>
  <c r="B653" i="1"/>
  <c r="G653" i="1"/>
  <c r="H653" i="1"/>
  <c r="J653" i="1"/>
  <c r="A654" i="1"/>
  <c r="B654" i="1"/>
  <c r="G654" i="1"/>
  <c r="H654" i="1"/>
  <c r="J654" i="1"/>
  <c r="A655" i="1"/>
  <c r="B655" i="1"/>
  <c r="G655" i="1"/>
  <c r="H655" i="1"/>
  <c r="J655" i="1"/>
  <c r="A656" i="1"/>
  <c r="B656" i="1"/>
  <c r="G656" i="1"/>
  <c r="H656" i="1"/>
  <c r="J656" i="1"/>
  <c r="A657" i="1"/>
  <c r="B657" i="1"/>
  <c r="G657" i="1"/>
  <c r="H657" i="1"/>
  <c r="J657" i="1"/>
  <c r="A658" i="1"/>
  <c r="B658" i="1"/>
  <c r="G658" i="1"/>
  <c r="H658" i="1"/>
  <c r="J658" i="1"/>
  <c r="A659" i="1"/>
  <c r="B659" i="1"/>
  <c r="G659" i="1"/>
  <c r="H659" i="1"/>
  <c r="J659" i="1"/>
  <c r="A660" i="1"/>
  <c r="B660" i="1"/>
  <c r="G660" i="1"/>
  <c r="H660" i="1"/>
  <c r="J660" i="1"/>
  <c r="A661" i="1"/>
  <c r="B661" i="1"/>
  <c r="G661" i="1"/>
  <c r="H661" i="1"/>
  <c r="J661" i="1"/>
  <c r="A662" i="1"/>
  <c r="B662" i="1"/>
  <c r="G662" i="1"/>
  <c r="H662" i="1"/>
  <c r="J662" i="1"/>
  <c r="A663" i="1"/>
  <c r="B663" i="1"/>
  <c r="G663" i="1"/>
  <c r="H663" i="1"/>
  <c r="J663" i="1"/>
  <c r="A664" i="1"/>
  <c r="B664" i="1"/>
  <c r="G664" i="1"/>
  <c r="H664" i="1"/>
  <c r="J664" i="1"/>
  <c r="A665" i="1"/>
  <c r="B665" i="1"/>
  <c r="G665" i="1"/>
  <c r="H665" i="1"/>
  <c r="J665" i="1"/>
  <c r="A666" i="1"/>
  <c r="B666" i="1"/>
  <c r="G666" i="1"/>
  <c r="H666" i="1"/>
  <c r="J666" i="1"/>
  <c r="A667" i="1"/>
  <c r="B667" i="1"/>
  <c r="G667" i="1"/>
  <c r="H667" i="1"/>
  <c r="J667" i="1"/>
  <c r="A668" i="1"/>
  <c r="B668" i="1"/>
  <c r="G668" i="1"/>
  <c r="H668" i="1"/>
  <c r="J668" i="1"/>
  <c r="A669" i="1"/>
  <c r="B669" i="1"/>
  <c r="G669" i="1"/>
  <c r="H669" i="1"/>
  <c r="J669" i="1"/>
  <c r="A670" i="1"/>
  <c r="B670" i="1"/>
  <c r="G670" i="1"/>
  <c r="H670" i="1"/>
  <c r="J670" i="1"/>
  <c r="A671" i="1"/>
  <c r="B671" i="1"/>
  <c r="G671" i="1"/>
  <c r="H671" i="1"/>
  <c r="J671" i="1"/>
  <c r="A672" i="1"/>
  <c r="B672" i="1"/>
  <c r="G672" i="1"/>
  <c r="H672" i="1"/>
  <c r="J672" i="1"/>
  <c r="A673" i="1"/>
  <c r="B673" i="1"/>
  <c r="G673" i="1"/>
  <c r="H673" i="1"/>
  <c r="J673" i="1"/>
  <c r="A674" i="1"/>
  <c r="B674" i="1"/>
  <c r="G674" i="1"/>
  <c r="H674" i="1"/>
  <c r="J674" i="1"/>
  <c r="A675" i="1"/>
  <c r="B675" i="1"/>
  <c r="G675" i="1"/>
  <c r="H675" i="1"/>
  <c r="J675" i="1"/>
  <c r="A676" i="1"/>
  <c r="B676" i="1"/>
  <c r="G676" i="1"/>
  <c r="H676" i="1"/>
  <c r="J676" i="1"/>
  <c r="A677" i="1"/>
  <c r="B677" i="1"/>
  <c r="G677" i="1"/>
  <c r="H677" i="1"/>
  <c r="J677" i="1"/>
  <c r="A678" i="1"/>
  <c r="B678" i="1"/>
  <c r="G678" i="1"/>
  <c r="H678" i="1"/>
  <c r="J678" i="1"/>
  <c r="A679" i="1"/>
  <c r="B679" i="1"/>
  <c r="G679" i="1"/>
  <c r="H679" i="1"/>
  <c r="J679" i="1"/>
  <c r="A680" i="1"/>
  <c r="B680" i="1"/>
  <c r="G680" i="1"/>
  <c r="H680" i="1"/>
  <c r="J680" i="1"/>
  <c r="A681" i="1"/>
  <c r="B681" i="1"/>
  <c r="G681" i="1"/>
  <c r="H681" i="1"/>
  <c r="J681" i="1"/>
  <c r="A682" i="1"/>
  <c r="B682" i="1"/>
  <c r="G682" i="1"/>
  <c r="H682" i="1"/>
  <c r="J682" i="1"/>
  <c r="A683" i="1"/>
  <c r="B683" i="1"/>
  <c r="G683" i="1"/>
  <c r="H683" i="1"/>
  <c r="J683" i="1"/>
  <c r="A684" i="1"/>
  <c r="B684" i="1"/>
  <c r="G684" i="1"/>
  <c r="H684" i="1"/>
  <c r="J684" i="1"/>
  <c r="A685" i="1"/>
  <c r="B685" i="1"/>
  <c r="G685" i="1"/>
  <c r="H685" i="1"/>
  <c r="J685" i="1"/>
  <c r="A686" i="1"/>
  <c r="B686" i="1"/>
  <c r="G686" i="1"/>
  <c r="H686" i="1"/>
  <c r="J686" i="1"/>
  <c r="A687" i="1"/>
  <c r="B687" i="1"/>
  <c r="G687" i="1"/>
  <c r="H687" i="1"/>
  <c r="J687" i="1"/>
  <c r="A688" i="1"/>
  <c r="B688" i="1"/>
  <c r="G688" i="1"/>
  <c r="H688" i="1"/>
  <c r="J688" i="1"/>
  <c r="A689" i="1"/>
  <c r="B689" i="1"/>
  <c r="G689" i="1"/>
  <c r="H689" i="1"/>
  <c r="J689" i="1"/>
  <c r="A690" i="1"/>
  <c r="B690" i="1"/>
  <c r="G690" i="1"/>
  <c r="H690" i="1"/>
  <c r="J690" i="1"/>
  <c r="A691" i="1"/>
  <c r="B691" i="1"/>
  <c r="G691" i="1"/>
  <c r="H691" i="1"/>
  <c r="J691" i="1"/>
  <c r="A692" i="1"/>
  <c r="B692" i="1"/>
  <c r="G692" i="1"/>
  <c r="H692" i="1"/>
  <c r="J692" i="1"/>
  <c r="A693" i="1"/>
  <c r="B693" i="1"/>
  <c r="G693" i="1"/>
  <c r="H693" i="1"/>
  <c r="J693" i="1"/>
  <c r="A694" i="1"/>
  <c r="B694" i="1"/>
  <c r="G694" i="1"/>
  <c r="H694" i="1"/>
  <c r="J694" i="1"/>
  <c r="A695" i="1"/>
  <c r="B695" i="1"/>
  <c r="G695" i="1"/>
  <c r="H695" i="1"/>
  <c r="J695" i="1"/>
  <c r="A696" i="1"/>
  <c r="B696" i="1"/>
  <c r="G696" i="1"/>
  <c r="H696" i="1"/>
  <c r="J696" i="1"/>
  <c r="A697" i="1"/>
  <c r="B697" i="1"/>
  <c r="G697" i="1"/>
  <c r="H697" i="1"/>
  <c r="J697" i="1"/>
  <c r="A698" i="1"/>
  <c r="B698" i="1"/>
  <c r="G698" i="1"/>
  <c r="H698" i="1"/>
  <c r="J698" i="1"/>
  <c r="A699" i="1"/>
  <c r="B699" i="1"/>
  <c r="G699" i="1"/>
  <c r="H699" i="1"/>
  <c r="J699" i="1"/>
  <c r="A700" i="1"/>
  <c r="B700" i="1"/>
  <c r="G700" i="1"/>
  <c r="H700" i="1"/>
  <c r="J700" i="1"/>
  <c r="A701" i="1"/>
  <c r="B701" i="1"/>
  <c r="G701" i="1"/>
  <c r="H701" i="1"/>
  <c r="J701" i="1"/>
  <c r="A702" i="1"/>
  <c r="B702" i="1"/>
  <c r="I702" i="1"/>
  <c r="J702" i="1"/>
  <c r="A703" i="1"/>
  <c r="B703" i="1"/>
  <c r="G703" i="1"/>
  <c r="H703" i="1"/>
  <c r="J703" i="1"/>
  <c r="A704" i="1"/>
  <c r="B704" i="1"/>
  <c r="G704" i="1"/>
  <c r="H704" i="1"/>
  <c r="J704" i="1"/>
  <c r="A705" i="1"/>
  <c r="B705" i="1"/>
  <c r="G705" i="1"/>
  <c r="H705" i="1"/>
  <c r="J705" i="1"/>
  <c r="A706" i="1"/>
  <c r="B706" i="1"/>
  <c r="G706" i="1"/>
  <c r="H706" i="1"/>
  <c r="J706" i="1"/>
  <c r="A707" i="1"/>
  <c r="B707" i="1"/>
  <c r="G707" i="1"/>
  <c r="H707" i="1"/>
  <c r="J707" i="1"/>
  <c r="A708" i="1"/>
  <c r="B708" i="1"/>
  <c r="G708" i="1"/>
  <c r="H708" i="1"/>
  <c r="J708" i="1"/>
  <c r="A709" i="1"/>
  <c r="B709" i="1"/>
  <c r="G709" i="1"/>
  <c r="H709" i="1"/>
  <c r="J709" i="1"/>
  <c r="A710" i="1"/>
  <c r="B710" i="1"/>
  <c r="G710" i="1"/>
  <c r="H710" i="1"/>
  <c r="J710" i="1"/>
  <c r="A711" i="1"/>
  <c r="B711" i="1"/>
  <c r="G711" i="1"/>
  <c r="H711" i="1"/>
  <c r="J711" i="1"/>
  <c r="A712" i="1"/>
  <c r="B712" i="1"/>
  <c r="G712" i="1"/>
  <c r="H712" i="1"/>
  <c r="J712" i="1"/>
  <c r="A713" i="1"/>
  <c r="B713" i="1"/>
  <c r="G713" i="1"/>
  <c r="H713" i="1"/>
  <c r="J713" i="1"/>
  <c r="A714" i="1"/>
  <c r="B714" i="1"/>
  <c r="G714" i="1"/>
  <c r="H714" i="1"/>
  <c r="J714" i="1"/>
  <c r="A715" i="1"/>
  <c r="B715" i="1"/>
  <c r="G715" i="1"/>
  <c r="H715" i="1"/>
  <c r="J715" i="1"/>
  <c r="A716" i="1"/>
  <c r="B716" i="1"/>
  <c r="G716" i="1"/>
  <c r="H716" i="1"/>
  <c r="J716" i="1"/>
  <c r="A717" i="1"/>
  <c r="B717" i="1"/>
  <c r="G717" i="1"/>
  <c r="H717" i="1"/>
  <c r="J717" i="1"/>
  <c r="A718" i="1"/>
  <c r="B718" i="1"/>
  <c r="G718" i="1"/>
  <c r="H718" i="1"/>
  <c r="J718" i="1"/>
  <c r="A719" i="1"/>
  <c r="B719" i="1"/>
  <c r="G719" i="1"/>
  <c r="H719" i="1"/>
  <c r="J719" i="1"/>
  <c r="A720" i="1"/>
  <c r="B720" i="1"/>
  <c r="G720" i="1"/>
  <c r="H720" i="1"/>
  <c r="J720" i="1"/>
  <c r="A721" i="1"/>
  <c r="B721" i="1"/>
  <c r="I721" i="1"/>
  <c r="J721" i="1"/>
  <c r="A722" i="1"/>
  <c r="B722" i="1"/>
  <c r="I722" i="1"/>
  <c r="J722" i="1"/>
  <c r="A723" i="1"/>
  <c r="B723" i="1"/>
  <c r="G723" i="1"/>
  <c r="H723" i="1"/>
  <c r="J723" i="1"/>
  <c r="A724" i="1"/>
  <c r="B724" i="1"/>
  <c r="G724" i="1"/>
  <c r="H724" i="1"/>
  <c r="J724" i="1"/>
  <c r="A725" i="1"/>
  <c r="B725" i="1"/>
  <c r="G725" i="1"/>
  <c r="H725" i="1"/>
  <c r="J725" i="1"/>
  <c r="A726" i="1"/>
  <c r="B726" i="1"/>
  <c r="G726" i="1"/>
  <c r="H726" i="1"/>
  <c r="J726" i="1"/>
  <c r="A727" i="1"/>
  <c r="B727" i="1"/>
  <c r="G727" i="1"/>
  <c r="H727" i="1"/>
  <c r="J727" i="1"/>
  <c r="A728" i="1"/>
  <c r="B728" i="1"/>
  <c r="G728" i="1"/>
  <c r="H728" i="1"/>
  <c r="J728" i="1"/>
  <c r="A729" i="1"/>
  <c r="B729" i="1"/>
  <c r="G729" i="1"/>
  <c r="H729" i="1"/>
  <c r="J729" i="1"/>
  <c r="A730" i="1"/>
  <c r="B730" i="1"/>
  <c r="G730" i="1"/>
  <c r="H730" i="1"/>
  <c r="J730" i="1"/>
  <c r="A731" i="1"/>
  <c r="B731" i="1"/>
  <c r="G731" i="1"/>
  <c r="H731" i="1"/>
  <c r="J731" i="1"/>
  <c r="A732" i="1"/>
  <c r="B732" i="1"/>
  <c r="G732" i="1"/>
  <c r="H732" i="1"/>
  <c r="J732" i="1"/>
  <c r="A733" i="1"/>
  <c r="B733" i="1"/>
  <c r="G733" i="1"/>
  <c r="H733" i="1"/>
  <c r="J733" i="1"/>
  <c r="A734" i="1"/>
  <c r="B734" i="1"/>
  <c r="G734" i="1"/>
  <c r="H734" i="1"/>
  <c r="J734" i="1"/>
  <c r="A735" i="1"/>
  <c r="B735" i="1"/>
  <c r="G735" i="1"/>
  <c r="H735" i="1"/>
  <c r="J735" i="1"/>
  <c r="A736" i="1"/>
  <c r="B736" i="1"/>
  <c r="G736" i="1"/>
  <c r="H736" i="1"/>
  <c r="J736" i="1"/>
  <c r="A737" i="1"/>
  <c r="B737" i="1"/>
  <c r="G737" i="1"/>
  <c r="H737" i="1"/>
  <c r="J737" i="1"/>
  <c r="A738" i="1"/>
  <c r="B738" i="1"/>
  <c r="G738" i="1"/>
  <c r="H738" i="1"/>
  <c r="J738" i="1"/>
  <c r="A739" i="1"/>
  <c r="B739" i="1"/>
  <c r="G739" i="1"/>
  <c r="H739" i="1"/>
  <c r="J739" i="1"/>
  <c r="A740" i="1"/>
  <c r="B740" i="1"/>
  <c r="I740" i="1"/>
  <c r="J740" i="1"/>
  <c r="A741" i="1"/>
  <c r="B741" i="1"/>
  <c r="I741" i="1"/>
  <c r="J741" i="1"/>
  <c r="A742" i="1"/>
  <c r="B742" i="1"/>
  <c r="G742" i="1"/>
  <c r="H742" i="1"/>
  <c r="J742" i="1"/>
  <c r="A743" i="1"/>
  <c r="B743" i="1"/>
  <c r="G743" i="1"/>
  <c r="H743" i="1"/>
  <c r="J743" i="1"/>
  <c r="A744" i="1"/>
  <c r="B744" i="1"/>
  <c r="G744" i="1"/>
  <c r="H744" i="1"/>
  <c r="J744" i="1"/>
  <c r="A745" i="1"/>
  <c r="B745" i="1"/>
  <c r="G745" i="1"/>
  <c r="H745" i="1"/>
  <c r="J745" i="1"/>
  <c r="A746" i="1"/>
  <c r="B746" i="1"/>
  <c r="G746" i="1"/>
  <c r="H746" i="1"/>
  <c r="J746" i="1"/>
  <c r="A747" i="1"/>
  <c r="B747" i="1"/>
  <c r="G747" i="1"/>
  <c r="H747" i="1"/>
  <c r="J747" i="1"/>
  <c r="A748" i="1"/>
  <c r="B748" i="1"/>
  <c r="G748" i="1"/>
  <c r="H748" i="1"/>
  <c r="J748" i="1"/>
  <c r="A749" i="1"/>
  <c r="B749" i="1"/>
  <c r="G749" i="1"/>
  <c r="H749" i="1"/>
  <c r="J749" i="1"/>
  <c r="A750" i="1"/>
  <c r="B750" i="1"/>
  <c r="G750" i="1"/>
  <c r="H750" i="1"/>
  <c r="J750" i="1"/>
  <c r="A751" i="1"/>
  <c r="B751" i="1"/>
  <c r="G751" i="1"/>
  <c r="H751" i="1"/>
  <c r="J751" i="1"/>
  <c r="A752" i="1"/>
  <c r="B752" i="1"/>
  <c r="G752" i="1"/>
  <c r="H752" i="1"/>
  <c r="J752" i="1"/>
  <c r="A753" i="1"/>
  <c r="B753" i="1"/>
  <c r="G753" i="1"/>
  <c r="H753" i="1"/>
  <c r="J753" i="1"/>
  <c r="A754" i="1"/>
  <c r="B754" i="1"/>
  <c r="G754" i="1"/>
  <c r="H754" i="1"/>
  <c r="J754" i="1"/>
  <c r="A755" i="1"/>
  <c r="B755" i="1"/>
  <c r="G755" i="1"/>
  <c r="H755" i="1"/>
  <c r="J755" i="1"/>
  <c r="A756" i="1"/>
  <c r="B756" i="1"/>
  <c r="G756" i="1"/>
  <c r="H756" i="1"/>
  <c r="J756" i="1"/>
  <c r="A757" i="1"/>
  <c r="B757" i="1"/>
  <c r="G757" i="1"/>
  <c r="H757" i="1"/>
  <c r="J757" i="1"/>
  <c r="A758" i="1"/>
  <c r="B758" i="1"/>
  <c r="G758" i="1"/>
  <c r="H758" i="1"/>
  <c r="J758" i="1"/>
  <c r="A759" i="1"/>
  <c r="B759" i="1"/>
  <c r="G759" i="1"/>
  <c r="H759" i="1"/>
  <c r="J759" i="1"/>
  <c r="A760" i="1"/>
  <c r="B760" i="1"/>
  <c r="G760" i="1"/>
  <c r="H760" i="1"/>
  <c r="J760" i="1"/>
  <c r="A761" i="1"/>
  <c r="B761" i="1"/>
  <c r="G761" i="1"/>
  <c r="H761" i="1"/>
  <c r="J761" i="1"/>
  <c r="A762" i="1"/>
  <c r="B762" i="1"/>
  <c r="G762" i="1"/>
  <c r="H762" i="1"/>
  <c r="J762" i="1"/>
  <c r="A763" i="1"/>
  <c r="B763" i="1"/>
  <c r="G763" i="1"/>
  <c r="H763" i="1"/>
  <c r="J763" i="1"/>
  <c r="A764" i="1"/>
  <c r="B764" i="1"/>
  <c r="G764" i="1"/>
  <c r="H764" i="1"/>
  <c r="J764" i="1"/>
  <c r="A765" i="1"/>
  <c r="B765" i="1"/>
  <c r="G765" i="1"/>
  <c r="H765" i="1"/>
  <c r="J765" i="1"/>
  <c r="A766" i="1"/>
  <c r="B766" i="1"/>
  <c r="G766" i="1"/>
  <c r="H766" i="1"/>
  <c r="J766" i="1"/>
  <c r="A767" i="1"/>
  <c r="B767" i="1"/>
  <c r="G767" i="1"/>
  <c r="H767" i="1"/>
  <c r="J767" i="1"/>
  <c r="A768" i="1"/>
  <c r="B768" i="1"/>
  <c r="G768" i="1"/>
  <c r="H768" i="1"/>
  <c r="J768" i="1"/>
  <c r="A769" i="1"/>
  <c r="B769" i="1"/>
  <c r="G769" i="1"/>
  <c r="H769" i="1"/>
  <c r="J769" i="1"/>
  <c r="A770" i="1"/>
  <c r="B770" i="1"/>
  <c r="G770" i="1"/>
  <c r="H770" i="1"/>
  <c r="J770" i="1"/>
  <c r="A771" i="1"/>
  <c r="B771" i="1"/>
  <c r="G771" i="1"/>
  <c r="H771" i="1"/>
  <c r="J771" i="1"/>
  <c r="A772" i="1"/>
  <c r="B772" i="1"/>
  <c r="G772" i="1"/>
  <c r="H772" i="1"/>
  <c r="J772" i="1"/>
  <c r="A773" i="1"/>
  <c r="B773" i="1"/>
  <c r="G773" i="1"/>
  <c r="H773" i="1"/>
  <c r="J773" i="1"/>
  <c r="A774" i="1"/>
  <c r="B774" i="1"/>
  <c r="G774" i="1"/>
  <c r="H774" i="1"/>
  <c r="J774" i="1"/>
  <c r="A775" i="1"/>
  <c r="B775" i="1"/>
  <c r="G775" i="1"/>
  <c r="H775" i="1"/>
  <c r="J775" i="1"/>
  <c r="A776" i="1"/>
  <c r="B776" i="1"/>
  <c r="G776" i="1"/>
  <c r="H776" i="1"/>
  <c r="J776" i="1"/>
  <c r="A777" i="1"/>
  <c r="B777" i="1"/>
  <c r="G777" i="1"/>
  <c r="H777" i="1"/>
  <c r="J777" i="1"/>
  <c r="A778" i="1"/>
  <c r="B778" i="1"/>
  <c r="G778" i="1"/>
  <c r="H778" i="1"/>
  <c r="J778" i="1"/>
  <c r="A779" i="1"/>
  <c r="B779" i="1"/>
  <c r="G779" i="1"/>
  <c r="H779" i="1"/>
  <c r="J779" i="1"/>
  <c r="A780" i="1"/>
  <c r="B780" i="1"/>
  <c r="G780" i="1"/>
  <c r="H780" i="1"/>
  <c r="J780" i="1"/>
  <c r="A781" i="1"/>
  <c r="B781" i="1"/>
  <c r="G781" i="1"/>
  <c r="H781" i="1"/>
  <c r="J781" i="1"/>
  <c r="A782" i="1"/>
  <c r="B782" i="1"/>
  <c r="G782" i="1"/>
  <c r="H782" i="1"/>
  <c r="J782" i="1"/>
  <c r="A783" i="1"/>
  <c r="B783" i="1"/>
  <c r="G783" i="1"/>
  <c r="H783" i="1"/>
  <c r="J783" i="1"/>
  <c r="A784" i="1"/>
  <c r="B784" i="1"/>
  <c r="G784" i="1"/>
  <c r="H784" i="1"/>
  <c r="J784" i="1"/>
  <c r="A785" i="1"/>
  <c r="B785" i="1"/>
  <c r="G785" i="1"/>
  <c r="H785" i="1"/>
  <c r="J785" i="1"/>
  <c r="A786" i="1"/>
  <c r="B786" i="1"/>
  <c r="G786" i="1"/>
  <c r="H786" i="1"/>
  <c r="J786" i="1"/>
  <c r="A787" i="1"/>
  <c r="B787" i="1"/>
  <c r="G787" i="1"/>
  <c r="H787" i="1"/>
  <c r="J787" i="1"/>
  <c r="A788" i="1"/>
  <c r="B788" i="1"/>
  <c r="G788" i="1"/>
  <c r="H788" i="1"/>
  <c r="J788" i="1"/>
  <c r="A789" i="1"/>
  <c r="B789" i="1"/>
  <c r="G789" i="1"/>
  <c r="H789" i="1"/>
  <c r="J789" i="1"/>
  <c r="A790" i="1"/>
  <c r="B790" i="1"/>
  <c r="G790" i="1"/>
  <c r="H790" i="1"/>
  <c r="J790" i="1"/>
  <c r="A791" i="1"/>
  <c r="B791" i="1"/>
  <c r="G791" i="1"/>
  <c r="H791" i="1"/>
  <c r="J791" i="1"/>
  <c r="A792" i="1"/>
  <c r="B792" i="1"/>
  <c r="G792" i="1"/>
  <c r="H792" i="1"/>
  <c r="J792" i="1"/>
  <c r="A793" i="1"/>
  <c r="B793" i="1"/>
  <c r="G793" i="1"/>
  <c r="H793" i="1"/>
  <c r="J793" i="1"/>
  <c r="A794" i="1"/>
  <c r="B794" i="1"/>
  <c r="G794" i="1"/>
  <c r="H794" i="1"/>
  <c r="J794" i="1"/>
  <c r="A795" i="1"/>
  <c r="B795" i="1"/>
  <c r="G795" i="1"/>
  <c r="H795" i="1"/>
  <c r="J795" i="1"/>
  <c r="A796" i="1"/>
  <c r="B796" i="1"/>
  <c r="G796" i="1"/>
  <c r="H796" i="1"/>
  <c r="J796" i="1"/>
  <c r="A797" i="1"/>
  <c r="B797" i="1"/>
  <c r="I797" i="1"/>
  <c r="J797" i="1"/>
  <c r="A798" i="1"/>
  <c r="B798" i="1"/>
  <c r="G798" i="1"/>
  <c r="H798" i="1"/>
  <c r="J798" i="1"/>
  <c r="A799" i="1"/>
  <c r="B799" i="1"/>
  <c r="G799" i="1"/>
  <c r="H799" i="1"/>
  <c r="J799" i="1"/>
  <c r="A800" i="1"/>
  <c r="B800" i="1"/>
  <c r="G800" i="1"/>
  <c r="H800" i="1"/>
  <c r="J800" i="1"/>
  <c r="A801" i="1"/>
  <c r="B801" i="1"/>
  <c r="G801" i="1"/>
  <c r="H801" i="1"/>
  <c r="J801" i="1"/>
  <c r="A802" i="1"/>
  <c r="B802" i="1"/>
  <c r="G802" i="1"/>
  <c r="H802" i="1"/>
  <c r="J802" i="1"/>
  <c r="A803" i="1"/>
  <c r="B803" i="1"/>
  <c r="G803" i="1"/>
  <c r="H803" i="1"/>
  <c r="J803" i="1"/>
  <c r="A804" i="1"/>
  <c r="B804" i="1"/>
  <c r="G804" i="1"/>
  <c r="H804" i="1"/>
  <c r="J804" i="1"/>
  <c r="A805" i="1"/>
  <c r="B805" i="1"/>
  <c r="G805" i="1"/>
  <c r="H805" i="1"/>
  <c r="J805" i="1"/>
  <c r="A806" i="1"/>
  <c r="B806" i="1"/>
  <c r="G806" i="1"/>
  <c r="H806" i="1"/>
  <c r="J806" i="1"/>
  <c r="A807" i="1"/>
  <c r="B807" i="1"/>
  <c r="G807" i="1"/>
  <c r="H807" i="1"/>
  <c r="J807" i="1"/>
  <c r="A808" i="1"/>
  <c r="B808" i="1"/>
  <c r="G808" i="1"/>
  <c r="H808" i="1"/>
  <c r="J808" i="1"/>
  <c r="A809" i="1"/>
  <c r="B809" i="1"/>
  <c r="G809" i="1"/>
  <c r="H809" i="1"/>
  <c r="J809" i="1"/>
  <c r="A810" i="1"/>
  <c r="B810" i="1"/>
  <c r="G810" i="1"/>
  <c r="H810" i="1"/>
  <c r="J810" i="1"/>
  <c r="A811" i="1"/>
  <c r="B811" i="1"/>
  <c r="G811" i="1"/>
  <c r="H811" i="1"/>
  <c r="J811" i="1"/>
  <c r="A812" i="1"/>
  <c r="B812" i="1"/>
  <c r="G812" i="1"/>
  <c r="H812" i="1"/>
  <c r="J812" i="1"/>
  <c r="A813" i="1"/>
  <c r="B813" i="1"/>
  <c r="G813" i="1"/>
  <c r="H813" i="1"/>
  <c r="J813" i="1"/>
  <c r="A814" i="1"/>
  <c r="B814" i="1"/>
  <c r="G814" i="1"/>
  <c r="H814" i="1"/>
  <c r="J814" i="1"/>
  <c r="A815" i="1"/>
  <c r="B815" i="1"/>
  <c r="G815" i="1"/>
  <c r="H815" i="1"/>
  <c r="J815" i="1"/>
  <c r="A816" i="1"/>
  <c r="B816" i="1"/>
  <c r="G816" i="1"/>
  <c r="H816" i="1"/>
  <c r="J816" i="1"/>
  <c r="A817" i="1"/>
  <c r="B817" i="1"/>
  <c r="G817" i="1"/>
  <c r="H817" i="1"/>
  <c r="J817" i="1"/>
  <c r="A818" i="1"/>
  <c r="B818" i="1"/>
  <c r="G818" i="1"/>
  <c r="H818" i="1"/>
  <c r="J818" i="1"/>
  <c r="A819" i="1"/>
  <c r="B819" i="1"/>
  <c r="G819" i="1"/>
  <c r="H819" i="1"/>
  <c r="J819" i="1"/>
  <c r="A820" i="1"/>
  <c r="B820" i="1"/>
  <c r="G820" i="1"/>
  <c r="H820" i="1"/>
  <c r="J820" i="1"/>
  <c r="A821" i="1"/>
  <c r="B821" i="1"/>
  <c r="G821" i="1"/>
  <c r="H821" i="1"/>
  <c r="J821" i="1"/>
  <c r="A822" i="1"/>
  <c r="B822" i="1"/>
  <c r="G822" i="1"/>
  <c r="H822" i="1"/>
  <c r="J822" i="1"/>
  <c r="A823" i="1"/>
  <c r="B823" i="1"/>
  <c r="G823" i="1"/>
  <c r="H823" i="1"/>
  <c r="J823" i="1"/>
  <c r="A824" i="1"/>
  <c r="B824" i="1"/>
  <c r="G824" i="1"/>
  <c r="H824" i="1"/>
  <c r="J824" i="1"/>
  <c r="A825" i="1"/>
  <c r="B825" i="1"/>
  <c r="G825" i="1"/>
  <c r="H825" i="1"/>
  <c r="J825" i="1"/>
  <c r="A826" i="1"/>
  <c r="B826" i="1"/>
  <c r="G826" i="1"/>
  <c r="H826" i="1"/>
  <c r="J826" i="1"/>
  <c r="A827" i="1"/>
  <c r="B827" i="1"/>
  <c r="G827" i="1"/>
  <c r="H827" i="1"/>
  <c r="J827" i="1"/>
  <c r="A828" i="1"/>
  <c r="B828" i="1"/>
  <c r="G828" i="1"/>
  <c r="H828" i="1"/>
  <c r="J828" i="1"/>
  <c r="A829" i="1"/>
  <c r="B829" i="1"/>
  <c r="G829" i="1"/>
  <c r="H829" i="1"/>
  <c r="J829" i="1"/>
  <c r="A830" i="1"/>
  <c r="B830" i="1"/>
  <c r="G830" i="1"/>
  <c r="H830" i="1"/>
  <c r="J830" i="1"/>
  <c r="A831" i="1"/>
  <c r="B831" i="1"/>
  <c r="G831" i="1"/>
  <c r="H831" i="1"/>
  <c r="J831" i="1"/>
  <c r="A832" i="1"/>
  <c r="B832" i="1"/>
  <c r="G832" i="1"/>
  <c r="H832" i="1"/>
  <c r="J832" i="1"/>
  <c r="A833" i="1"/>
  <c r="B833" i="1"/>
  <c r="G833" i="1"/>
  <c r="H833" i="1"/>
  <c r="J833" i="1"/>
  <c r="A834" i="1"/>
  <c r="B834" i="1"/>
  <c r="G834" i="1"/>
  <c r="H834" i="1"/>
  <c r="J834" i="1"/>
  <c r="A835" i="1"/>
  <c r="B835" i="1"/>
  <c r="G835" i="1"/>
  <c r="H835" i="1"/>
  <c r="J835" i="1"/>
  <c r="A836" i="1"/>
  <c r="B836" i="1"/>
  <c r="G836" i="1"/>
  <c r="H836" i="1"/>
  <c r="J836" i="1"/>
  <c r="A837" i="1"/>
  <c r="B837" i="1"/>
  <c r="G837" i="1"/>
  <c r="H837" i="1"/>
  <c r="J837" i="1"/>
  <c r="A838" i="1"/>
  <c r="B838" i="1"/>
  <c r="G838" i="1"/>
  <c r="H838" i="1"/>
  <c r="J838" i="1"/>
  <c r="A839" i="1"/>
  <c r="B839" i="1"/>
  <c r="G839" i="1"/>
  <c r="H839" i="1"/>
  <c r="J839" i="1"/>
  <c r="A840" i="1"/>
  <c r="B840" i="1"/>
  <c r="G840" i="1"/>
  <c r="H840" i="1"/>
  <c r="J840" i="1"/>
  <c r="A841" i="1"/>
  <c r="B841" i="1"/>
  <c r="G841" i="1"/>
  <c r="H841" i="1"/>
  <c r="J841" i="1"/>
  <c r="A842" i="1"/>
  <c r="B842" i="1"/>
  <c r="G842" i="1"/>
  <c r="H842" i="1"/>
  <c r="J842" i="1"/>
  <c r="A843" i="1"/>
  <c r="B843" i="1"/>
  <c r="G843" i="1"/>
  <c r="H843" i="1"/>
  <c r="J843" i="1"/>
  <c r="A844" i="1"/>
  <c r="B844" i="1"/>
  <c r="G844" i="1"/>
  <c r="H844" i="1"/>
  <c r="J844" i="1"/>
  <c r="A845" i="1"/>
  <c r="B845" i="1"/>
  <c r="G845" i="1"/>
  <c r="H845" i="1"/>
  <c r="J845" i="1"/>
  <c r="A846" i="1"/>
  <c r="B846" i="1"/>
  <c r="G846" i="1"/>
  <c r="H846" i="1"/>
  <c r="J846" i="1"/>
  <c r="A847" i="1"/>
  <c r="B847" i="1"/>
  <c r="G847" i="1"/>
  <c r="H847" i="1"/>
  <c r="J847" i="1"/>
  <c r="A848" i="1"/>
  <c r="B848" i="1"/>
  <c r="G848" i="1"/>
  <c r="H848" i="1"/>
  <c r="J848" i="1"/>
  <c r="A849" i="1"/>
  <c r="B849" i="1"/>
  <c r="G849" i="1"/>
  <c r="H849" i="1"/>
  <c r="J849" i="1"/>
  <c r="A850" i="1"/>
  <c r="B850" i="1"/>
  <c r="G850" i="1"/>
  <c r="H850" i="1"/>
  <c r="J850" i="1"/>
  <c r="A851" i="1"/>
  <c r="B851" i="1"/>
  <c r="G851" i="1"/>
  <c r="H851" i="1"/>
  <c r="J851" i="1"/>
  <c r="A852" i="1"/>
  <c r="B852" i="1"/>
  <c r="G852" i="1"/>
  <c r="H852" i="1"/>
  <c r="J852" i="1"/>
  <c r="A853" i="1"/>
  <c r="B853" i="1"/>
  <c r="G853" i="1"/>
  <c r="H853" i="1"/>
  <c r="J853" i="1"/>
  <c r="A854" i="1"/>
  <c r="B854" i="1"/>
  <c r="G854" i="1"/>
  <c r="H854" i="1"/>
  <c r="J854" i="1"/>
  <c r="A855" i="1"/>
  <c r="B855" i="1"/>
  <c r="G855" i="1"/>
  <c r="H855" i="1"/>
  <c r="J855" i="1"/>
  <c r="A856" i="1"/>
  <c r="B856" i="1"/>
  <c r="G856" i="1"/>
  <c r="H856" i="1"/>
  <c r="J856" i="1"/>
  <c r="A857" i="1"/>
  <c r="B857" i="1"/>
  <c r="G857" i="1"/>
  <c r="H857" i="1"/>
  <c r="J857" i="1"/>
  <c r="A858" i="1"/>
  <c r="B858" i="1"/>
  <c r="G858" i="1"/>
  <c r="H858" i="1"/>
  <c r="J858" i="1"/>
  <c r="A859" i="1"/>
  <c r="B859" i="1"/>
  <c r="G859" i="1"/>
  <c r="H859" i="1"/>
  <c r="J859" i="1"/>
  <c r="A860" i="1"/>
  <c r="B860" i="1"/>
  <c r="G860" i="1"/>
  <c r="H860" i="1"/>
  <c r="J860" i="1"/>
  <c r="A861" i="1"/>
  <c r="B861" i="1"/>
  <c r="G861" i="1"/>
  <c r="H861" i="1"/>
  <c r="J861" i="1"/>
  <c r="A862" i="1"/>
  <c r="B862" i="1"/>
  <c r="G862" i="1"/>
  <c r="H862" i="1"/>
  <c r="J862" i="1"/>
  <c r="A863" i="1"/>
  <c r="B863" i="1"/>
  <c r="G863" i="1"/>
  <c r="H863" i="1"/>
  <c r="J863" i="1"/>
  <c r="A864" i="1"/>
  <c r="B864" i="1"/>
  <c r="G864" i="1"/>
  <c r="H864" i="1"/>
  <c r="J864" i="1"/>
  <c r="A865" i="1"/>
  <c r="B865" i="1"/>
  <c r="G865" i="1"/>
  <c r="H865" i="1"/>
  <c r="J865" i="1"/>
  <c r="A866" i="1"/>
  <c r="B866" i="1"/>
  <c r="G866" i="1"/>
  <c r="H866" i="1"/>
  <c r="J866" i="1"/>
  <c r="A867" i="1"/>
  <c r="B867" i="1"/>
  <c r="G867" i="1"/>
  <c r="H867" i="1"/>
  <c r="J867" i="1"/>
  <c r="A868" i="1"/>
  <c r="B868" i="1"/>
  <c r="G868" i="1"/>
  <c r="H868" i="1"/>
  <c r="J868" i="1"/>
  <c r="A869" i="1"/>
  <c r="B869" i="1"/>
  <c r="G869" i="1"/>
  <c r="H869" i="1"/>
  <c r="J869" i="1"/>
  <c r="A870" i="1"/>
  <c r="B870" i="1"/>
  <c r="G870" i="1"/>
  <c r="H870" i="1"/>
  <c r="J870" i="1"/>
  <c r="A871" i="1"/>
  <c r="B871" i="1"/>
  <c r="G871" i="1"/>
  <c r="H871" i="1"/>
  <c r="J871" i="1"/>
  <c r="A872" i="1"/>
  <c r="B872" i="1"/>
  <c r="G872" i="1"/>
  <c r="H872" i="1"/>
  <c r="J872" i="1"/>
  <c r="A873" i="1"/>
  <c r="B873" i="1"/>
  <c r="G873" i="1"/>
  <c r="H873" i="1"/>
  <c r="J873" i="1"/>
  <c r="A874" i="1"/>
  <c r="B874" i="1"/>
  <c r="G874" i="1"/>
  <c r="H874" i="1"/>
  <c r="J874" i="1"/>
  <c r="A875" i="1"/>
  <c r="B875" i="1"/>
  <c r="G875" i="1"/>
  <c r="H875" i="1"/>
  <c r="J875" i="1"/>
  <c r="A876" i="1"/>
  <c r="B876" i="1"/>
  <c r="G876" i="1"/>
  <c r="H876" i="1"/>
  <c r="J876" i="1"/>
  <c r="A877" i="1"/>
  <c r="B877" i="1"/>
  <c r="I877" i="1"/>
  <c r="J877" i="1"/>
  <c r="A878" i="1"/>
  <c r="B878" i="1"/>
  <c r="G878" i="1"/>
  <c r="H878" i="1"/>
  <c r="J878" i="1"/>
  <c r="A879" i="1"/>
  <c r="B879" i="1"/>
  <c r="G879" i="1"/>
  <c r="H879" i="1"/>
  <c r="J879" i="1"/>
  <c r="A880" i="1"/>
  <c r="B880" i="1"/>
  <c r="I880" i="1"/>
  <c r="J880" i="1"/>
  <c r="A881" i="1"/>
  <c r="B881" i="1"/>
  <c r="I881" i="1"/>
  <c r="J881" i="1"/>
  <c r="A882" i="1"/>
  <c r="B882" i="1"/>
  <c r="I882" i="1"/>
  <c r="J882" i="1"/>
  <c r="A883" i="1"/>
  <c r="B883" i="1"/>
  <c r="I883" i="1"/>
  <c r="J883" i="1"/>
  <c r="A884" i="1"/>
  <c r="B884" i="1"/>
  <c r="G884" i="1"/>
  <c r="H884" i="1"/>
  <c r="J884" i="1"/>
  <c r="A885" i="1"/>
  <c r="B885" i="1"/>
  <c r="I885" i="1"/>
  <c r="J885" i="1"/>
  <c r="A886" i="1"/>
  <c r="B886" i="1"/>
  <c r="I886" i="1"/>
  <c r="J886" i="1"/>
  <c r="A887" i="1"/>
  <c r="B887" i="1"/>
  <c r="I887" i="1"/>
  <c r="J887" i="1"/>
  <c r="A888" i="1"/>
  <c r="B888" i="1"/>
  <c r="I888" i="1"/>
  <c r="J888" i="1"/>
  <c r="A889" i="1"/>
  <c r="B889" i="1"/>
  <c r="I889" i="1"/>
  <c r="J889" i="1"/>
  <c r="A890" i="1"/>
  <c r="B890" i="1"/>
  <c r="I890" i="1"/>
  <c r="J890" i="1"/>
  <c r="A891" i="1"/>
  <c r="B891" i="1"/>
  <c r="I891" i="1"/>
  <c r="J891" i="1"/>
  <c r="A892" i="1"/>
  <c r="B892" i="1"/>
  <c r="G892" i="1"/>
  <c r="H892" i="1"/>
  <c r="J892" i="1"/>
  <c r="A893" i="1"/>
  <c r="B893" i="1"/>
  <c r="G893" i="1"/>
  <c r="H893" i="1"/>
  <c r="J893" i="1"/>
  <c r="A894" i="1"/>
  <c r="B894" i="1"/>
  <c r="G894" i="1"/>
  <c r="H894" i="1"/>
  <c r="J894" i="1"/>
  <c r="A895" i="1"/>
  <c r="B895" i="1"/>
  <c r="G895" i="1"/>
  <c r="H895" i="1"/>
  <c r="J895" i="1"/>
  <c r="A896" i="1"/>
  <c r="B896" i="1"/>
  <c r="G896" i="1"/>
  <c r="H896" i="1"/>
  <c r="J896" i="1"/>
  <c r="A897" i="1"/>
  <c r="B897" i="1"/>
  <c r="G897" i="1"/>
  <c r="H897" i="1"/>
  <c r="J897" i="1"/>
  <c r="A898" i="1"/>
  <c r="B898" i="1"/>
  <c r="G898" i="1"/>
  <c r="H898" i="1"/>
  <c r="J898" i="1"/>
  <c r="A899" i="1"/>
  <c r="B899" i="1"/>
  <c r="G899" i="1"/>
  <c r="H899" i="1"/>
  <c r="J899" i="1"/>
  <c r="A900" i="1"/>
  <c r="B900" i="1"/>
  <c r="G900" i="1"/>
  <c r="H900" i="1"/>
  <c r="J900" i="1"/>
  <c r="A901" i="1"/>
  <c r="B901" i="1"/>
  <c r="G901" i="1"/>
  <c r="H901" i="1"/>
  <c r="J901" i="1"/>
  <c r="A902" i="1"/>
  <c r="B902" i="1"/>
  <c r="G902" i="1"/>
  <c r="H902" i="1"/>
  <c r="J902" i="1"/>
  <c r="A903" i="1"/>
  <c r="B903" i="1"/>
  <c r="G903" i="1"/>
  <c r="H903" i="1"/>
  <c r="J903" i="1"/>
  <c r="A904" i="1"/>
  <c r="B904" i="1"/>
  <c r="G904" i="1"/>
  <c r="H904" i="1"/>
  <c r="J904" i="1"/>
  <c r="A905" i="1"/>
  <c r="B905" i="1"/>
  <c r="G905" i="1"/>
  <c r="H905" i="1"/>
  <c r="J905" i="1"/>
  <c r="A906" i="1"/>
  <c r="B906" i="1"/>
  <c r="G906" i="1"/>
  <c r="H906" i="1"/>
  <c r="J906" i="1"/>
  <c r="A907" i="1"/>
  <c r="B907" i="1"/>
  <c r="G907" i="1"/>
  <c r="H907" i="1"/>
  <c r="J907" i="1"/>
  <c r="A908" i="1"/>
  <c r="B908" i="1"/>
  <c r="G908" i="1"/>
  <c r="H908" i="1"/>
  <c r="J908" i="1"/>
  <c r="A909" i="1"/>
  <c r="B909" i="1"/>
  <c r="G909" i="1"/>
  <c r="H909" i="1"/>
  <c r="J909" i="1"/>
  <c r="A910" i="1"/>
  <c r="B910" i="1"/>
  <c r="G910" i="1"/>
  <c r="H910" i="1"/>
  <c r="J910" i="1"/>
  <c r="A911" i="1"/>
  <c r="B911" i="1"/>
  <c r="G911" i="1"/>
  <c r="H911" i="1"/>
  <c r="J911" i="1"/>
  <c r="A912" i="1"/>
  <c r="B912" i="1"/>
  <c r="G912" i="1"/>
  <c r="H912" i="1"/>
  <c r="J912" i="1"/>
  <c r="A913" i="1"/>
  <c r="B913" i="1"/>
  <c r="I913" i="1"/>
  <c r="J913" i="1"/>
  <c r="A914" i="1"/>
  <c r="B914" i="1"/>
  <c r="G914" i="1"/>
  <c r="H914" i="1"/>
  <c r="J914" i="1"/>
  <c r="A915" i="1"/>
  <c r="B915" i="1"/>
  <c r="G915" i="1"/>
  <c r="H915" i="1"/>
  <c r="J915" i="1"/>
  <c r="A916" i="1"/>
  <c r="B916" i="1"/>
  <c r="G916" i="1"/>
  <c r="H916" i="1"/>
  <c r="J916" i="1"/>
  <c r="A917" i="1"/>
  <c r="B917" i="1"/>
  <c r="G917" i="1"/>
  <c r="H917" i="1"/>
  <c r="J917" i="1"/>
  <c r="A918" i="1"/>
  <c r="B918" i="1"/>
  <c r="G918" i="1"/>
  <c r="H918" i="1"/>
  <c r="J918" i="1"/>
  <c r="A919" i="1"/>
  <c r="B919" i="1"/>
  <c r="G919" i="1"/>
  <c r="H919" i="1"/>
  <c r="J919" i="1"/>
  <c r="A920" i="1"/>
  <c r="B920" i="1"/>
  <c r="G920" i="1"/>
  <c r="H920" i="1"/>
  <c r="J920" i="1"/>
  <c r="A921" i="1"/>
  <c r="B921" i="1"/>
  <c r="G921" i="1"/>
  <c r="H921" i="1"/>
  <c r="J921" i="1"/>
  <c r="A922" i="1"/>
  <c r="B922" i="1"/>
  <c r="G922" i="1"/>
  <c r="H922" i="1"/>
  <c r="J922" i="1"/>
  <c r="A923" i="1"/>
  <c r="B923" i="1"/>
  <c r="G923" i="1"/>
  <c r="H923" i="1"/>
  <c r="J923" i="1"/>
  <c r="A924" i="1"/>
  <c r="B924" i="1"/>
  <c r="G924" i="1"/>
  <c r="H924" i="1"/>
  <c r="J924" i="1"/>
  <c r="A925" i="1"/>
  <c r="B925" i="1"/>
  <c r="G925" i="1"/>
  <c r="H925" i="1"/>
  <c r="J925" i="1"/>
  <c r="A926" i="1"/>
  <c r="B926" i="1"/>
  <c r="G926" i="1"/>
  <c r="H926" i="1"/>
  <c r="J926" i="1"/>
  <c r="A927" i="1"/>
  <c r="B927" i="1"/>
  <c r="G927" i="1"/>
  <c r="H927" i="1"/>
  <c r="J927" i="1"/>
  <c r="A928" i="1"/>
  <c r="B928" i="1"/>
  <c r="G928" i="1"/>
  <c r="H928" i="1"/>
  <c r="J928" i="1"/>
  <c r="A929" i="1"/>
  <c r="B929" i="1"/>
  <c r="G929" i="1"/>
  <c r="H929" i="1"/>
  <c r="J929" i="1"/>
  <c r="A930" i="1"/>
  <c r="B930" i="1"/>
  <c r="G930" i="1"/>
  <c r="H930" i="1"/>
  <c r="J930" i="1"/>
  <c r="A931" i="1"/>
  <c r="B931" i="1"/>
  <c r="G931" i="1"/>
  <c r="H931" i="1"/>
  <c r="J931" i="1"/>
  <c r="A932" i="1"/>
  <c r="B932" i="1"/>
  <c r="G932" i="1"/>
  <c r="H932" i="1"/>
  <c r="J932" i="1"/>
  <c r="A933" i="1"/>
  <c r="B933" i="1"/>
  <c r="G933" i="1"/>
  <c r="H933" i="1"/>
  <c r="J933" i="1"/>
  <c r="A934" i="1"/>
  <c r="B934" i="1"/>
  <c r="G934" i="1"/>
  <c r="H934" i="1"/>
  <c r="J934" i="1"/>
  <c r="A935" i="1"/>
  <c r="B935" i="1"/>
  <c r="G935" i="1"/>
  <c r="H935" i="1"/>
  <c r="J935" i="1"/>
  <c r="A936" i="1"/>
  <c r="B936" i="1"/>
  <c r="G936" i="1"/>
  <c r="H936" i="1"/>
  <c r="J936" i="1"/>
  <c r="A937" i="1"/>
  <c r="B937" i="1"/>
  <c r="G937" i="1"/>
  <c r="H937" i="1"/>
  <c r="J937" i="1"/>
  <c r="A938" i="1"/>
  <c r="B938" i="1"/>
  <c r="G938" i="1"/>
  <c r="H938" i="1"/>
  <c r="J938" i="1"/>
  <c r="A939" i="1"/>
  <c r="B939" i="1"/>
  <c r="G939" i="1"/>
  <c r="H939" i="1"/>
  <c r="J939" i="1"/>
  <c r="A940" i="1"/>
  <c r="B940" i="1"/>
  <c r="G940" i="1"/>
  <c r="H940" i="1"/>
  <c r="J940" i="1"/>
  <c r="A941" i="1"/>
  <c r="B941" i="1"/>
  <c r="G941" i="1"/>
  <c r="H941" i="1"/>
  <c r="J941" i="1"/>
  <c r="A942" i="1"/>
  <c r="B942" i="1"/>
  <c r="G942" i="1"/>
  <c r="H942" i="1"/>
  <c r="J942" i="1"/>
  <c r="A943" i="1"/>
  <c r="B943" i="1"/>
  <c r="G943" i="1"/>
  <c r="H943" i="1"/>
  <c r="J943" i="1"/>
  <c r="A944" i="1"/>
  <c r="B944" i="1"/>
  <c r="G944" i="1"/>
  <c r="H944" i="1"/>
  <c r="J944" i="1"/>
  <c r="A945" i="1"/>
  <c r="B945" i="1"/>
  <c r="G945" i="1"/>
  <c r="H945" i="1"/>
  <c r="J945" i="1"/>
  <c r="A946" i="1"/>
  <c r="B946" i="1"/>
  <c r="G946" i="1"/>
  <c r="H946" i="1"/>
  <c r="J946" i="1"/>
  <c r="A947" i="1"/>
  <c r="B947" i="1"/>
  <c r="G947" i="1"/>
  <c r="H947" i="1"/>
  <c r="J947" i="1"/>
  <c r="A948" i="1"/>
  <c r="B948" i="1"/>
  <c r="G948" i="1"/>
  <c r="H948" i="1"/>
  <c r="J948" i="1"/>
  <c r="A949" i="1"/>
  <c r="B949" i="1"/>
  <c r="G949" i="1"/>
  <c r="H949" i="1"/>
  <c r="J949" i="1"/>
  <c r="A950" i="1"/>
  <c r="B950" i="1"/>
  <c r="G950" i="1"/>
  <c r="H950" i="1"/>
  <c r="J950" i="1"/>
  <c r="A951" i="1"/>
  <c r="B951" i="1"/>
  <c r="G951" i="1"/>
  <c r="H951" i="1"/>
  <c r="J951" i="1"/>
  <c r="A952" i="1"/>
  <c r="B952" i="1"/>
  <c r="G952" i="1"/>
  <c r="H952" i="1"/>
  <c r="J952" i="1"/>
  <c r="A953" i="1"/>
  <c r="B953" i="1"/>
  <c r="G953" i="1"/>
  <c r="H953" i="1"/>
  <c r="J953" i="1"/>
  <c r="A954" i="1"/>
  <c r="B954" i="1"/>
  <c r="G954" i="1"/>
  <c r="H954" i="1"/>
  <c r="J954" i="1"/>
  <c r="A955" i="1"/>
  <c r="B955" i="1"/>
  <c r="G955" i="1"/>
  <c r="H955" i="1"/>
  <c r="J955" i="1"/>
  <c r="A956" i="1"/>
  <c r="B956" i="1"/>
  <c r="G956" i="1"/>
  <c r="H956" i="1"/>
  <c r="J956" i="1"/>
  <c r="A957" i="1"/>
  <c r="B957" i="1"/>
  <c r="G957" i="1"/>
  <c r="H957" i="1"/>
  <c r="J957" i="1"/>
  <c r="A958" i="1"/>
  <c r="B958" i="1"/>
  <c r="G958" i="1"/>
  <c r="H958" i="1"/>
  <c r="J958" i="1"/>
  <c r="A959" i="1"/>
  <c r="B959" i="1"/>
  <c r="G959" i="1"/>
  <c r="H959" i="1"/>
  <c r="J959" i="1"/>
  <c r="A960" i="1"/>
  <c r="B960" i="1"/>
  <c r="G960" i="1"/>
  <c r="H960" i="1"/>
  <c r="J960" i="1"/>
  <c r="A961" i="1"/>
  <c r="B961" i="1"/>
  <c r="G961" i="1"/>
  <c r="H961" i="1"/>
  <c r="J961" i="1"/>
  <c r="A962" i="1"/>
  <c r="B962" i="1"/>
  <c r="G962" i="1"/>
  <c r="H962" i="1"/>
  <c r="J962" i="1"/>
  <c r="A963" i="1"/>
  <c r="B963" i="1"/>
  <c r="G963" i="1"/>
  <c r="H963" i="1"/>
  <c r="J963" i="1"/>
  <c r="A964" i="1"/>
  <c r="B964" i="1"/>
  <c r="G964" i="1"/>
  <c r="H964" i="1"/>
  <c r="J964" i="1"/>
  <c r="A965" i="1"/>
  <c r="B965" i="1"/>
  <c r="G965" i="1"/>
  <c r="H965" i="1"/>
  <c r="J965" i="1"/>
  <c r="A966" i="1"/>
  <c r="B966" i="1"/>
  <c r="G966" i="1"/>
  <c r="H966" i="1"/>
  <c r="J966" i="1"/>
  <c r="A967" i="1"/>
  <c r="B967" i="1"/>
  <c r="G967" i="1"/>
  <c r="H967" i="1"/>
  <c r="J967" i="1"/>
  <c r="A968" i="1"/>
  <c r="B968" i="1"/>
  <c r="G968" i="1"/>
  <c r="H968" i="1"/>
  <c r="J968" i="1"/>
  <c r="A969" i="1"/>
  <c r="B969" i="1"/>
  <c r="G969" i="1"/>
  <c r="H969" i="1"/>
  <c r="J969" i="1"/>
  <c r="A970" i="1"/>
  <c r="B970" i="1"/>
  <c r="G970" i="1"/>
  <c r="H970" i="1"/>
  <c r="J970" i="1"/>
  <c r="A971" i="1"/>
  <c r="B971" i="1"/>
  <c r="G971" i="1"/>
  <c r="H971" i="1"/>
  <c r="J971" i="1"/>
  <c r="A972" i="1"/>
  <c r="B972" i="1"/>
  <c r="G972" i="1"/>
  <c r="H972" i="1"/>
  <c r="J972" i="1"/>
  <c r="A973" i="1"/>
  <c r="B973" i="1"/>
  <c r="G973" i="1"/>
  <c r="H973" i="1"/>
  <c r="J973" i="1"/>
  <c r="A974" i="1"/>
  <c r="B974" i="1"/>
  <c r="G974" i="1"/>
  <c r="H974" i="1"/>
  <c r="J974" i="1"/>
  <c r="A975" i="1"/>
  <c r="B975" i="1"/>
  <c r="G975" i="1"/>
  <c r="H975" i="1"/>
  <c r="J975" i="1"/>
  <c r="A976" i="1"/>
  <c r="B976" i="1"/>
  <c r="G976" i="1"/>
  <c r="H976" i="1"/>
  <c r="J976" i="1"/>
  <c r="A977" i="1"/>
  <c r="B977" i="1"/>
  <c r="G977" i="1"/>
  <c r="H977" i="1"/>
  <c r="J977" i="1"/>
  <c r="A978" i="1"/>
  <c r="B978" i="1"/>
  <c r="G978" i="1"/>
  <c r="H978" i="1"/>
  <c r="J978" i="1"/>
  <c r="A979" i="1"/>
  <c r="B979" i="1"/>
  <c r="G979" i="1"/>
  <c r="H979" i="1"/>
  <c r="J979" i="1"/>
  <c r="A980" i="1"/>
  <c r="B980" i="1"/>
  <c r="G980" i="1"/>
  <c r="H980" i="1"/>
  <c r="J980" i="1"/>
  <c r="A981" i="1"/>
  <c r="B981" i="1"/>
  <c r="G981" i="1"/>
  <c r="H981" i="1"/>
  <c r="J981" i="1"/>
  <c r="A982" i="1"/>
  <c r="B982" i="1"/>
  <c r="G982" i="1"/>
  <c r="H982" i="1"/>
  <c r="J982" i="1"/>
  <c r="A983" i="1"/>
  <c r="B983" i="1"/>
  <c r="G983" i="1"/>
  <c r="H983" i="1"/>
  <c r="J983" i="1"/>
  <c r="A984" i="1"/>
  <c r="B984" i="1"/>
  <c r="G984" i="1"/>
  <c r="H984" i="1"/>
  <c r="J984" i="1"/>
  <c r="A985" i="1"/>
  <c r="B985" i="1"/>
  <c r="G985" i="1"/>
  <c r="H985" i="1"/>
  <c r="J985" i="1"/>
  <c r="A986" i="1"/>
  <c r="B986" i="1"/>
  <c r="G986" i="1"/>
  <c r="H986" i="1"/>
  <c r="J986" i="1"/>
  <c r="A987" i="1"/>
  <c r="B987" i="1"/>
  <c r="G987" i="1"/>
  <c r="H987" i="1"/>
  <c r="J987" i="1"/>
  <c r="A988" i="1"/>
  <c r="B988" i="1"/>
  <c r="G988" i="1"/>
  <c r="H988" i="1"/>
  <c r="J988" i="1"/>
  <c r="A989" i="1"/>
  <c r="B989" i="1"/>
  <c r="G989" i="1"/>
  <c r="H989" i="1"/>
  <c r="J989" i="1"/>
  <c r="A990" i="1"/>
  <c r="B990" i="1"/>
  <c r="G990" i="1"/>
  <c r="H990" i="1"/>
  <c r="J990" i="1"/>
  <c r="A991" i="1"/>
  <c r="B991" i="1"/>
  <c r="G991" i="1"/>
  <c r="H991" i="1"/>
  <c r="J991" i="1"/>
  <c r="A992" i="1"/>
  <c r="B992" i="1"/>
  <c r="G992" i="1"/>
  <c r="H992" i="1"/>
  <c r="J992" i="1"/>
  <c r="A993" i="1"/>
  <c r="B993" i="1"/>
  <c r="G993" i="1"/>
  <c r="H993" i="1"/>
  <c r="J993" i="1"/>
  <c r="A994" i="1"/>
  <c r="B994" i="1"/>
  <c r="G994" i="1"/>
  <c r="H994" i="1"/>
  <c r="J994" i="1"/>
  <c r="A995" i="1"/>
  <c r="B995" i="1"/>
  <c r="G995" i="1"/>
  <c r="H995" i="1"/>
  <c r="J995" i="1"/>
  <c r="A996" i="1"/>
  <c r="B996" i="1"/>
  <c r="G996" i="1"/>
  <c r="H996" i="1"/>
  <c r="J996" i="1"/>
  <c r="A997" i="1"/>
  <c r="B997" i="1"/>
  <c r="G997" i="1"/>
  <c r="H997" i="1"/>
  <c r="J997" i="1"/>
  <c r="A998" i="1"/>
  <c r="B998" i="1"/>
  <c r="G998" i="1"/>
  <c r="H998" i="1"/>
  <c r="J998" i="1"/>
  <c r="A999" i="1"/>
  <c r="B999" i="1"/>
  <c r="G999" i="1"/>
  <c r="H999" i="1"/>
  <c r="J999" i="1"/>
  <c r="A1000" i="1"/>
  <c r="B1000" i="1"/>
  <c r="G1000" i="1"/>
  <c r="H1000" i="1"/>
  <c r="J1000" i="1"/>
  <c r="A1001" i="1"/>
  <c r="B1001" i="1"/>
  <c r="G1001" i="1"/>
  <c r="H1001" i="1"/>
  <c r="J1001" i="1"/>
  <c r="A1002" i="1"/>
  <c r="B1002" i="1"/>
  <c r="G1002" i="1"/>
  <c r="H1002" i="1"/>
  <c r="J1002" i="1"/>
  <c r="A1003" i="1"/>
  <c r="B1003" i="1"/>
  <c r="G1003" i="1"/>
  <c r="H1003" i="1"/>
  <c r="J1003" i="1"/>
  <c r="A1004" i="1"/>
  <c r="B1004" i="1"/>
  <c r="G1004" i="1"/>
  <c r="H1004" i="1"/>
  <c r="J1004" i="1"/>
  <c r="A1005" i="1"/>
  <c r="B1005" i="1"/>
  <c r="G1005" i="1"/>
  <c r="H1005" i="1"/>
  <c r="J1005" i="1"/>
  <c r="A1006" i="1"/>
  <c r="B1006" i="1"/>
  <c r="G1006" i="1"/>
  <c r="H1006" i="1"/>
  <c r="J1006" i="1"/>
  <c r="A1007" i="1"/>
  <c r="B1007" i="1"/>
  <c r="G1007" i="1"/>
  <c r="H1007" i="1"/>
  <c r="J1007" i="1"/>
  <c r="A1008" i="1"/>
  <c r="B1008" i="1"/>
  <c r="G1008" i="1"/>
  <c r="H1008" i="1"/>
  <c r="J1008" i="1"/>
  <c r="A1009" i="1"/>
  <c r="B1009" i="1"/>
  <c r="G1009" i="1"/>
  <c r="H1009" i="1"/>
  <c r="J1009" i="1"/>
  <c r="A1010" i="1"/>
  <c r="B1010" i="1"/>
  <c r="G1010" i="1"/>
  <c r="H1010" i="1"/>
  <c r="J1010" i="1"/>
  <c r="A1011" i="1"/>
  <c r="B1011" i="1"/>
  <c r="G1011" i="1"/>
  <c r="H1011" i="1"/>
  <c r="J1011" i="1"/>
  <c r="A1012" i="1"/>
  <c r="B1012" i="1"/>
  <c r="G1012" i="1"/>
  <c r="H1012" i="1"/>
  <c r="J1012" i="1"/>
  <c r="A1013" i="1"/>
  <c r="B1013" i="1"/>
  <c r="G1013" i="1"/>
  <c r="H1013" i="1"/>
  <c r="J1013" i="1"/>
  <c r="A1014" i="1"/>
  <c r="B1014" i="1"/>
  <c r="G1014" i="1"/>
  <c r="H1014" i="1"/>
  <c r="J1014" i="1"/>
  <c r="A1015" i="1"/>
  <c r="B1015" i="1"/>
  <c r="G1015" i="1"/>
  <c r="H1015" i="1"/>
  <c r="J1015" i="1"/>
  <c r="A1016" i="1"/>
  <c r="B1016" i="1"/>
  <c r="G1016" i="1"/>
  <c r="H1016" i="1"/>
  <c r="J1016" i="1"/>
  <c r="A1017" i="1"/>
  <c r="B1017" i="1"/>
  <c r="G1017" i="1"/>
  <c r="H1017" i="1"/>
  <c r="J1017" i="1"/>
  <c r="A1018" i="1"/>
  <c r="B1018" i="1"/>
  <c r="G1018" i="1"/>
  <c r="H1018" i="1"/>
  <c r="J1018" i="1"/>
  <c r="A1019" i="1"/>
  <c r="B1019" i="1"/>
  <c r="G1019" i="1"/>
  <c r="H1019" i="1"/>
  <c r="J1019" i="1"/>
  <c r="A1020" i="1"/>
  <c r="B1020" i="1"/>
  <c r="G1020" i="1"/>
  <c r="H1020" i="1"/>
  <c r="J1020" i="1"/>
  <c r="A1021" i="1"/>
  <c r="B1021" i="1"/>
  <c r="G1021" i="1"/>
  <c r="H1021" i="1"/>
  <c r="J1021" i="1"/>
  <c r="A1022" i="1"/>
  <c r="B1022" i="1"/>
  <c r="G1022" i="1"/>
  <c r="H1022" i="1"/>
  <c r="J1022" i="1"/>
  <c r="A1023" i="1"/>
  <c r="B1023" i="1"/>
  <c r="G1023" i="1"/>
  <c r="H1023" i="1"/>
  <c r="J1023" i="1"/>
  <c r="A1024" i="1"/>
  <c r="B1024" i="1"/>
  <c r="G1024" i="1"/>
  <c r="H1024" i="1"/>
  <c r="J1024" i="1"/>
  <c r="A1025" i="1"/>
  <c r="B1025" i="1"/>
  <c r="G1025" i="1"/>
  <c r="H1025" i="1"/>
  <c r="J1025" i="1"/>
  <c r="A1026" i="1"/>
  <c r="B1026" i="1"/>
  <c r="G1026" i="1"/>
  <c r="H1026" i="1"/>
  <c r="J1026" i="1"/>
  <c r="A1027" i="1"/>
  <c r="B1027" i="1"/>
  <c r="G1027" i="1"/>
  <c r="H1027" i="1"/>
  <c r="J1027" i="1"/>
  <c r="A1028" i="1"/>
  <c r="B1028" i="1"/>
  <c r="G1028" i="1"/>
  <c r="H1028" i="1"/>
  <c r="J1028" i="1"/>
  <c r="A1029" i="1"/>
  <c r="B1029" i="1"/>
  <c r="G1029" i="1"/>
  <c r="H1029" i="1"/>
  <c r="J1029" i="1"/>
  <c r="A1030" i="1"/>
  <c r="B1030" i="1"/>
  <c r="G1030" i="1"/>
  <c r="H1030" i="1"/>
  <c r="J1030" i="1"/>
  <c r="A1031" i="1"/>
  <c r="B1031" i="1"/>
  <c r="G1031" i="1"/>
  <c r="H1031" i="1"/>
  <c r="J1031" i="1"/>
  <c r="A1032" i="1"/>
  <c r="B1032" i="1"/>
  <c r="G1032" i="1"/>
  <c r="H1032" i="1"/>
  <c r="J1032" i="1"/>
  <c r="A1033" i="1"/>
  <c r="B1033" i="1"/>
  <c r="G1033" i="1"/>
  <c r="H1033" i="1"/>
  <c r="J1033" i="1"/>
  <c r="A1034" i="1"/>
  <c r="B1034" i="1"/>
  <c r="G1034" i="1"/>
  <c r="H1034" i="1"/>
  <c r="J1034" i="1"/>
  <c r="A1035" i="1"/>
  <c r="B1035" i="1"/>
  <c r="G1035" i="1"/>
  <c r="H1035" i="1"/>
  <c r="J1035" i="1"/>
  <c r="A1036" i="1"/>
  <c r="B1036" i="1"/>
  <c r="G1036" i="1"/>
  <c r="H1036" i="1"/>
  <c r="J1036" i="1"/>
  <c r="A1037" i="1"/>
  <c r="B1037" i="1"/>
  <c r="G1037" i="1"/>
  <c r="H1037" i="1"/>
  <c r="J1037" i="1"/>
  <c r="A1038" i="1"/>
  <c r="B1038" i="1"/>
  <c r="G1038" i="1"/>
  <c r="H1038" i="1"/>
  <c r="J1038" i="1"/>
  <c r="A1039" i="1"/>
  <c r="B1039" i="1"/>
  <c r="G1039" i="1"/>
  <c r="H1039" i="1"/>
  <c r="J1039" i="1"/>
  <c r="A1040" i="1"/>
  <c r="B1040" i="1"/>
  <c r="G1040" i="1"/>
  <c r="H1040" i="1"/>
  <c r="J1040" i="1"/>
  <c r="A1041" i="1"/>
  <c r="B1041" i="1"/>
  <c r="G1041" i="1"/>
  <c r="H1041" i="1"/>
  <c r="J1041" i="1"/>
  <c r="A1042" i="1"/>
  <c r="B1042" i="1"/>
  <c r="G1042" i="1"/>
  <c r="H1042" i="1"/>
  <c r="J1042" i="1"/>
  <c r="A1043" i="1"/>
  <c r="B1043" i="1"/>
  <c r="G1043" i="1"/>
  <c r="H1043" i="1"/>
  <c r="J1043" i="1"/>
  <c r="A1044" i="1"/>
  <c r="B1044" i="1"/>
  <c r="G1044" i="1"/>
  <c r="H1044" i="1"/>
  <c r="J1044" i="1"/>
  <c r="A1045" i="1"/>
  <c r="B1045" i="1"/>
  <c r="G1045" i="1"/>
  <c r="H1045" i="1"/>
  <c r="J1045" i="1"/>
  <c r="A1046" i="1"/>
  <c r="B1046" i="1"/>
  <c r="G1046" i="1"/>
  <c r="H1046" i="1"/>
  <c r="J1046" i="1"/>
  <c r="A1047" i="1"/>
  <c r="B1047" i="1"/>
  <c r="G1047" i="1"/>
  <c r="H1047" i="1"/>
  <c r="J1047" i="1"/>
  <c r="A1048" i="1"/>
  <c r="B1048" i="1"/>
  <c r="G1048" i="1"/>
  <c r="H1048" i="1"/>
  <c r="J1048" i="1"/>
  <c r="A1049" i="1"/>
  <c r="B1049" i="1"/>
  <c r="G1049" i="1"/>
  <c r="A1050" i="1"/>
  <c r="B1050" i="1"/>
  <c r="G1050" i="1"/>
  <c r="H1050" i="1"/>
  <c r="J1050" i="1"/>
  <c r="A1051" i="1"/>
  <c r="B1051" i="1"/>
  <c r="G1051" i="1"/>
  <c r="H1051" i="1"/>
  <c r="J1051" i="1"/>
  <c r="A1052" i="1"/>
  <c r="B1052" i="1"/>
  <c r="G1052" i="1"/>
  <c r="H1052" i="1"/>
  <c r="J1052" i="1"/>
  <c r="A1053" i="1"/>
  <c r="B1053" i="1"/>
  <c r="G1053" i="1"/>
  <c r="H1053" i="1"/>
  <c r="J1053" i="1"/>
  <c r="A1054" i="1"/>
  <c r="B1054" i="1"/>
  <c r="G1054" i="1"/>
  <c r="H1054" i="1"/>
  <c r="J1054" i="1"/>
  <c r="A1055" i="1"/>
  <c r="B1055" i="1"/>
  <c r="G1055" i="1"/>
  <c r="H1055" i="1"/>
  <c r="J1055" i="1"/>
  <c r="A1056" i="1"/>
  <c r="B1056" i="1"/>
  <c r="G1056" i="1"/>
  <c r="H1056" i="1"/>
  <c r="J1056" i="1"/>
  <c r="A1057" i="1"/>
  <c r="B1057" i="1"/>
  <c r="G1057" i="1"/>
  <c r="H1057" i="1"/>
  <c r="J1057" i="1"/>
  <c r="A1058" i="1"/>
  <c r="B1058" i="1"/>
  <c r="G1058" i="1"/>
  <c r="H1058" i="1"/>
  <c r="J1058" i="1"/>
  <c r="A1059" i="1"/>
  <c r="B1059" i="1"/>
  <c r="G1059" i="1"/>
  <c r="H1059" i="1"/>
  <c r="J1059" i="1"/>
  <c r="A1060" i="1"/>
  <c r="B1060" i="1"/>
  <c r="G1060" i="1"/>
  <c r="H1060" i="1"/>
  <c r="J1060" i="1"/>
  <c r="A1061" i="1"/>
  <c r="B1061" i="1"/>
  <c r="G1061" i="1"/>
  <c r="H1061" i="1"/>
  <c r="J1061" i="1"/>
  <c r="A1062" i="1"/>
  <c r="B1062" i="1"/>
  <c r="G1062" i="1"/>
  <c r="H1062" i="1"/>
  <c r="A1063" i="1"/>
  <c r="B1063" i="1"/>
  <c r="G1063" i="1"/>
  <c r="H1063" i="1"/>
  <c r="J1063" i="1"/>
  <c r="A1064" i="1"/>
  <c r="B1064" i="1"/>
  <c r="G1064" i="1"/>
  <c r="H1064" i="1"/>
  <c r="J1064" i="1"/>
  <c r="A1065" i="1"/>
  <c r="B1065" i="1"/>
  <c r="G1065" i="1"/>
  <c r="H1065" i="1"/>
  <c r="J1065" i="1"/>
  <c r="A1066" i="1"/>
  <c r="B1066" i="1"/>
  <c r="G1066" i="1"/>
  <c r="H1066" i="1"/>
  <c r="J1066" i="1"/>
  <c r="A1067" i="1"/>
  <c r="B1067" i="1"/>
  <c r="G1067" i="1"/>
  <c r="H1067" i="1"/>
  <c r="J1067" i="1"/>
  <c r="A1068" i="1"/>
  <c r="B1068" i="1"/>
  <c r="G1068" i="1"/>
  <c r="H1068" i="1"/>
  <c r="J1068" i="1"/>
  <c r="A1069" i="1"/>
  <c r="B1069" i="1"/>
  <c r="G1069" i="1"/>
  <c r="H1069" i="1"/>
  <c r="J1069" i="1"/>
  <c r="A1070" i="1"/>
  <c r="B1070" i="1"/>
  <c r="G1070" i="1"/>
  <c r="H1070" i="1"/>
  <c r="J1070" i="1"/>
  <c r="A1071" i="1"/>
  <c r="B1071" i="1"/>
  <c r="G1071" i="1"/>
  <c r="H1071" i="1"/>
  <c r="J1071" i="1"/>
  <c r="A1072" i="1"/>
  <c r="B1072" i="1"/>
  <c r="G1072" i="1"/>
  <c r="H1072" i="1"/>
  <c r="J1072" i="1"/>
  <c r="A1073" i="1"/>
  <c r="B1073" i="1"/>
  <c r="G1073" i="1"/>
  <c r="H1073" i="1"/>
  <c r="J1073" i="1"/>
  <c r="A1074" i="1"/>
  <c r="B1074" i="1"/>
  <c r="G1074" i="1"/>
  <c r="H1074" i="1"/>
  <c r="J1074" i="1"/>
  <c r="A1075" i="1"/>
  <c r="B1075" i="1"/>
  <c r="G1075" i="1"/>
  <c r="H1075" i="1"/>
  <c r="J1075" i="1"/>
  <c r="A1076" i="1"/>
  <c r="B1076" i="1"/>
  <c r="G1076" i="1"/>
  <c r="H1076" i="1"/>
  <c r="J1076" i="1"/>
  <c r="A1077" i="1"/>
  <c r="B1077" i="1"/>
  <c r="G1077" i="1"/>
  <c r="H1077" i="1"/>
  <c r="J1077" i="1"/>
  <c r="A1078" i="1"/>
  <c r="B1078" i="1"/>
  <c r="G1078" i="1"/>
  <c r="H1078" i="1"/>
  <c r="J1078" i="1"/>
  <c r="A1079" i="1"/>
  <c r="B1079" i="1"/>
  <c r="G1079" i="1"/>
  <c r="H1079" i="1"/>
  <c r="J1079" i="1"/>
  <c r="A1080" i="1"/>
  <c r="B1080" i="1"/>
  <c r="G1080" i="1"/>
  <c r="H1080" i="1"/>
  <c r="J1080" i="1"/>
  <c r="A1081" i="1"/>
  <c r="B1081" i="1"/>
  <c r="G1081" i="1"/>
  <c r="H1081" i="1"/>
  <c r="J1081" i="1"/>
  <c r="A1082" i="1"/>
  <c r="B1082" i="1"/>
  <c r="G1082" i="1"/>
  <c r="H1082" i="1"/>
  <c r="J1082" i="1"/>
  <c r="A1083" i="1"/>
  <c r="B1083" i="1"/>
  <c r="G1083" i="1"/>
  <c r="H1083" i="1"/>
  <c r="J1083" i="1"/>
  <c r="A1084" i="1"/>
  <c r="B1084" i="1"/>
  <c r="G1084" i="1"/>
  <c r="H1084" i="1"/>
  <c r="J1084" i="1"/>
  <c r="A1085" i="1"/>
  <c r="B1085" i="1"/>
  <c r="G1085" i="1"/>
  <c r="H1085" i="1"/>
  <c r="J1085" i="1"/>
  <c r="A1086" i="1"/>
  <c r="B1086" i="1"/>
  <c r="G1086" i="1"/>
  <c r="H1086" i="1"/>
  <c r="J1086" i="1"/>
  <c r="A1087" i="1"/>
  <c r="B1087" i="1"/>
  <c r="G1087" i="1"/>
  <c r="H1087" i="1"/>
  <c r="J1087" i="1"/>
  <c r="A1088" i="1"/>
  <c r="B1088" i="1"/>
  <c r="G1088" i="1"/>
  <c r="H1088" i="1"/>
  <c r="J1088" i="1"/>
  <c r="A1089" i="1"/>
  <c r="B1089" i="1"/>
  <c r="G1089" i="1"/>
  <c r="H1089" i="1"/>
  <c r="J1089" i="1"/>
  <c r="A1090" i="1"/>
  <c r="B1090" i="1"/>
  <c r="G1090" i="1"/>
  <c r="H1090" i="1"/>
  <c r="J1090" i="1"/>
  <c r="A1091" i="1"/>
  <c r="B1091" i="1"/>
  <c r="G1091" i="1"/>
  <c r="H1091" i="1"/>
  <c r="J1091" i="1"/>
  <c r="A1092" i="1"/>
  <c r="B1092" i="1"/>
  <c r="G1092" i="1"/>
  <c r="H1092" i="1"/>
  <c r="J1092" i="1"/>
  <c r="A1093" i="1"/>
  <c r="B1093" i="1"/>
  <c r="G1093" i="1"/>
  <c r="H1093" i="1"/>
  <c r="J1093" i="1"/>
  <c r="A1094" i="1"/>
  <c r="B1094" i="1"/>
  <c r="G1094" i="1"/>
  <c r="H1094" i="1"/>
  <c r="J1094" i="1"/>
  <c r="A1095" i="1"/>
  <c r="B1095" i="1"/>
  <c r="G1095" i="1"/>
  <c r="H1095" i="1"/>
  <c r="J1095" i="1"/>
  <c r="A1096" i="1"/>
  <c r="B1096" i="1"/>
  <c r="G1096" i="1"/>
  <c r="H1096" i="1"/>
  <c r="J1096" i="1"/>
  <c r="A1097" i="1"/>
  <c r="B1097" i="1"/>
  <c r="G1097" i="1"/>
  <c r="H1097" i="1"/>
  <c r="J1097" i="1"/>
  <c r="A1098" i="1"/>
  <c r="B1098" i="1"/>
  <c r="G1098" i="1"/>
  <c r="H1098" i="1"/>
  <c r="J1098" i="1"/>
  <c r="A1099" i="1"/>
  <c r="B1099" i="1"/>
  <c r="G1099" i="1"/>
  <c r="H1099" i="1"/>
  <c r="J1099" i="1"/>
  <c r="A1100" i="1"/>
  <c r="B1100" i="1"/>
  <c r="G1100" i="1"/>
  <c r="H1100" i="1"/>
  <c r="J1100" i="1"/>
  <c r="A1101" i="1"/>
  <c r="B1101" i="1"/>
  <c r="G1101" i="1"/>
  <c r="H1101" i="1"/>
  <c r="J1101" i="1"/>
  <c r="A1102" i="1"/>
  <c r="B1102" i="1"/>
  <c r="G1102" i="1"/>
  <c r="H1102" i="1"/>
  <c r="J1102" i="1"/>
  <c r="A1103" i="1"/>
  <c r="B1103" i="1"/>
  <c r="G1103" i="1"/>
  <c r="H1103" i="1"/>
  <c r="J1103" i="1"/>
  <c r="A1104" i="1"/>
  <c r="B1104" i="1"/>
  <c r="G1104" i="1"/>
  <c r="H1104" i="1"/>
  <c r="J1104" i="1"/>
  <c r="A1105" i="1"/>
  <c r="B1105" i="1"/>
  <c r="G1105" i="1"/>
  <c r="H1105" i="1"/>
  <c r="J1105" i="1"/>
  <c r="A1106" i="1"/>
  <c r="B1106" i="1"/>
  <c r="G1106" i="1"/>
  <c r="H1106" i="1"/>
  <c r="J1106" i="1"/>
  <c r="A1107" i="1"/>
  <c r="B1107" i="1"/>
  <c r="G1107" i="1"/>
  <c r="H1107" i="1"/>
  <c r="J1107" i="1"/>
  <c r="A1108" i="1"/>
  <c r="B1108" i="1"/>
  <c r="G1108" i="1"/>
  <c r="H1108" i="1"/>
  <c r="J1108" i="1"/>
  <c r="A1109" i="1"/>
  <c r="B1109" i="1"/>
  <c r="G1109" i="1"/>
  <c r="H1109" i="1"/>
  <c r="J1109" i="1"/>
  <c r="A1110" i="1"/>
  <c r="B1110" i="1"/>
  <c r="G1110" i="1"/>
  <c r="H1110" i="1"/>
  <c r="J1110" i="1"/>
  <c r="A1111" i="1"/>
  <c r="B1111" i="1"/>
  <c r="G1111" i="1"/>
  <c r="H1111" i="1"/>
  <c r="J1111" i="1"/>
  <c r="A1112" i="1"/>
  <c r="B1112" i="1"/>
  <c r="G1112" i="1"/>
  <c r="H1112" i="1"/>
  <c r="J1112" i="1"/>
  <c r="A1113" i="1"/>
  <c r="B1113" i="1"/>
  <c r="G1113" i="1"/>
  <c r="H1113" i="1"/>
  <c r="J1113" i="1"/>
  <c r="A1114" i="1"/>
  <c r="B1114" i="1"/>
  <c r="G1114" i="1"/>
  <c r="H1114" i="1"/>
  <c r="J1114" i="1"/>
  <c r="A1115" i="1"/>
  <c r="B1115" i="1"/>
  <c r="G1115" i="1"/>
  <c r="H1115" i="1"/>
  <c r="J1115" i="1"/>
  <c r="A1116" i="1"/>
  <c r="B1116" i="1"/>
  <c r="G1116" i="1"/>
  <c r="H1116" i="1"/>
  <c r="J1116" i="1"/>
  <c r="A1117" i="1"/>
  <c r="B1117" i="1"/>
  <c r="G1117" i="1"/>
  <c r="H1117" i="1"/>
  <c r="J1117" i="1"/>
  <c r="A1118" i="1"/>
  <c r="B1118" i="1"/>
  <c r="G1118" i="1"/>
  <c r="H1118" i="1"/>
  <c r="J1118" i="1"/>
  <c r="A1119" i="1"/>
  <c r="B1119" i="1"/>
  <c r="G1119" i="1"/>
  <c r="H1119" i="1"/>
  <c r="J1119" i="1"/>
  <c r="A1120" i="1"/>
  <c r="B1120" i="1"/>
  <c r="G1120" i="1"/>
  <c r="H1120" i="1"/>
  <c r="J1120" i="1"/>
  <c r="A1121" i="1"/>
  <c r="B1121" i="1"/>
  <c r="G1121" i="1"/>
  <c r="H1121" i="1"/>
  <c r="J1121" i="1"/>
  <c r="A1122" i="1"/>
  <c r="B1122" i="1"/>
  <c r="G1122" i="1"/>
  <c r="H1122" i="1"/>
  <c r="J1122" i="1"/>
  <c r="A1123" i="1"/>
  <c r="B1123" i="1"/>
  <c r="G1123" i="1"/>
  <c r="H1123" i="1"/>
  <c r="J1123" i="1"/>
  <c r="A1124" i="1"/>
  <c r="B1124" i="1"/>
  <c r="G1124" i="1"/>
  <c r="H1124" i="1"/>
  <c r="J1124" i="1"/>
  <c r="A1125" i="1"/>
  <c r="B1125" i="1"/>
  <c r="G1125" i="1"/>
  <c r="H1125" i="1"/>
  <c r="J1125" i="1"/>
  <c r="A1126" i="1"/>
  <c r="B1126" i="1"/>
  <c r="G1126" i="1"/>
  <c r="H1126" i="1"/>
  <c r="J1126" i="1"/>
  <c r="A1127" i="1"/>
  <c r="B1127" i="1"/>
  <c r="G1127" i="1"/>
  <c r="H1127" i="1"/>
  <c r="J1127" i="1"/>
  <c r="A1128" i="1"/>
  <c r="B1128" i="1"/>
  <c r="G1128" i="1"/>
  <c r="H1128" i="1"/>
  <c r="J1128" i="1"/>
  <c r="A1129" i="1"/>
  <c r="B1129" i="1"/>
  <c r="G1129" i="1"/>
  <c r="H1129" i="1"/>
  <c r="J1129" i="1"/>
  <c r="A1130" i="1"/>
  <c r="B1130" i="1"/>
  <c r="G1130" i="1"/>
  <c r="H1130" i="1"/>
  <c r="J1130" i="1"/>
  <c r="A1131" i="1"/>
  <c r="B1131" i="1"/>
  <c r="G1131" i="1"/>
  <c r="H1131" i="1"/>
  <c r="J1131" i="1"/>
  <c r="A1132" i="1"/>
  <c r="B1132" i="1"/>
  <c r="G1132" i="1"/>
  <c r="H1132" i="1"/>
  <c r="J1132" i="1"/>
  <c r="A1133" i="1"/>
  <c r="B1133" i="1"/>
  <c r="G1133" i="1"/>
  <c r="H1133" i="1"/>
  <c r="J1133" i="1"/>
  <c r="A1134" i="1"/>
  <c r="B1134" i="1"/>
  <c r="G1134" i="1"/>
  <c r="H1134" i="1"/>
  <c r="J1134" i="1"/>
  <c r="A1135" i="1"/>
  <c r="B1135" i="1"/>
  <c r="G1135" i="1"/>
  <c r="H1135" i="1"/>
  <c r="J1135" i="1"/>
  <c r="A1136" i="1"/>
  <c r="B1136" i="1"/>
  <c r="G1136" i="1"/>
  <c r="H1136" i="1"/>
  <c r="J1136" i="1"/>
  <c r="A1137" i="1"/>
  <c r="B1137" i="1"/>
  <c r="G1137" i="1"/>
  <c r="H1137" i="1"/>
  <c r="J1137" i="1"/>
  <c r="A1138" i="1"/>
  <c r="B1138" i="1"/>
  <c r="G1138" i="1"/>
  <c r="H1138" i="1"/>
  <c r="J1138" i="1"/>
  <c r="A1139" i="1"/>
  <c r="B1139" i="1"/>
  <c r="G1139" i="1"/>
  <c r="H1139" i="1"/>
  <c r="J1139" i="1"/>
  <c r="A1140" i="1"/>
  <c r="B1140" i="1"/>
  <c r="G1140" i="1"/>
  <c r="H1140" i="1"/>
  <c r="J1140" i="1"/>
  <c r="A1141" i="1"/>
  <c r="B1141" i="1"/>
  <c r="G1141" i="1"/>
  <c r="H1141" i="1"/>
  <c r="J1141" i="1"/>
  <c r="A1142" i="1"/>
  <c r="B1142" i="1"/>
  <c r="G1142" i="1"/>
  <c r="H1142" i="1"/>
  <c r="J1142" i="1"/>
  <c r="A1143" i="1"/>
  <c r="B1143" i="1"/>
  <c r="G1143" i="1"/>
  <c r="H1143" i="1"/>
  <c r="A1144" i="1"/>
  <c r="B1144" i="1"/>
  <c r="G1144" i="1"/>
  <c r="H1144" i="1"/>
  <c r="J1144" i="1"/>
  <c r="A1145" i="1"/>
  <c r="B1145" i="1"/>
  <c r="G1145" i="1"/>
  <c r="H1145" i="1"/>
  <c r="J1145" i="1"/>
  <c r="A1146" i="1"/>
  <c r="B1146" i="1"/>
  <c r="G1146" i="1"/>
  <c r="H1146" i="1"/>
  <c r="J1146" i="1"/>
  <c r="A1147" i="1"/>
  <c r="B1147" i="1"/>
  <c r="G1147" i="1"/>
  <c r="H1147" i="1"/>
  <c r="J1147" i="1"/>
  <c r="A1148" i="1"/>
  <c r="B1148" i="1"/>
  <c r="G1148" i="1"/>
  <c r="A1149" i="1"/>
  <c r="B1149" i="1"/>
  <c r="G1149" i="1"/>
  <c r="H1149" i="1"/>
  <c r="J1149" i="1"/>
  <c r="A1150" i="1"/>
  <c r="B1150" i="1"/>
  <c r="G1150" i="1"/>
  <c r="H1150" i="1"/>
  <c r="J1150" i="1"/>
  <c r="A1151" i="1"/>
  <c r="B1151" i="1"/>
  <c r="G1151" i="1"/>
  <c r="H1151" i="1"/>
  <c r="J1151" i="1"/>
  <c r="A1152" i="1"/>
  <c r="B1152" i="1"/>
  <c r="G1152" i="1"/>
  <c r="H1152" i="1"/>
  <c r="J1152" i="1"/>
  <c r="A1153" i="1"/>
  <c r="B1153" i="1"/>
  <c r="G1153" i="1"/>
  <c r="H1153" i="1"/>
  <c r="J1153" i="1"/>
  <c r="A1154" i="1"/>
  <c r="B1154" i="1"/>
  <c r="G1154" i="1"/>
  <c r="H1154" i="1"/>
  <c r="J1154" i="1"/>
  <c r="A1155" i="1"/>
  <c r="B1155" i="1"/>
  <c r="G1155" i="1"/>
  <c r="H1155" i="1"/>
  <c r="J1155" i="1"/>
  <c r="A1156" i="1"/>
  <c r="B1156" i="1"/>
  <c r="G1156" i="1"/>
  <c r="H1156" i="1"/>
  <c r="J1156" i="1"/>
  <c r="A1157" i="1"/>
  <c r="B1157" i="1"/>
  <c r="G1157" i="1"/>
  <c r="H1157" i="1"/>
  <c r="J1157" i="1"/>
  <c r="A1158" i="1"/>
  <c r="B1158" i="1"/>
  <c r="G1158" i="1"/>
  <c r="H1158" i="1"/>
  <c r="J1158" i="1"/>
  <c r="A1159" i="1"/>
  <c r="B1159" i="1"/>
  <c r="G1159" i="1"/>
  <c r="H1159" i="1"/>
  <c r="J1159" i="1"/>
  <c r="A1160" i="1"/>
  <c r="B1160" i="1"/>
  <c r="G1160" i="1"/>
  <c r="H1160" i="1"/>
  <c r="J1160" i="1"/>
  <c r="A1161" i="1"/>
  <c r="B1161" i="1"/>
  <c r="G1161" i="1"/>
  <c r="H1161" i="1"/>
  <c r="J1161" i="1"/>
  <c r="A1162" i="1"/>
  <c r="B1162" i="1"/>
  <c r="G1162" i="1"/>
  <c r="H1162" i="1"/>
  <c r="J1162" i="1"/>
  <c r="A1163" i="1"/>
  <c r="B1163" i="1"/>
  <c r="G1163" i="1"/>
  <c r="H1163" i="1"/>
  <c r="A1164" i="1"/>
  <c r="B1164" i="1"/>
  <c r="I1164" i="1"/>
  <c r="J1164" i="1"/>
  <c r="A1165" i="1"/>
  <c r="B1165" i="1"/>
  <c r="G1165" i="1"/>
  <c r="H1165" i="1"/>
  <c r="J1165" i="1"/>
  <c r="A1166" i="1"/>
  <c r="B1166" i="1"/>
  <c r="G1166" i="1"/>
  <c r="H1166" i="1"/>
  <c r="J1166" i="1"/>
  <c r="A1167" i="1"/>
  <c r="B1167" i="1"/>
  <c r="G1167" i="1"/>
  <c r="H1167" i="1"/>
  <c r="J1167" i="1"/>
  <c r="A1168" i="1"/>
  <c r="B1168" i="1"/>
  <c r="G1168" i="1"/>
  <c r="H1168" i="1"/>
  <c r="J1168" i="1"/>
  <c r="A1169" i="1"/>
  <c r="B1169" i="1"/>
  <c r="G1169" i="1"/>
  <c r="H1169" i="1"/>
  <c r="J1169" i="1"/>
  <c r="A1170" i="1"/>
  <c r="B1170" i="1"/>
  <c r="G1170" i="1"/>
  <c r="H1170" i="1"/>
  <c r="J1170" i="1"/>
  <c r="A1171" i="1"/>
  <c r="B1171" i="1"/>
  <c r="G1171" i="1"/>
  <c r="H1171" i="1"/>
  <c r="J1171" i="1"/>
  <c r="A1172" i="1"/>
  <c r="B1172" i="1"/>
  <c r="G1172" i="1"/>
  <c r="H1172" i="1"/>
  <c r="J1172" i="1"/>
  <c r="A1173" i="1"/>
  <c r="B1173" i="1"/>
  <c r="G1173" i="1"/>
  <c r="H1173" i="1"/>
  <c r="J1173" i="1"/>
  <c r="A1174" i="1"/>
  <c r="B1174" i="1"/>
  <c r="G1174" i="1"/>
  <c r="H1174" i="1"/>
  <c r="J1174" i="1"/>
  <c r="A1175" i="1"/>
  <c r="B1175" i="1"/>
  <c r="G1175" i="1"/>
  <c r="H1175" i="1"/>
  <c r="J1175" i="1"/>
  <c r="A1176" i="1"/>
  <c r="B1176" i="1"/>
  <c r="G1176" i="1"/>
  <c r="H1176" i="1"/>
  <c r="J1176" i="1"/>
  <c r="A1177" i="1"/>
  <c r="B1177" i="1"/>
  <c r="G1177" i="1"/>
  <c r="H1177" i="1"/>
  <c r="J1177" i="1"/>
  <c r="A1178" i="1"/>
  <c r="B1178" i="1"/>
  <c r="G1178" i="1"/>
  <c r="H1178" i="1"/>
  <c r="J1178" i="1"/>
  <c r="A1179" i="1"/>
  <c r="B1179" i="1"/>
  <c r="G1179" i="1"/>
  <c r="H1179" i="1"/>
  <c r="J1179" i="1"/>
  <c r="A1180" i="1"/>
  <c r="B1180" i="1"/>
  <c r="G1180" i="1"/>
  <c r="H1180" i="1"/>
  <c r="J1180" i="1"/>
  <c r="A1181" i="1"/>
  <c r="B1181" i="1"/>
  <c r="G1181" i="1"/>
  <c r="H1181" i="1"/>
  <c r="J1181" i="1"/>
  <c r="A1182" i="1"/>
  <c r="B1182" i="1"/>
  <c r="G1182" i="1"/>
  <c r="H1182" i="1"/>
  <c r="J1182" i="1"/>
  <c r="A1183" i="1"/>
  <c r="B1183" i="1"/>
  <c r="G1183" i="1"/>
  <c r="H1183" i="1"/>
  <c r="J1183" i="1"/>
  <c r="A1184" i="1"/>
  <c r="B1184" i="1"/>
  <c r="G1184" i="1"/>
  <c r="H1184" i="1"/>
  <c r="J1184" i="1"/>
  <c r="A1185" i="1"/>
  <c r="B1185" i="1"/>
  <c r="G1185" i="1"/>
  <c r="H1185" i="1"/>
  <c r="J1185" i="1"/>
  <c r="A1186" i="1"/>
  <c r="B1186" i="1"/>
  <c r="G1186" i="1"/>
  <c r="H1186" i="1"/>
  <c r="J1186" i="1"/>
  <c r="A1187" i="1"/>
  <c r="B1187" i="1"/>
  <c r="G1187" i="1"/>
  <c r="H1187" i="1"/>
  <c r="J1187" i="1"/>
  <c r="A1188" i="1"/>
  <c r="B1188" i="1"/>
  <c r="G1188" i="1"/>
  <c r="H1188" i="1"/>
  <c r="J1188" i="1"/>
  <c r="A1189" i="1"/>
  <c r="B1189" i="1"/>
  <c r="G1189" i="1"/>
  <c r="H1189" i="1"/>
  <c r="J1189" i="1"/>
  <c r="A1190" i="1"/>
  <c r="B1190" i="1"/>
  <c r="G1190" i="1"/>
  <c r="H1190" i="1"/>
  <c r="J1190" i="1"/>
  <c r="A1191" i="1"/>
  <c r="B1191" i="1"/>
  <c r="G1191" i="1"/>
  <c r="H1191" i="1"/>
  <c r="J1191" i="1"/>
  <c r="A1192" i="1"/>
  <c r="B1192" i="1"/>
  <c r="G1192" i="1"/>
  <c r="H1192" i="1"/>
  <c r="J1192" i="1"/>
  <c r="A1193" i="1"/>
  <c r="B1193" i="1"/>
  <c r="G1193" i="1"/>
  <c r="H1193" i="1"/>
  <c r="J1193" i="1"/>
  <c r="A1194" i="1"/>
  <c r="B1194" i="1"/>
  <c r="G1194" i="1"/>
  <c r="H1194" i="1"/>
  <c r="J1194" i="1"/>
  <c r="A1195" i="1"/>
  <c r="B1195" i="1"/>
  <c r="G1195" i="1"/>
  <c r="H1195" i="1"/>
  <c r="J1195" i="1"/>
  <c r="A1196" i="1"/>
  <c r="B1196" i="1"/>
  <c r="G1196" i="1"/>
  <c r="H1196" i="1"/>
  <c r="J1196" i="1"/>
  <c r="A1197" i="1"/>
  <c r="B1197" i="1"/>
  <c r="G1197" i="1"/>
  <c r="H1197" i="1"/>
  <c r="J1197" i="1"/>
  <c r="A1198" i="1"/>
  <c r="B1198" i="1"/>
  <c r="G1198" i="1"/>
  <c r="H1198" i="1"/>
  <c r="J1198" i="1"/>
  <c r="A1199" i="1"/>
  <c r="B1199" i="1"/>
  <c r="G1199" i="1"/>
  <c r="H1199" i="1"/>
  <c r="J1199" i="1"/>
  <c r="A1200" i="1"/>
  <c r="B1200" i="1"/>
  <c r="G1200" i="1"/>
  <c r="H1200" i="1"/>
  <c r="J1200" i="1"/>
  <c r="A1201" i="1"/>
  <c r="B1201" i="1"/>
  <c r="G1201" i="1"/>
  <c r="H1201" i="1"/>
  <c r="J1201" i="1"/>
  <c r="A1202" i="1"/>
  <c r="B1202" i="1"/>
  <c r="G1202" i="1"/>
  <c r="H1202" i="1"/>
  <c r="J1202" i="1"/>
  <c r="A1203" i="1"/>
  <c r="B1203" i="1"/>
  <c r="G1203" i="1"/>
  <c r="H1203" i="1"/>
  <c r="J1203" i="1"/>
  <c r="A1204" i="1"/>
  <c r="B1204" i="1"/>
  <c r="G1204" i="1"/>
  <c r="H1204" i="1"/>
  <c r="J1204" i="1"/>
  <c r="A1205" i="1"/>
  <c r="B1205" i="1"/>
  <c r="G1205" i="1"/>
  <c r="H1205" i="1"/>
  <c r="J1205" i="1"/>
  <c r="A1206" i="1"/>
  <c r="B1206" i="1"/>
  <c r="G1206" i="1"/>
  <c r="H1206" i="1"/>
  <c r="J1206" i="1"/>
  <c r="A1207" i="1"/>
  <c r="B1207" i="1"/>
  <c r="G1207" i="1"/>
  <c r="H1207" i="1"/>
  <c r="J1207" i="1"/>
  <c r="A1208" i="1"/>
  <c r="B1208" i="1"/>
  <c r="G1208" i="1"/>
  <c r="H1208" i="1"/>
  <c r="J1208" i="1"/>
  <c r="A1209" i="1"/>
  <c r="B1209" i="1"/>
  <c r="G1209" i="1"/>
  <c r="H1209" i="1"/>
  <c r="J1209" i="1"/>
  <c r="A1210" i="1"/>
  <c r="B1210" i="1"/>
  <c r="G1210" i="1"/>
  <c r="H1210" i="1"/>
  <c r="J1210" i="1"/>
  <c r="A1211" i="1"/>
  <c r="B1211" i="1"/>
  <c r="G1211" i="1"/>
  <c r="H1211" i="1"/>
  <c r="J1211" i="1"/>
  <c r="A1212" i="1"/>
  <c r="B1212" i="1"/>
  <c r="G1212" i="1"/>
  <c r="H1212" i="1"/>
  <c r="J1212" i="1"/>
  <c r="A1213" i="1"/>
  <c r="B1213" i="1"/>
  <c r="G1213" i="1"/>
  <c r="H1213" i="1"/>
  <c r="J1213" i="1"/>
  <c r="A1214" i="1"/>
  <c r="B1214" i="1"/>
  <c r="G1214" i="1"/>
  <c r="H1214" i="1"/>
  <c r="J1214" i="1"/>
  <c r="A1215" i="1"/>
  <c r="B1215" i="1"/>
  <c r="G1215" i="1"/>
  <c r="H1215" i="1"/>
  <c r="J1215" i="1"/>
  <c r="A1216" i="1"/>
  <c r="B1216" i="1"/>
  <c r="G1216" i="1"/>
  <c r="H1216" i="1"/>
  <c r="J1216" i="1"/>
  <c r="A1217" i="1"/>
  <c r="B1217" i="1"/>
  <c r="G1217" i="1"/>
  <c r="H1217" i="1"/>
  <c r="J1217" i="1"/>
  <c r="A1218" i="1"/>
  <c r="B1218" i="1"/>
  <c r="G1218" i="1"/>
  <c r="H1218" i="1"/>
  <c r="J1218" i="1"/>
  <c r="A1219" i="1"/>
  <c r="B1219" i="1"/>
  <c r="G1219" i="1"/>
  <c r="H1219" i="1"/>
  <c r="J1219" i="1"/>
  <c r="A1220" i="1"/>
  <c r="B1220" i="1"/>
  <c r="G1220" i="1"/>
  <c r="H1220" i="1"/>
  <c r="J1220" i="1"/>
  <c r="A1221" i="1"/>
  <c r="B1221" i="1"/>
  <c r="G1221" i="1"/>
  <c r="H1221" i="1"/>
  <c r="J1221" i="1"/>
  <c r="A1222" i="1"/>
  <c r="B1222" i="1"/>
  <c r="G1222" i="1"/>
  <c r="H1222" i="1"/>
  <c r="J1222" i="1"/>
  <c r="A1223" i="1"/>
  <c r="B1223" i="1"/>
  <c r="G1223" i="1"/>
  <c r="H1223" i="1"/>
  <c r="J1223" i="1"/>
  <c r="A1224" i="1"/>
  <c r="B1224" i="1"/>
  <c r="G1224" i="1"/>
  <c r="H1224" i="1"/>
  <c r="J1224" i="1"/>
  <c r="A1225" i="1"/>
  <c r="B1225" i="1"/>
  <c r="G1225" i="1"/>
  <c r="H1225" i="1"/>
  <c r="J1225" i="1"/>
  <c r="A1226" i="1"/>
  <c r="B1226" i="1"/>
  <c r="G1226" i="1"/>
  <c r="H1226" i="1"/>
  <c r="J1226" i="1"/>
  <c r="A1227" i="1"/>
  <c r="B1227" i="1"/>
  <c r="G1227" i="1"/>
  <c r="H1227" i="1"/>
  <c r="J1227" i="1"/>
  <c r="A1228" i="1"/>
  <c r="B1228" i="1"/>
  <c r="G1228" i="1"/>
  <c r="H1228" i="1"/>
  <c r="J1228" i="1"/>
  <c r="A1229" i="1"/>
  <c r="B1229" i="1"/>
  <c r="G1229" i="1"/>
  <c r="H1229" i="1"/>
  <c r="J1229" i="1"/>
  <c r="A1230" i="1"/>
  <c r="B1230" i="1"/>
  <c r="G1230" i="1"/>
  <c r="H1230" i="1"/>
  <c r="J1230" i="1"/>
  <c r="A1231" i="1"/>
  <c r="B1231" i="1"/>
  <c r="G1231" i="1"/>
  <c r="H1231" i="1"/>
  <c r="J1231" i="1"/>
  <c r="A1232" i="1"/>
  <c r="B1232" i="1"/>
  <c r="G1232" i="1"/>
  <c r="H1232" i="1"/>
  <c r="J1232" i="1"/>
  <c r="A1233" i="1"/>
  <c r="B1233" i="1"/>
  <c r="G1233" i="1"/>
  <c r="H1233" i="1"/>
  <c r="J1233" i="1"/>
  <c r="A1234" i="1"/>
  <c r="B1234" i="1"/>
  <c r="G1234" i="1"/>
  <c r="H1234" i="1"/>
  <c r="J1234" i="1"/>
  <c r="A1235" i="1"/>
  <c r="B1235" i="1"/>
  <c r="G1235" i="1"/>
  <c r="H1235" i="1"/>
  <c r="J1235" i="1"/>
  <c r="A1236" i="1"/>
  <c r="B1236" i="1"/>
  <c r="G1236" i="1"/>
  <c r="H1236" i="1"/>
  <c r="J1236" i="1"/>
  <c r="A1237" i="1"/>
  <c r="B1237" i="1"/>
  <c r="G1237" i="1"/>
  <c r="H1237" i="1"/>
  <c r="J1237" i="1"/>
  <c r="A1238" i="1"/>
  <c r="B1238" i="1"/>
  <c r="G1238" i="1"/>
  <c r="H1238" i="1"/>
  <c r="J1238" i="1"/>
  <c r="A1239" i="1"/>
  <c r="B1239" i="1"/>
  <c r="G1239" i="1"/>
  <c r="H1239" i="1"/>
  <c r="J1239" i="1"/>
  <c r="A1240" i="1"/>
  <c r="B1240" i="1"/>
  <c r="G1240" i="1"/>
  <c r="H1240" i="1"/>
  <c r="J1240" i="1"/>
  <c r="A1241" i="1"/>
  <c r="B1241" i="1"/>
  <c r="G1241" i="1"/>
  <c r="H1241" i="1"/>
  <c r="J1241" i="1"/>
  <c r="A1242" i="1"/>
  <c r="B1242" i="1"/>
  <c r="G1242" i="1"/>
  <c r="H1242" i="1"/>
  <c r="J1242" i="1"/>
  <c r="A1243" i="1"/>
  <c r="B1243" i="1"/>
  <c r="G1243" i="1"/>
  <c r="H1243" i="1"/>
  <c r="J1243" i="1"/>
  <c r="A1244" i="1"/>
  <c r="B1244" i="1"/>
  <c r="G1244" i="1"/>
  <c r="H1244" i="1"/>
  <c r="J1244" i="1"/>
  <c r="A1245" i="1"/>
  <c r="B1245" i="1"/>
  <c r="G1245" i="1"/>
  <c r="H1245" i="1"/>
  <c r="J1245" i="1"/>
  <c r="A1246" i="1"/>
  <c r="B1246" i="1"/>
  <c r="G1246" i="1"/>
  <c r="H1246" i="1"/>
  <c r="J1246" i="1"/>
  <c r="A1247" i="1"/>
  <c r="B1247" i="1"/>
  <c r="G1247" i="1"/>
  <c r="H1247" i="1"/>
  <c r="J1247" i="1"/>
  <c r="A1248" i="1"/>
  <c r="B1248" i="1"/>
  <c r="G1248" i="1"/>
  <c r="H1248" i="1"/>
  <c r="J1248" i="1"/>
  <c r="A1249" i="1"/>
  <c r="B1249" i="1"/>
  <c r="G1249" i="1"/>
  <c r="H1249" i="1"/>
  <c r="J1249" i="1"/>
  <c r="A1250" i="1"/>
  <c r="B1250" i="1"/>
  <c r="G1250" i="1"/>
  <c r="H1250" i="1"/>
  <c r="J1250" i="1"/>
  <c r="A1251" i="1"/>
  <c r="B1251" i="1"/>
  <c r="G1251" i="1"/>
  <c r="H1251" i="1"/>
  <c r="J1251" i="1"/>
  <c r="A1252" i="1"/>
  <c r="B1252" i="1"/>
  <c r="G1252" i="1"/>
  <c r="H1252" i="1"/>
  <c r="J1252" i="1"/>
  <c r="A1253" i="1"/>
  <c r="B1253" i="1"/>
  <c r="G1253" i="1"/>
  <c r="H1253" i="1"/>
  <c r="J1253" i="1"/>
  <c r="A1254" i="1"/>
  <c r="B1254" i="1"/>
  <c r="G1254" i="1"/>
  <c r="H1254" i="1"/>
  <c r="J1254" i="1"/>
  <c r="A1255" i="1"/>
  <c r="B1255" i="1"/>
  <c r="G1255" i="1"/>
  <c r="H1255" i="1"/>
  <c r="J1255" i="1"/>
  <c r="A1256" i="1"/>
  <c r="B1256" i="1"/>
  <c r="G1256" i="1"/>
  <c r="H1256" i="1"/>
  <c r="J1256" i="1"/>
  <c r="A1257" i="1"/>
  <c r="B1257" i="1"/>
  <c r="G1257" i="1"/>
  <c r="H1257" i="1"/>
  <c r="J1257" i="1"/>
  <c r="A1258" i="1"/>
  <c r="B1258" i="1"/>
  <c r="G1258" i="1"/>
  <c r="H1258" i="1"/>
  <c r="J1258" i="1"/>
  <c r="A1259" i="1"/>
  <c r="B1259" i="1"/>
  <c r="G1259" i="1"/>
  <c r="H1259" i="1"/>
  <c r="A1260" i="1"/>
  <c r="B1260" i="1"/>
  <c r="G1260" i="1"/>
  <c r="H1260" i="1"/>
  <c r="A1261" i="1"/>
  <c r="B1261" i="1"/>
  <c r="G1261" i="1"/>
  <c r="H1261" i="1"/>
  <c r="A1262" i="1"/>
  <c r="B1262" i="1"/>
  <c r="G1262" i="1"/>
  <c r="H1262" i="1"/>
  <c r="A1263" i="1"/>
  <c r="B1263" i="1"/>
  <c r="G1263" i="1"/>
  <c r="H1263" i="1"/>
  <c r="J1263" i="1"/>
  <c r="A1264" i="1"/>
  <c r="B1264" i="1"/>
  <c r="G1264" i="1"/>
  <c r="H1264" i="1"/>
  <c r="J1264" i="1"/>
  <c r="A1265" i="1"/>
  <c r="B1265" i="1"/>
  <c r="G1265" i="1"/>
  <c r="H1265" i="1"/>
  <c r="J1265" i="1"/>
  <c r="A1266" i="1"/>
  <c r="B1266" i="1"/>
  <c r="G1266" i="1"/>
  <c r="H1266" i="1"/>
  <c r="J1266" i="1"/>
  <c r="A1267" i="1"/>
  <c r="B1267" i="1"/>
  <c r="G1267" i="1"/>
  <c r="H1267" i="1"/>
  <c r="J1267" i="1"/>
  <c r="A1268" i="1"/>
  <c r="B1268" i="1"/>
  <c r="G1268" i="1"/>
  <c r="H1268" i="1"/>
  <c r="J1268" i="1"/>
  <c r="A1269" i="1"/>
  <c r="B1269" i="1"/>
  <c r="G1269" i="1"/>
  <c r="H1269" i="1"/>
  <c r="J1269" i="1"/>
  <c r="A1270" i="1"/>
  <c r="B1270" i="1"/>
  <c r="G1270" i="1"/>
  <c r="H1270" i="1"/>
  <c r="J1270" i="1"/>
  <c r="A1271" i="1"/>
  <c r="B1271" i="1"/>
  <c r="G1271" i="1"/>
  <c r="H1271" i="1"/>
  <c r="J1271" i="1"/>
  <c r="A1272" i="1"/>
  <c r="B1272" i="1"/>
  <c r="G1272" i="1"/>
  <c r="H1272" i="1"/>
  <c r="J1272" i="1"/>
  <c r="A1273" i="1"/>
  <c r="B1273" i="1"/>
  <c r="G1273" i="1"/>
  <c r="H1273" i="1"/>
  <c r="J1273" i="1"/>
  <c r="A1274" i="1"/>
  <c r="B1274" i="1"/>
  <c r="G1274" i="1"/>
  <c r="H1274" i="1"/>
  <c r="J1274" i="1"/>
  <c r="A1275" i="1"/>
  <c r="B1275" i="1"/>
  <c r="G1275" i="1"/>
  <c r="H1275" i="1"/>
  <c r="J1275" i="1"/>
  <c r="A1276" i="1"/>
  <c r="B1276" i="1"/>
  <c r="G1276" i="1"/>
  <c r="H1276" i="1"/>
  <c r="J1276" i="1"/>
  <c r="A1277" i="1"/>
  <c r="B1277" i="1"/>
  <c r="G1277" i="1"/>
  <c r="H1277" i="1"/>
  <c r="J1277" i="1"/>
  <c r="A1278" i="1"/>
  <c r="B1278" i="1"/>
  <c r="G1278" i="1"/>
  <c r="H1278" i="1"/>
  <c r="J1278" i="1"/>
  <c r="A1279" i="1"/>
  <c r="B1279" i="1"/>
  <c r="G1279" i="1"/>
  <c r="H1279" i="1"/>
  <c r="J1279" i="1"/>
  <c r="A1280" i="1"/>
  <c r="B1280" i="1"/>
  <c r="G1280" i="1"/>
  <c r="H1280" i="1"/>
  <c r="J1280" i="1"/>
  <c r="A1281" i="1"/>
  <c r="B1281" i="1"/>
  <c r="G1281" i="1"/>
  <c r="H1281" i="1"/>
  <c r="J1281" i="1"/>
  <c r="A1282" i="1"/>
  <c r="B1282" i="1"/>
  <c r="G1282" i="1"/>
  <c r="H1282" i="1"/>
  <c r="J1282" i="1"/>
  <c r="A1283" i="1"/>
  <c r="B1283" i="1"/>
  <c r="G1283" i="1"/>
  <c r="H1283" i="1"/>
  <c r="J1283" i="1"/>
  <c r="A1284" i="1"/>
  <c r="B1284" i="1"/>
  <c r="G1284" i="1"/>
  <c r="H1284" i="1"/>
  <c r="J1284" i="1"/>
  <c r="A1285" i="1"/>
  <c r="B1285" i="1"/>
  <c r="G1285" i="1"/>
  <c r="H1285" i="1"/>
  <c r="J1285" i="1"/>
  <c r="A1286" i="1"/>
  <c r="B1286" i="1"/>
  <c r="G1286" i="1"/>
  <c r="H1286" i="1"/>
  <c r="J1286" i="1"/>
  <c r="A1287" i="1"/>
  <c r="B1287" i="1"/>
  <c r="G1287" i="1"/>
  <c r="H1287" i="1"/>
  <c r="J1287" i="1"/>
  <c r="A1288" i="1"/>
  <c r="B1288" i="1"/>
  <c r="G1288" i="1"/>
  <c r="H1288" i="1"/>
  <c r="J1288" i="1"/>
  <c r="A1289" i="1"/>
  <c r="B1289" i="1"/>
  <c r="G1289" i="1"/>
  <c r="H1289" i="1"/>
  <c r="J1289" i="1"/>
  <c r="A1290" i="1"/>
  <c r="B1290" i="1"/>
  <c r="G1290" i="1"/>
  <c r="H1290" i="1"/>
  <c r="J1290" i="1"/>
  <c r="A1291" i="1"/>
  <c r="B1291" i="1"/>
  <c r="G1291" i="1"/>
  <c r="H1291" i="1"/>
  <c r="J1291" i="1"/>
  <c r="A1292" i="1"/>
  <c r="B1292" i="1"/>
  <c r="G1292" i="1"/>
  <c r="H1292" i="1"/>
  <c r="J1292" i="1"/>
  <c r="A1293" i="1"/>
  <c r="B1293" i="1"/>
  <c r="G1293" i="1"/>
  <c r="H1293" i="1"/>
  <c r="J1293" i="1"/>
  <c r="A1294" i="1"/>
  <c r="B1294" i="1"/>
  <c r="G1294" i="1"/>
  <c r="H1294" i="1"/>
  <c r="J1294" i="1"/>
  <c r="A1295" i="1"/>
  <c r="B1295" i="1"/>
  <c r="I1295" i="1"/>
  <c r="J1295" i="1"/>
  <c r="A1296" i="1"/>
  <c r="B1296" i="1"/>
  <c r="G1296" i="1"/>
  <c r="H1296" i="1"/>
  <c r="J1296" i="1"/>
  <c r="A1297" i="1"/>
  <c r="B1297" i="1"/>
  <c r="G1297" i="1"/>
  <c r="H1297" i="1"/>
  <c r="J1297" i="1"/>
  <c r="A1298" i="1"/>
  <c r="B1298" i="1"/>
  <c r="G1298" i="1"/>
  <c r="H1298" i="1"/>
  <c r="J1298" i="1"/>
  <c r="A1299" i="1"/>
  <c r="B1299" i="1"/>
  <c r="G1299" i="1"/>
  <c r="H1299" i="1"/>
  <c r="J1299" i="1"/>
  <c r="A1300" i="1"/>
  <c r="B1300" i="1"/>
  <c r="G1300" i="1"/>
  <c r="H1300" i="1"/>
  <c r="J1300" i="1"/>
  <c r="A1301" i="1"/>
  <c r="B1301" i="1"/>
  <c r="G1301" i="1"/>
  <c r="H1301" i="1"/>
  <c r="J1301" i="1"/>
  <c r="A1302" i="1"/>
  <c r="B1302" i="1"/>
  <c r="G1302" i="1"/>
  <c r="H1302" i="1"/>
  <c r="J1302" i="1"/>
  <c r="A1303" i="1"/>
  <c r="B1303" i="1"/>
  <c r="G1303" i="1"/>
  <c r="H1303" i="1"/>
  <c r="J1303" i="1"/>
  <c r="A1304" i="1"/>
  <c r="B1304" i="1"/>
  <c r="G1304" i="1"/>
  <c r="H1304" i="1"/>
  <c r="J1304" i="1"/>
  <c r="A1305" i="1"/>
  <c r="B1305" i="1"/>
  <c r="G1305" i="1"/>
  <c r="H1305" i="1"/>
  <c r="J1305" i="1"/>
  <c r="A1306" i="1"/>
  <c r="B1306" i="1"/>
  <c r="G1306" i="1"/>
  <c r="H1306" i="1"/>
  <c r="J1306" i="1"/>
  <c r="A1307" i="1"/>
  <c r="B1307" i="1"/>
  <c r="G1307" i="1"/>
  <c r="H1307" i="1"/>
  <c r="J1307" i="1"/>
  <c r="A1308" i="1"/>
  <c r="B1308" i="1"/>
  <c r="G1308" i="1"/>
  <c r="H1308" i="1"/>
  <c r="J1308" i="1"/>
  <c r="A1309" i="1"/>
  <c r="B1309" i="1"/>
  <c r="G1309" i="1"/>
  <c r="H1309" i="1"/>
  <c r="J1309" i="1"/>
  <c r="A1310" i="1"/>
  <c r="B1310" i="1"/>
  <c r="G1310" i="1"/>
  <c r="H1310" i="1"/>
  <c r="J1310" i="1"/>
  <c r="A1311" i="1"/>
  <c r="B1311" i="1"/>
  <c r="G1311" i="1"/>
  <c r="H1311" i="1"/>
  <c r="J1311" i="1"/>
  <c r="A1312" i="1"/>
  <c r="B1312" i="1"/>
  <c r="G1312" i="1"/>
  <c r="H1312" i="1"/>
  <c r="J1312" i="1"/>
  <c r="A1313" i="1"/>
  <c r="B1313" i="1"/>
  <c r="G1313" i="1"/>
  <c r="H1313" i="1"/>
  <c r="J1313" i="1"/>
  <c r="A1314" i="1"/>
  <c r="B1314" i="1"/>
  <c r="G1314" i="1"/>
  <c r="H1314" i="1"/>
  <c r="J1314" i="1"/>
  <c r="A1315" i="1"/>
  <c r="B1315" i="1"/>
  <c r="G1315" i="1"/>
  <c r="H1315" i="1"/>
  <c r="J1315" i="1"/>
  <c r="A1316" i="1"/>
  <c r="B1316" i="1"/>
  <c r="G1316" i="1"/>
  <c r="H1316" i="1"/>
  <c r="J1316" i="1"/>
  <c r="A1317" i="1"/>
  <c r="B1317" i="1"/>
  <c r="G1317" i="1"/>
  <c r="H1317" i="1"/>
  <c r="J1317" i="1"/>
  <c r="A1318" i="1"/>
  <c r="B1318" i="1"/>
  <c r="G1318" i="1"/>
  <c r="H1318" i="1"/>
  <c r="J1318" i="1"/>
  <c r="A1319" i="1"/>
  <c r="B1319" i="1"/>
  <c r="G1319" i="1"/>
  <c r="H1319" i="1"/>
  <c r="J1319" i="1"/>
  <c r="A1320" i="1"/>
  <c r="B1320" i="1"/>
  <c r="G1320" i="1"/>
  <c r="H1320" i="1"/>
  <c r="J1320" i="1"/>
  <c r="A1321" i="1"/>
  <c r="B1321" i="1"/>
  <c r="G1321" i="1"/>
  <c r="H1321" i="1"/>
  <c r="J1321" i="1"/>
  <c r="A1322" i="1"/>
  <c r="B1322" i="1"/>
  <c r="G1322" i="1"/>
  <c r="H1322" i="1"/>
  <c r="J1322" i="1"/>
  <c r="A1323" i="1"/>
  <c r="B1323" i="1"/>
  <c r="G1323" i="1"/>
  <c r="H1323" i="1"/>
  <c r="J1323" i="1"/>
  <c r="A1324" i="1"/>
  <c r="B1324" i="1"/>
  <c r="G1324" i="1"/>
  <c r="H1324" i="1"/>
  <c r="J1324" i="1"/>
  <c r="A1325" i="1"/>
  <c r="B1325" i="1"/>
  <c r="G1325" i="1"/>
  <c r="H1325" i="1"/>
  <c r="J1325" i="1"/>
  <c r="A1326" i="1"/>
  <c r="B1326" i="1"/>
  <c r="G1326" i="1"/>
  <c r="H1326" i="1"/>
  <c r="J1326" i="1"/>
  <c r="A1327" i="1"/>
  <c r="B1327" i="1"/>
  <c r="G1327" i="1"/>
  <c r="H1327" i="1"/>
  <c r="J1327" i="1"/>
  <c r="A1328" i="1"/>
  <c r="B1328" i="1"/>
  <c r="G1328" i="1"/>
  <c r="H1328" i="1"/>
  <c r="J1328" i="1"/>
  <c r="A1329" i="1"/>
  <c r="B1329" i="1"/>
  <c r="G1329" i="1"/>
  <c r="H1329" i="1"/>
  <c r="J1329" i="1"/>
  <c r="A1330" i="1"/>
  <c r="B1330" i="1"/>
  <c r="G1330" i="1"/>
  <c r="H1330" i="1"/>
  <c r="J1330" i="1"/>
  <c r="A1331" i="1"/>
  <c r="B1331" i="1"/>
  <c r="G1331" i="1"/>
  <c r="H1331" i="1"/>
  <c r="J1331" i="1"/>
  <c r="A1332" i="1"/>
  <c r="B1332" i="1"/>
  <c r="G1332" i="1"/>
  <c r="H1332" i="1"/>
  <c r="J1332" i="1"/>
  <c r="A1333" i="1"/>
  <c r="B1333" i="1"/>
  <c r="G1333" i="1"/>
  <c r="H1333" i="1"/>
  <c r="J1333" i="1"/>
  <c r="A1334" i="1"/>
  <c r="B1334" i="1"/>
  <c r="G1334" i="1"/>
  <c r="H1334" i="1"/>
  <c r="J1334" i="1"/>
  <c r="A1335" i="1"/>
  <c r="B1335" i="1"/>
  <c r="G1335" i="1"/>
  <c r="H1335" i="1"/>
  <c r="J1335" i="1"/>
  <c r="A1336" i="1"/>
  <c r="B1336" i="1"/>
  <c r="G1336" i="1"/>
  <c r="H1336" i="1"/>
  <c r="J1336" i="1"/>
  <c r="A1337" i="1"/>
  <c r="B1337" i="1"/>
  <c r="G1337" i="1"/>
  <c r="H1337" i="1"/>
  <c r="J1337" i="1"/>
  <c r="A1338" i="1"/>
  <c r="B1338" i="1"/>
  <c r="G1338" i="1"/>
  <c r="H1338" i="1"/>
  <c r="J1338" i="1"/>
  <c r="A1339" i="1"/>
  <c r="B1339" i="1"/>
  <c r="G1339" i="1"/>
  <c r="H1339" i="1"/>
  <c r="J1339" i="1"/>
  <c r="A1340" i="1"/>
  <c r="B1340" i="1"/>
  <c r="G1340" i="1"/>
  <c r="H1340" i="1"/>
  <c r="J1340" i="1"/>
  <c r="A1341" i="1"/>
  <c r="B1341" i="1"/>
  <c r="G1341" i="1"/>
  <c r="H1341" i="1"/>
  <c r="J1341" i="1"/>
  <c r="A1342" i="1"/>
  <c r="B1342" i="1"/>
  <c r="G1342" i="1"/>
  <c r="H1342" i="1"/>
  <c r="J1342" i="1"/>
  <c r="A1343" i="1"/>
  <c r="B1343" i="1"/>
  <c r="G1343" i="1"/>
  <c r="H1343" i="1"/>
  <c r="J1343" i="1"/>
  <c r="A1344" i="1"/>
  <c r="B1344" i="1"/>
  <c r="G1344" i="1"/>
  <c r="H1344" i="1"/>
  <c r="J1344" i="1"/>
  <c r="A1345" i="1"/>
  <c r="B1345" i="1"/>
  <c r="G1345" i="1"/>
  <c r="H1345" i="1"/>
  <c r="J1345" i="1"/>
  <c r="A1346" i="1"/>
  <c r="B1346" i="1"/>
  <c r="G1346" i="1"/>
  <c r="H1346" i="1"/>
  <c r="J1346" i="1"/>
  <c r="A1347" i="1"/>
  <c r="B1347" i="1"/>
  <c r="G1347" i="1"/>
  <c r="H1347" i="1"/>
  <c r="J1347" i="1"/>
  <c r="A1348" i="1"/>
  <c r="B1348" i="1"/>
  <c r="G1348" i="1"/>
  <c r="H1348" i="1"/>
  <c r="J1348" i="1"/>
  <c r="A1349" i="1"/>
  <c r="B1349" i="1"/>
  <c r="G1349" i="1"/>
  <c r="H1349" i="1"/>
  <c r="J1349" i="1"/>
  <c r="A1350" i="1"/>
  <c r="B1350" i="1"/>
  <c r="G1350" i="1"/>
  <c r="H1350" i="1"/>
  <c r="J1350" i="1"/>
  <c r="A1351" i="1"/>
  <c r="B1351" i="1"/>
  <c r="I1351" i="1"/>
  <c r="J1351" i="1"/>
  <c r="A1352" i="1"/>
  <c r="B1352" i="1"/>
  <c r="I1352" i="1"/>
  <c r="J1352" i="1"/>
  <c r="A1353" i="1"/>
  <c r="B1353" i="1"/>
  <c r="I1353" i="1"/>
  <c r="J1353" i="1"/>
  <c r="A1354" i="1"/>
  <c r="B1354" i="1"/>
  <c r="G1354" i="1"/>
  <c r="H1354" i="1"/>
  <c r="J1354" i="1"/>
  <c r="A1355" i="1"/>
  <c r="B1355" i="1"/>
  <c r="G1355" i="1"/>
  <c r="H1355" i="1"/>
  <c r="J1355" i="1"/>
  <c r="A1356" i="1"/>
  <c r="B1356" i="1"/>
  <c r="I1356" i="1"/>
  <c r="J1356" i="1"/>
  <c r="A1357" i="1"/>
  <c r="B1357" i="1"/>
  <c r="I1357" i="1"/>
  <c r="J1357" i="1"/>
  <c r="A1358" i="1"/>
  <c r="B1358" i="1"/>
  <c r="I1358" i="1"/>
  <c r="J1358" i="1"/>
  <c r="A1359" i="1"/>
  <c r="B1359" i="1"/>
  <c r="G1359" i="1"/>
  <c r="H1359" i="1"/>
  <c r="J1359" i="1"/>
  <c r="A1360" i="1"/>
  <c r="B1360" i="1"/>
  <c r="G1360" i="1"/>
  <c r="H1360" i="1"/>
  <c r="J1360" i="1"/>
  <c r="A1361" i="1"/>
  <c r="B1361" i="1"/>
  <c r="G1361" i="1"/>
  <c r="H1361" i="1"/>
  <c r="J1361" i="1"/>
  <c r="A1362" i="1"/>
  <c r="B1362" i="1"/>
  <c r="G1362" i="1"/>
  <c r="H1362" i="1"/>
  <c r="J1362" i="1"/>
  <c r="A1363" i="1"/>
  <c r="B1363" i="1"/>
  <c r="G1363" i="1"/>
  <c r="H1363" i="1"/>
  <c r="J1363" i="1"/>
  <c r="A1364" i="1"/>
  <c r="B1364" i="1"/>
  <c r="G1364" i="1"/>
  <c r="H1364" i="1"/>
  <c r="J1364" i="1"/>
  <c r="A1365" i="1"/>
  <c r="B1365" i="1"/>
  <c r="G1365" i="1"/>
  <c r="H1365" i="1"/>
  <c r="J1365" i="1"/>
  <c r="A1366" i="1"/>
  <c r="B1366" i="1"/>
  <c r="G1366" i="1"/>
  <c r="H1366" i="1"/>
  <c r="J1366" i="1"/>
  <c r="A1367" i="1"/>
  <c r="B1367" i="1"/>
  <c r="G1367" i="1"/>
  <c r="H1367" i="1"/>
  <c r="J1367" i="1"/>
  <c r="A1368" i="1"/>
  <c r="B1368" i="1"/>
  <c r="G1368" i="1"/>
  <c r="H1368" i="1"/>
  <c r="J1368" i="1"/>
  <c r="A1369" i="1"/>
  <c r="B1369" i="1"/>
  <c r="G1369" i="1"/>
  <c r="H1369" i="1"/>
  <c r="J1369" i="1"/>
  <c r="A1370" i="1"/>
  <c r="B1370" i="1"/>
  <c r="G1370" i="1"/>
  <c r="H1370" i="1"/>
  <c r="J1370" i="1"/>
  <c r="A1371" i="1"/>
  <c r="B1371" i="1"/>
  <c r="G1371" i="1"/>
  <c r="H1371" i="1"/>
  <c r="J1371" i="1"/>
  <c r="A1372" i="1"/>
  <c r="B1372" i="1"/>
  <c r="G1372" i="1"/>
  <c r="H1372" i="1"/>
  <c r="J1372" i="1"/>
  <c r="A1373" i="1"/>
  <c r="B1373" i="1"/>
  <c r="G1373" i="1"/>
  <c r="H1373" i="1"/>
  <c r="J1373" i="1"/>
  <c r="A1374" i="1"/>
  <c r="B1374" i="1"/>
  <c r="G1374" i="1"/>
  <c r="H1374" i="1"/>
  <c r="J1374" i="1"/>
  <c r="A1375" i="1"/>
  <c r="B1375" i="1"/>
  <c r="G1375" i="1"/>
  <c r="H1375" i="1"/>
  <c r="J1375" i="1"/>
  <c r="A1376" i="1"/>
  <c r="B1376" i="1"/>
  <c r="G1376" i="1"/>
  <c r="H1376" i="1"/>
  <c r="J1376" i="1"/>
  <c r="A1377" i="1"/>
  <c r="B1377" i="1"/>
  <c r="G1377" i="1"/>
  <c r="H1377" i="1"/>
  <c r="J1377" i="1"/>
  <c r="A1378" i="1"/>
  <c r="B1378" i="1"/>
  <c r="G1378" i="1"/>
  <c r="H1378" i="1"/>
  <c r="J1378" i="1"/>
  <c r="A1379" i="1"/>
  <c r="B1379" i="1"/>
  <c r="G1379" i="1"/>
  <c r="H1379" i="1"/>
  <c r="J1379" i="1"/>
  <c r="A1380" i="1"/>
  <c r="B1380" i="1"/>
  <c r="G1380" i="1"/>
  <c r="H1380" i="1"/>
  <c r="J1380" i="1"/>
  <c r="A1381" i="1"/>
  <c r="B1381" i="1"/>
  <c r="G1381" i="1"/>
  <c r="H1381" i="1"/>
  <c r="J1381" i="1"/>
  <c r="A1382" i="1"/>
  <c r="B1382" i="1"/>
  <c r="G1382" i="1"/>
  <c r="H1382" i="1"/>
  <c r="J1382" i="1"/>
  <c r="A1383" i="1"/>
  <c r="B1383" i="1"/>
  <c r="G1383" i="1"/>
  <c r="H1383" i="1"/>
  <c r="J1383" i="1"/>
  <c r="A1384" i="1"/>
  <c r="B1384" i="1"/>
  <c r="G1384" i="1"/>
  <c r="H1384" i="1"/>
  <c r="J1384" i="1"/>
  <c r="A1385" i="1"/>
  <c r="B1385" i="1"/>
  <c r="G1385" i="1"/>
  <c r="H1385" i="1"/>
  <c r="J1385" i="1"/>
  <c r="A1386" i="1"/>
  <c r="B1386" i="1"/>
  <c r="G1386" i="1"/>
  <c r="H1386" i="1"/>
  <c r="J1386" i="1"/>
  <c r="A1387" i="1"/>
  <c r="B1387" i="1"/>
  <c r="G1387" i="1"/>
  <c r="H1387" i="1"/>
  <c r="J1387" i="1"/>
  <c r="A1388" i="1"/>
  <c r="B1388" i="1"/>
  <c r="G1388" i="1"/>
  <c r="H1388" i="1"/>
  <c r="J1388" i="1"/>
  <c r="A1389" i="1"/>
  <c r="B1389" i="1"/>
  <c r="G1389" i="1"/>
  <c r="H1389" i="1"/>
  <c r="J1389" i="1"/>
  <c r="A1390" i="1"/>
  <c r="B1390" i="1"/>
  <c r="G1390" i="1"/>
  <c r="H1390" i="1"/>
  <c r="J1390" i="1"/>
  <c r="A1391" i="1"/>
  <c r="B1391" i="1"/>
  <c r="G1391" i="1"/>
  <c r="H1391" i="1"/>
  <c r="J1391" i="1"/>
  <c r="A1392" i="1"/>
  <c r="B1392" i="1"/>
  <c r="G1392" i="1"/>
  <c r="H1392" i="1"/>
  <c r="J1392" i="1"/>
  <c r="A1393" i="1"/>
  <c r="B1393" i="1"/>
  <c r="G1393" i="1"/>
  <c r="H1393" i="1"/>
  <c r="J1393" i="1"/>
  <c r="A1394" i="1"/>
  <c r="B1394" i="1"/>
  <c r="G1394" i="1"/>
  <c r="H1394" i="1"/>
  <c r="J1394" i="1"/>
  <c r="A1395" i="1"/>
  <c r="B1395" i="1"/>
  <c r="G1395" i="1"/>
  <c r="H1395" i="1"/>
  <c r="J1395" i="1"/>
  <c r="A1396" i="1"/>
  <c r="B1396" i="1"/>
  <c r="G1396" i="1"/>
  <c r="H1396" i="1"/>
  <c r="J1396" i="1"/>
  <c r="A1397" i="1"/>
  <c r="B1397" i="1"/>
  <c r="G1397" i="1"/>
  <c r="H1397" i="1"/>
  <c r="J1397" i="1"/>
  <c r="A1398" i="1"/>
  <c r="B1398" i="1"/>
  <c r="G1398" i="1"/>
  <c r="H1398" i="1"/>
  <c r="J1398" i="1"/>
  <c r="A1399" i="1"/>
  <c r="B1399" i="1"/>
  <c r="G1399" i="1"/>
  <c r="H1399" i="1"/>
  <c r="J1399" i="1"/>
  <c r="A1400" i="1"/>
  <c r="B1400" i="1"/>
  <c r="G1400" i="1"/>
  <c r="H1400" i="1"/>
  <c r="J1400" i="1"/>
  <c r="A1401" i="1"/>
  <c r="B1401" i="1"/>
  <c r="G1401" i="1"/>
  <c r="H1401" i="1"/>
  <c r="J1401" i="1"/>
  <c r="A1402" i="1"/>
  <c r="B1402" i="1"/>
  <c r="G1402" i="1"/>
  <c r="H1402" i="1"/>
  <c r="J1402" i="1"/>
  <c r="A1403" i="1"/>
  <c r="B1403" i="1"/>
  <c r="G1403" i="1"/>
  <c r="H1403" i="1"/>
  <c r="J1403" i="1"/>
  <c r="A1404" i="1"/>
  <c r="B1404" i="1"/>
  <c r="G1404" i="1"/>
  <c r="H1404" i="1"/>
  <c r="J1404" i="1"/>
  <c r="A1405" i="1"/>
  <c r="B1405" i="1"/>
  <c r="G1405" i="1"/>
  <c r="H1405" i="1"/>
  <c r="J1405" i="1"/>
  <c r="A1406" i="1"/>
  <c r="B1406" i="1"/>
  <c r="G1406" i="1"/>
  <c r="H1406" i="1"/>
  <c r="J1406" i="1"/>
  <c r="A1407" i="1"/>
  <c r="B1407" i="1"/>
  <c r="G1407" i="1"/>
  <c r="H1407" i="1"/>
  <c r="J1407" i="1"/>
  <c r="A1408" i="1"/>
  <c r="B1408" i="1"/>
  <c r="G1408" i="1"/>
  <c r="H1408" i="1"/>
  <c r="J1408" i="1"/>
  <c r="A1409" i="1"/>
  <c r="B1409" i="1"/>
  <c r="G1409" i="1"/>
  <c r="H1409" i="1"/>
  <c r="J1409" i="1"/>
  <c r="A1410" i="1"/>
  <c r="B1410" i="1"/>
  <c r="G1410" i="1"/>
  <c r="H1410" i="1"/>
  <c r="J1410" i="1"/>
  <c r="A1411" i="1"/>
  <c r="B1411" i="1"/>
  <c r="G1411" i="1"/>
  <c r="H1411" i="1"/>
  <c r="J1411" i="1"/>
  <c r="A1412" i="1"/>
  <c r="B1412" i="1"/>
  <c r="G1412" i="1"/>
  <c r="H1412" i="1"/>
  <c r="J1412" i="1"/>
  <c r="A1413" i="1"/>
  <c r="B1413" i="1"/>
  <c r="G1413" i="1"/>
  <c r="H1413" i="1"/>
  <c r="A1414" i="1"/>
  <c r="B1414" i="1"/>
  <c r="G1414" i="1"/>
  <c r="H1414" i="1"/>
  <c r="J1414" i="1"/>
  <c r="A1415" i="1"/>
  <c r="B1415" i="1"/>
  <c r="G1415" i="1"/>
  <c r="H1415" i="1"/>
  <c r="J1415" i="1"/>
  <c r="A1416" i="1"/>
  <c r="B1416" i="1"/>
  <c r="G1416" i="1"/>
  <c r="H1416" i="1"/>
  <c r="J1416" i="1"/>
  <c r="A1417" i="1"/>
  <c r="B1417" i="1"/>
  <c r="G1417" i="1"/>
  <c r="H1417" i="1"/>
  <c r="J1417" i="1"/>
  <c r="A1418" i="1"/>
  <c r="B1418" i="1"/>
  <c r="G1418" i="1"/>
  <c r="H1418" i="1"/>
  <c r="J1418" i="1"/>
  <c r="A1419" i="1"/>
  <c r="B1419" i="1"/>
  <c r="G1419" i="1"/>
  <c r="H1419" i="1"/>
  <c r="J1419" i="1"/>
  <c r="A1420" i="1"/>
  <c r="B1420" i="1"/>
  <c r="G1420" i="1"/>
  <c r="H1420" i="1"/>
  <c r="J1420" i="1"/>
  <c r="A1421" i="1"/>
  <c r="B1421" i="1"/>
  <c r="G1421" i="1"/>
  <c r="H1421" i="1"/>
  <c r="J1421" i="1"/>
  <c r="A1422" i="1"/>
  <c r="B1422" i="1"/>
  <c r="G1422" i="1"/>
  <c r="H1422" i="1"/>
  <c r="J1422" i="1"/>
  <c r="A1423" i="1"/>
  <c r="B1423" i="1"/>
  <c r="G1423" i="1"/>
  <c r="H1423" i="1"/>
  <c r="J1423" i="1"/>
  <c r="A1424" i="1"/>
  <c r="B1424" i="1"/>
  <c r="G1424" i="1"/>
  <c r="H1424" i="1"/>
  <c r="J1424" i="1"/>
  <c r="A1425" i="1"/>
  <c r="B1425" i="1"/>
  <c r="G1425" i="1"/>
  <c r="H1425" i="1"/>
  <c r="J1425" i="1"/>
  <c r="A1426" i="1"/>
  <c r="B1426" i="1"/>
  <c r="G1426" i="1"/>
  <c r="H1426" i="1"/>
  <c r="J1426" i="1"/>
  <c r="A1427" i="1"/>
  <c r="B1427" i="1"/>
  <c r="G1427" i="1"/>
  <c r="H1427" i="1"/>
  <c r="J1427" i="1"/>
  <c r="A1428" i="1"/>
  <c r="B1428" i="1"/>
  <c r="G1428" i="1"/>
  <c r="H1428" i="1"/>
  <c r="J1428" i="1"/>
  <c r="A1429" i="1"/>
  <c r="B1429" i="1"/>
  <c r="G1429" i="1"/>
  <c r="H1429" i="1"/>
  <c r="J1429" i="1"/>
  <c r="A1430" i="1"/>
  <c r="B1430" i="1"/>
  <c r="G1430" i="1"/>
  <c r="H1430" i="1"/>
  <c r="J1430" i="1"/>
  <c r="A1431" i="1"/>
  <c r="B1431" i="1"/>
  <c r="G1431" i="1"/>
  <c r="H1431" i="1"/>
  <c r="J1431" i="1"/>
  <c r="A1432" i="1"/>
  <c r="B1432" i="1"/>
  <c r="G1432" i="1"/>
  <c r="H1432" i="1"/>
  <c r="J1432" i="1"/>
  <c r="A1433" i="1"/>
  <c r="B1433" i="1"/>
  <c r="G1433" i="1"/>
  <c r="H1433" i="1"/>
  <c r="J1433" i="1"/>
  <c r="A1434" i="1"/>
  <c r="B1434" i="1"/>
  <c r="G1434" i="1"/>
  <c r="H1434" i="1"/>
  <c r="J1434" i="1"/>
  <c r="A1435" i="1"/>
  <c r="B1435" i="1"/>
  <c r="G1435" i="1"/>
  <c r="H1435" i="1"/>
  <c r="J1435" i="1"/>
  <c r="A1436" i="1"/>
  <c r="B1436" i="1"/>
  <c r="G1436" i="1"/>
  <c r="H1436" i="1"/>
  <c r="J1436" i="1"/>
  <c r="A1437" i="1"/>
  <c r="B1437" i="1"/>
  <c r="G1437" i="1"/>
  <c r="H1437" i="1"/>
  <c r="J1437" i="1"/>
  <c r="A1438" i="1"/>
  <c r="B1438" i="1"/>
  <c r="G1438" i="1"/>
  <c r="H1438" i="1"/>
  <c r="J1438" i="1"/>
  <c r="A1439" i="1"/>
  <c r="B1439" i="1"/>
  <c r="G1439" i="1"/>
  <c r="H1439" i="1"/>
  <c r="J1439" i="1"/>
  <c r="A1440" i="1"/>
  <c r="B1440" i="1"/>
  <c r="G1440" i="1"/>
  <c r="H1440" i="1"/>
  <c r="J1440" i="1"/>
  <c r="A1441" i="1"/>
  <c r="B1441" i="1"/>
  <c r="G1441" i="1"/>
  <c r="H1441" i="1"/>
  <c r="J1441" i="1"/>
  <c r="A1442" i="1"/>
  <c r="B1442" i="1"/>
  <c r="G1442" i="1"/>
  <c r="H1442" i="1"/>
  <c r="J1442" i="1"/>
  <c r="A1443" i="1"/>
  <c r="B1443" i="1"/>
  <c r="G1443" i="1"/>
  <c r="H1443" i="1"/>
  <c r="J1443" i="1"/>
  <c r="A1444" i="1"/>
  <c r="B1444" i="1"/>
  <c r="G1444" i="1"/>
  <c r="H1444" i="1"/>
  <c r="J1444" i="1"/>
  <c r="A1445" i="1"/>
  <c r="B1445" i="1"/>
  <c r="G1445" i="1"/>
  <c r="H1445" i="1"/>
  <c r="J1445" i="1"/>
  <c r="A1446" i="1"/>
  <c r="B1446" i="1"/>
  <c r="G1446" i="1"/>
  <c r="H1446" i="1"/>
  <c r="J1446" i="1"/>
  <c r="A1447" i="1"/>
  <c r="B1447" i="1"/>
  <c r="G1447" i="1"/>
  <c r="H1447" i="1"/>
  <c r="J1447" i="1"/>
  <c r="A1448" i="1"/>
  <c r="B1448" i="1"/>
  <c r="G1448" i="1"/>
  <c r="H1448" i="1"/>
  <c r="J1448" i="1"/>
  <c r="A1449" i="1"/>
  <c r="B1449" i="1"/>
  <c r="G1449" i="1"/>
  <c r="H1449" i="1"/>
  <c r="J1449" i="1"/>
  <c r="A1450" i="1"/>
  <c r="B1450" i="1"/>
  <c r="G1450" i="1"/>
  <c r="H1450" i="1"/>
  <c r="J1450" i="1"/>
  <c r="A1451" i="1"/>
  <c r="B1451" i="1"/>
  <c r="G1451" i="1"/>
  <c r="H1451" i="1"/>
  <c r="J1451" i="1"/>
  <c r="A1452" i="1"/>
  <c r="B1452" i="1"/>
  <c r="G1452" i="1"/>
  <c r="H1452" i="1"/>
  <c r="J1452" i="1"/>
  <c r="A1453" i="1"/>
  <c r="B1453" i="1"/>
  <c r="G1453" i="1"/>
  <c r="H1453" i="1"/>
  <c r="J1453" i="1"/>
  <c r="A1454" i="1"/>
  <c r="B1454" i="1"/>
  <c r="G1454" i="1"/>
  <c r="H1454" i="1"/>
  <c r="J1454" i="1"/>
  <c r="A1455" i="1"/>
  <c r="B1455" i="1"/>
  <c r="G1455" i="1"/>
  <c r="H1455" i="1"/>
  <c r="J1455" i="1"/>
  <c r="A1456" i="1"/>
  <c r="B1456" i="1"/>
  <c r="G1456" i="1"/>
  <c r="H1456" i="1"/>
  <c r="J1456" i="1"/>
  <c r="A1457" i="1"/>
  <c r="B1457" i="1"/>
  <c r="G1457" i="1"/>
  <c r="H1457" i="1"/>
  <c r="J1457" i="1"/>
  <c r="A1458" i="1"/>
  <c r="B1458" i="1"/>
  <c r="G1458" i="1"/>
  <c r="H1458" i="1"/>
  <c r="J1458" i="1"/>
  <c r="A1459" i="1"/>
  <c r="B1459" i="1"/>
  <c r="G1459" i="1"/>
  <c r="H1459" i="1"/>
  <c r="J1459" i="1"/>
  <c r="A1460" i="1"/>
  <c r="B1460" i="1"/>
  <c r="G1460" i="1"/>
  <c r="H1460" i="1"/>
  <c r="J1460" i="1"/>
  <c r="A1461" i="1"/>
  <c r="B1461" i="1"/>
  <c r="G1461" i="1"/>
  <c r="H1461" i="1"/>
  <c r="J1461" i="1"/>
  <c r="A1462" i="1"/>
  <c r="B1462" i="1"/>
  <c r="G1462" i="1"/>
  <c r="H1462" i="1"/>
  <c r="J1462" i="1"/>
  <c r="A1463" i="1"/>
  <c r="B1463" i="1"/>
  <c r="G1463" i="1"/>
  <c r="H1463" i="1"/>
  <c r="J1463" i="1"/>
  <c r="A1464" i="1"/>
  <c r="B1464" i="1"/>
  <c r="G1464" i="1"/>
  <c r="H1464" i="1"/>
  <c r="J1464" i="1"/>
  <c r="A1465" i="1"/>
  <c r="B1465" i="1"/>
  <c r="G1465" i="1"/>
  <c r="H1465" i="1"/>
  <c r="J1465" i="1"/>
  <c r="A1466" i="1"/>
  <c r="B1466" i="1"/>
  <c r="G1466" i="1"/>
  <c r="H1466" i="1"/>
  <c r="J1466" i="1"/>
  <c r="A1467" i="1"/>
  <c r="B1467" i="1"/>
  <c r="G1467" i="1"/>
  <c r="H1467" i="1"/>
  <c r="J1467" i="1"/>
  <c r="A1468" i="1"/>
  <c r="B1468" i="1"/>
  <c r="G1468" i="1"/>
  <c r="H1468" i="1"/>
  <c r="J1468" i="1"/>
  <c r="A1469" i="1"/>
  <c r="B1469" i="1"/>
  <c r="G1469" i="1"/>
  <c r="H1469" i="1"/>
  <c r="J1469" i="1"/>
  <c r="A1470" i="1"/>
  <c r="B1470" i="1"/>
  <c r="G1470" i="1"/>
  <c r="H1470" i="1"/>
  <c r="J1470" i="1"/>
  <c r="A1471" i="1"/>
  <c r="B1471" i="1"/>
  <c r="G1471" i="1"/>
  <c r="H1471" i="1"/>
  <c r="J1471" i="1"/>
  <c r="A1472" i="1"/>
  <c r="B1472" i="1"/>
  <c r="G1472" i="1"/>
  <c r="H1472" i="1"/>
  <c r="J1472" i="1"/>
  <c r="A1473" i="1"/>
  <c r="B1473" i="1"/>
  <c r="G1473" i="1"/>
  <c r="H1473" i="1"/>
  <c r="J1473" i="1"/>
  <c r="A1474" i="1"/>
  <c r="B1474" i="1"/>
  <c r="G1474" i="1"/>
  <c r="H1474" i="1"/>
  <c r="J1474" i="1"/>
  <c r="A1475" i="1"/>
  <c r="B1475" i="1"/>
  <c r="G1475" i="1"/>
  <c r="H1475" i="1"/>
  <c r="J1475" i="1"/>
  <c r="A1476" i="1"/>
  <c r="B1476" i="1"/>
  <c r="G1476" i="1"/>
  <c r="H1476" i="1"/>
  <c r="J1476" i="1"/>
  <c r="A1477" i="1"/>
  <c r="B1477" i="1"/>
  <c r="G1477" i="1"/>
  <c r="H1477" i="1"/>
  <c r="J1477" i="1"/>
  <c r="A1478" i="1"/>
  <c r="B1478" i="1"/>
  <c r="G1478" i="1"/>
  <c r="H1478" i="1"/>
  <c r="J1478" i="1"/>
  <c r="A1479" i="1"/>
  <c r="B1479" i="1"/>
  <c r="G1479" i="1"/>
  <c r="H1479" i="1"/>
  <c r="J1479" i="1"/>
  <c r="A1480" i="1"/>
  <c r="B1480" i="1"/>
  <c r="G1480" i="1"/>
  <c r="H1480" i="1"/>
  <c r="J1480" i="1"/>
  <c r="A1481" i="1"/>
  <c r="B1481" i="1"/>
  <c r="G1481" i="1"/>
  <c r="H1481" i="1"/>
  <c r="J1481" i="1"/>
  <c r="A1482" i="1"/>
  <c r="B1482" i="1"/>
  <c r="G1482" i="1"/>
  <c r="H1482" i="1"/>
  <c r="J1482" i="1"/>
  <c r="A1483" i="1"/>
  <c r="B1483" i="1"/>
  <c r="G1483" i="1"/>
  <c r="H1483" i="1"/>
  <c r="J1483" i="1"/>
  <c r="A1484" i="1"/>
  <c r="B1484" i="1"/>
  <c r="G1484" i="1"/>
  <c r="H1484" i="1"/>
  <c r="J1484" i="1"/>
  <c r="A1485" i="1"/>
  <c r="B1485" i="1"/>
  <c r="G1485" i="1"/>
  <c r="H1485" i="1"/>
  <c r="J1485" i="1"/>
  <c r="A1486" i="1"/>
  <c r="B1486" i="1"/>
  <c r="G1486" i="1"/>
  <c r="H1486" i="1"/>
  <c r="J1486" i="1"/>
  <c r="A1487" i="1"/>
  <c r="B1487" i="1"/>
  <c r="G1487" i="1"/>
  <c r="H1487" i="1"/>
  <c r="J1487" i="1"/>
  <c r="A1488" i="1"/>
  <c r="B1488" i="1"/>
  <c r="G1488" i="1"/>
  <c r="H1488" i="1"/>
  <c r="J1488" i="1"/>
  <c r="A1489" i="1"/>
  <c r="B1489" i="1"/>
  <c r="G1489" i="1"/>
  <c r="H1489" i="1"/>
  <c r="J1489" i="1"/>
  <c r="A1490" i="1"/>
  <c r="B1490" i="1"/>
  <c r="G1490" i="1"/>
  <c r="H1490" i="1"/>
  <c r="J1490" i="1"/>
  <c r="A1491" i="1"/>
  <c r="B1491" i="1"/>
  <c r="G1491" i="1"/>
  <c r="H1491" i="1"/>
  <c r="J1491" i="1"/>
  <c r="A1492" i="1"/>
  <c r="B1492" i="1"/>
  <c r="G1492" i="1"/>
  <c r="H1492" i="1"/>
  <c r="J1492" i="1"/>
  <c r="A1493" i="1"/>
  <c r="B1493" i="1"/>
  <c r="G1493" i="1"/>
  <c r="H1493" i="1"/>
  <c r="J1493" i="1"/>
  <c r="A1494" i="1"/>
  <c r="B1494" i="1"/>
  <c r="G1494" i="1"/>
  <c r="H1494" i="1"/>
  <c r="J1494" i="1"/>
  <c r="A1495" i="1"/>
  <c r="B1495" i="1"/>
  <c r="G1495" i="1"/>
  <c r="H1495" i="1"/>
  <c r="J1495" i="1"/>
  <c r="A1496" i="1"/>
  <c r="B1496" i="1"/>
  <c r="G1496" i="1"/>
  <c r="H1496" i="1"/>
  <c r="J1496" i="1"/>
  <c r="A1497" i="1"/>
  <c r="B1497" i="1"/>
  <c r="G1497" i="1"/>
  <c r="H1497" i="1"/>
  <c r="J1497" i="1"/>
  <c r="A1498" i="1"/>
  <c r="B1498" i="1"/>
  <c r="G1498" i="1"/>
  <c r="H1498" i="1"/>
  <c r="J1498" i="1"/>
  <c r="A1499" i="1"/>
  <c r="B1499" i="1"/>
  <c r="G1499" i="1"/>
  <c r="H1499" i="1"/>
  <c r="J1499" i="1"/>
  <c r="A1500" i="1"/>
  <c r="B1500" i="1"/>
  <c r="G1500" i="1"/>
  <c r="H1500" i="1"/>
  <c r="J1500" i="1"/>
  <c r="A1501" i="1"/>
  <c r="B1501" i="1"/>
  <c r="G1501" i="1"/>
  <c r="H1501" i="1"/>
  <c r="J1501" i="1"/>
  <c r="A1502" i="1"/>
  <c r="B1502" i="1"/>
  <c r="G1502" i="1"/>
  <c r="H1502" i="1"/>
  <c r="J1502" i="1"/>
  <c r="A1503" i="1"/>
  <c r="B1503" i="1"/>
  <c r="G1503" i="1"/>
  <c r="H1503" i="1"/>
  <c r="J1503" i="1"/>
  <c r="A1504" i="1"/>
  <c r="B1504" i="1"/>
  <c r="G1504" i="1"/>
  <c r="H1504" i="1"/>
  <c r="J1504" i="1"/>
  <c r="A1505" i="1"/>
  <c r="B1505" i="1"/>
  <c r="G1505" i="1"/>
  <c r="H1505" i="1"/>
  <c r="J1505" i="1"/>
  <c r="A1506" i="1"/>
  <c r="B1506" i="1"/>
  <c r="G1506" i="1"/>
  <c r="H1506" i="1"/>
  <c r="J1506" i="1"/>
  <c r="A1507" i="1"/>
  <c r="B1507" i="1"/>
  <c r="G1507" i="1"/>
  <c r="H1507" i="1"/>
  <c r="J1507" i="1"/>
  <c r="A1508" i="1"/>
  <c r="B1508" i="1"/>
  <c r="G1508" i="1"/>
  <c r="H1508" i="1"/>
  <c r="J1508" i="1"/>
  <c r="A1509" i="1"/>
  <c r="B1509" i="1"/>
  <c r="G1509" i="1"/>
  <c r="H1509" i="1"/>
  <c r="J1509" i="1"/>
  <c r="A1510" i="1"/>
  <c r="B1510" i="1"/>
  <c r="G1510" i="1"/>
  <c r="H1510" i="1"/>
  <c r="J1510" i="1"/>
  <c r="A1511" i="1"/>
  <c r="B1511" i="1"/>
  <c r="G1511" i="1"/>
  <c r="H1511" i="1"/>
  <c r="J1511" i="1"/>
  <c r="A1512" i="1"/>
  <c r="B1512" i="1"/>
  <c r="G1512" i="1"/>
  <c r="H1512" i="1"/>
  <c r="J1512" i="1"/>
  <c r="A1513" i="1"/>
  <c r="B1513" i="1"/>
  <c r="G1513" i="1"/>
  <c r="H1513" i="1"/>
  <c r="J1513" i="1"/>
  <c r="A1514" i="1"/>
  <c r="B1514" i="1"/>
  <c r="G1514" i="1"/>
  <c r="H1514" i="1"/>
  <c r="J1514" i="1"/>
  <c r="A1515" i="1"/>
  <c r="B1515" i="1"/>
  <c r="G1515" i="1"/>
  <c r="H1515" i="1"/>
  <c r="J1515" i="1"/>
  <c r="A1516" i="1"/>
  <c r="B1516" i="1"/>
  <c r="G1516" i="1"/>
  <c r="H1516" i="1"/>
  <c r="J1516" i="1"/>
  <c r="A1517" i="1"/>
  <c r="B1517" i="1"/>
  <c r="G1517" i="1"/>
  <c r="H1517" i="1"/>
  <c r="J1517" i="1"/>
  <c r="A1518" i="1"/>
  <c r="B1518" i="1"/>
  <c r="G1518" i="1"/>
  <c r="H1518" i="1"/>
  <c r="J1518" i="1"/>
  <c r="A1519" i="1"/>
  <c r="B1519" i="1"/>
  <c r="G1519" i="1"/>
  <c r="H1519" i="1"/>
  <c r="J1519" i="1"/>
  <c r="A1520" i="1"/>
  <c r="B1520" i="1"/>
  <c r="G1520" i="1"/>
  <c r="H1520" i="1"/>
  <c r="J1520" i="1"/>
  <c r="A1521" i="1"/>
  <c r="B1521" i="1"/>
  <c r="G1521" i="1"/>
  <c r="H1521" i="1"/>
  <c r="J1521" i="1"/>
  <c r="A1522" i="1"/>
  <c r="B1522" i="1"/>
  <c r="G1522" i="1"/>
  <c r="H1522" i="1"/>
  <c r="J1522" i="1"/>
  <c r="A1523" i="1"/>
  <c r="B1523" i="1"/>
  <c r="G1523" i="1"/>
  <c r="H1523" i="1"/>
  <c r="J1523" i="1"/>
  <c r="A1524" i="1"/>
  <c r="B1524" i="1"/>
  <c r="G1524" i="1"/>
  <c r="H1524" i="1"/>
  <c r="J1524" i="1"/>
  <c r="A1525" i="1"/>
  <c r="B1525" i="1"/>
  <c r="G1525" i="1"/>
  <c r="H1525" i="1"/>
  <c r="J1525" i="1"/>
  <c r="A1526" i="1"/>
  <c r="B1526" i="1"/>
  <c r="G1526" i="1"/>
  <c r="H1526" i="1"/>
  <c r="J1526" i="1"/>
  <c r="A1527" i="1"/>
  <c r="B1527" i="1"/>
  <c r="G1527" i="1"/>
  <c r="H1527" i="1"/>
  <c r="J1527" i="1"/>
  <c r="A1528" i="1"/>
  <c r="B1528" i="1"/>
  <c r="G1528" i="1"/>
  <c r="H1528" i="1"/>
  <c r="J1528" i="1"/>
  <c r="A1529" i="1"/>
  <c r="B1529" i="1"/>
  <c r="G1529" i="1"/>
  <c r="H1529" i="1"/>
  <c r="J1529" i="1"/>
  <c r="A1530" i="1"/>
  <c r="B1530" i="1"/>
  <c r="G1530" i="1"/>
  <c r="H1530" i="1"/>
  <c r="J1530" i="1"/>
  <c r="A1531" i="1"/>
  <c r="B1531" i="1"/>
  <c r="G1531" i="1"/>
  <c r="H1531" i="1"/>
  <c r="J1531" i="1"/>
  <c r="A1532" i="1"/>
  <c r="B1532" i="1"/>
  <c r="G1532" i="1"/>
  <c r="H1532" i="1"/>
  <c r="J1532" i="1"/>
  <c r="A1533" i="1"/>
  <c r="B1533" i="1"/>
  <c r="G1533" i="1"/>
  <c r="H1533" i="1"/>
  <c r="J1533" i="1"/>
  <c r="A1534" i="1"/>
  <c r="B1534" i="1"/>
  <c r="G1534" i="1"/>
  <c r="H1534" i="1"/>
  <c r="J1534" i="1"/>
  <c r="A1535" i="1"/>
  <c r="B1535" i="1"/>
  <c r="G1535" i="1"/>
  <c r="H1535" i="1"/>
  <c r="J1535" i="1"/>
  <c r="A1536" i="1"/>
  <c r="B1536" i="1"/>
  <c r="G1536" i="1"/>
  <c r="H1536" i="1"/>
  <c r="J1536" i="1"/>
  <c r="A1537" i="1"/>
  <c r="B1537" i="1"/>
  <c r="G1537" i="1"/>
  <c r="H1537" i="1"/>
  <c r="J1537" i="1"/>
  <c r="A1538" i="1"/>
  <c r="B1538" i="1"/>
  <c r="G1538" i="1"/>
  <c r="H1538" i="1"/>
  <c r="J1538" i="1"/>
  <c r="A1539" i="1"/>
  <c r="B1539" i="1"/>
  <c r="G1539" i="1"/>
  <c r="H1539" i="1"/>
  <c r="J1539" i="1"/>
  <c r="A1540" i="1"/>
  <c r="B1540" i="1"/>
  <c r="G1540" i="1"/>
  <c r="H1540" i="1"/>
  <c r="J1540" i="1"/>
  <c r="A1541" i="1"/>
  <c r="B1541" i="1"/>
  <c r="G1541" i="1"/>
  <c r="H1541" i="1"/>
  <c r="J1541" i="1"/>
  <c r="A1542" i="1"/>
  <c r="B1542" i="1"/>
  <c r="G1542" i="1"/>
  <c r="H1542" i="1"/>
  <c r="J1542" i="1"/>
  <c r="A1543" i="1"/>
  <c r="B1543" i="1"/>
  <c r="G1543" i="1"/>
  <c r="H1543" i="1"/>
  <c r="J1543" i="1"/>
  <c r="A1544" i="1"/>
  <c r="B1544" i="1"/>
  <c r="G1544" i="1"/>
  <c r="H1544" i="1"/>
  <c r="J1544" i="1"/>
  <c r="A1545" i="1"/>
  <c r="B1545" i="1"/>
  <c r="G1545" i="1"/>
  <c r="H1545" i="1"/>
  <c r="J1545" i="1"/>
  <c r="A1546" i="1"/>
  <c r="B1546" i="1"/>
  <c r="G1546" i="1"/>
  <c r="H1546" i="1"/>
  <c r="J1546" i="1"/>
  <c r="A1547" i="1"/>
  <c r="B1547" i="1"/>
  <c r="G1547" i="1"/>
  <c r="H1547" i="1"/>
  <c r="J1547" i="1"/>
  <c r="A1548" i="1"/>
  <c r="B1548" i="1"/>
  <c r="G1548" i="1"/>
  <c r="H1548" i="1"/>
  <c r="J1548" i="1"/>
  <c r="A1549" i="1"/>
  <c r="B1549" i="1"/>
  <c r="G1549" i="1"/>
  <c r="H1549" i="1"/>
  <c r="J1549" i="1"/>
  <c r="A1550" i="1"/>
  <c r="B1550" i="1"/>
  <c r="G1550" i="1"/>
  <c r="H1550" i="1"/>
  <c r="J1550" i="1"/>
  <c r="A1551" i="1"/>
  <c r="B1551" i="1"/>
  <c r="G1551" i="1"/>
  <c r="H1551" i="1"/>
  <c r="J1551" i="1"/>
  <c r="A1552" i="1"/>
  <c r="B1552" i="1"/>
  <c r="G1552" i="1"/>
  <c r="H1552" i="1"/>
  <c r="J1552" i="1"/>
  <c r="A1553" i="1"/>
  <c r="B1553" i="1"/>
  <c r="G1553" i="1"/>
  <c r="H1553" i="1"/>
  <c r="J1553" i="1"/>
  <c r="A1554" i="1"/>
  <c r="B1554" i="1"/>
  <c r="G1554" i="1"/>
  <c r="H1554" i="1"/>
  <c r="J1554" i="1"/>
  <c r="A1555" i="1"/>
  <c r="B1555" i="1"/>
  <c r="G1555" i="1"/>
  <c r="H1555" i="1"/>
  <c r="J1555" i="1"/>
  <c r="A1556" i="1"/>
  <c r="B1556" i="1"/>
  <c r="G1556" i="1"/>
  <c r="H1556" i="1"/>
  <c r="J1556" i="1"/>
  <c r="A1557" i="1"/>
  <c r="B1557" i="1"/>
  <c r="G1557" i="1"/>
  <c r="H1557" i="1"/>
  <c r="J1557" i="1"/>
  <c r="A1558" i="1"/>
  <c r="B1558" i="1"/>
  <c r="G1558" i="1"/>
  <c r="H1558" i="1"/>
  <c r="J1558" i="1"/>
  <c r="A1559" i="1"/>
  <c r="B1559" i="1"/>
  <c r="G1559" i="1"/>
  <c r="H1559" i="1"/>
  <c r="J1559" i="1"/>
  <c r="A1560" i="1"/>
  <c r="B1560" i="1"/>
  <c r="G1560" i="1"/>
  <c r="H1560" i="1"/>
  <c r="J1560" i="1"/>
  <c r="A1561" i="1"/>
  <c r="B1561" i="1"/>
  <c r="G1561" i="1"/>
  <c r="H1561" i="1"/>
  <c r="J1561" i="1"/>
  <c r="A1562" i="1"/>
  <c r="B1562" i="1"/>
  <c r="G1562" i="1"/>
  <c r="H1562" i="1"/>
  <c r="J1562" i="1"/>
  <c r="A1563" i="1"/>
  <c r="B1563" i="1"/>
  <c r="G1563" i="1"/>
  <c r="H1563" i="1"/>
  <c r="J1563" i="1"/>
  <c r="A1564" i="1"/>
  <c r="B1564" i="1"/>
  <c r="G1564" i="1"/>
  <c r="H1564" i="1"/>
  <c r="J1564" i="1"/>
  <c r="A1565" i="1"/>
  <c r="B1565" i="1"/>
  <c r="G1565" i="1"/>
  <c r="H1565" i="1"/>
  <c r="J1565" i="1"/>
  <c r="A1566" i="1"/>
  <c r="B1566" i="1"/>
  <c r="G1566" i="1"/>
  <c r="H1566" i="1"/>
  <c r="J1566" i="1"/>
  <c r="A1567" i="1"/>
  <c r="B1567" i="1"/>
  <c r="G1567" i="1"/>
  <c r="H1567" i="1"/>
  <c r="J1567" i="1"/>
  <c r="A1568" i="1"/>
  <c r="B1568" i="1"/>
  <c r="G1568" i="1"/>
  <c r="H1568" i="1"/>
  <c r="J1568" i="1"/>
  <c r="A1569" i="1"/>
  <c r="B1569" i="1"/>
  <c r="G1569" i="1"/>
  <c r="H1569" i="1"/>
  <c r="J1569" i="1"/>
  <c r="A1570" i="1"/>
  <c r="B1570" i="1"/>
  <c r="G1570" i="1"/>
  <c r="H1570" i="1"/>
  <c r="J1570" i="1"/>
  <c r="A1571" i="1"/>
  <c r="B1571" i="1"/>
  <c r="G1571" i="1"/>
  <c r="H1571" i="1"/>
  <c r="J1571" i="1"/>
  <c r="A1572" i="1"/>
  <c r="B1572" i="1"/>
  <c r="G1572" i="1"/>
  <c r="H1572" i="1"/>
  <c r="J1572" i="1"/>
  <c r="A1573" i="1"/>
  <c r="B1573" i="1"/>
  <c r="G1573" i="1"/>
  <c r="H1573" i="1"/>
  <c r="J1573" i="1"/>
  <c r="A1574" i="1"/>
  <c r="B1574" i="1"/>
  <c r="G1574" i="1"/>
  <c r="H1574" i="1"/>
  <c r="J1574" i="1"/>
  <c r="A1575" i="1"/>
  <c r="B1575" i="1"/>
  <c r="G1575" i="1"/>
  <c r="H1575" i="1"/>
  <c r="J1575" i="1"/>
  <c r="A1576" i="1"/>
  <c r="B1576" i="1"/>
  <c r="G1576" i="1"/>
  <c r="H1576" i="1"/>
  <c r="J1576" i="1"/>
  <c r="A1577" i="1"/>
  <c r="B1577" i="1"/>
  <c r="G1577" i="1"/>
  <c r="H1577" i="1"/>
  <c r="J1577" i="1"/>
  <c r="A1578" i="1"/>
  <c r="B1578" i="1"/>
  <c r="G1578" i="1"/>
  <c r="H1578" i="1"/>
  <c r="J1578" i="1"/>
  <c r="A1579" i="1"/>
  <c r="B1579" i="1"/>
  <c r="G1579" i="1"/>
  <c r="H1579" i="1"/>
  <c r="J1579" i="1"/>
  <c r="A1580" i="1"/>
  <c r="B1580" i="1"/>
  <c r="G1580" i="1"/>
  <c r="H1580" i="1"/>
  <c r="J1580" i="1"/>
  <c r="A1581" i="1"/>
  <c r="B1581" i="1"/>
  <c r="G1581" i="1"/>
  <c r="H1581" i="1"/>
  <c r="J1581" i="1"/>
  <c r="A1582" i="1"/>
  <c r="B1582" i="1"/>
  <c r="G1582" i="1"/>
  <c r="H1582" i="1"/>
  <c r="J1582" i="1"/>
  <c r="A1583" i="1"/>
  <c r="B1583" i="1"/>
  <c r="G1583" i="1"/>
  <c r="H1583" i="1"/>
  <c r="J1583" i="1"/>
  <c r="A1584" i="1"/>
  <c r="B1584" i="1"/>
  <c r="G1584" i="1"/>
  <c r="H1584" i="1"/>
  <c r="J1584" i="1"/>
  <c r="A1585" i="1"/>
  <c r="B1585" i="1"/>
  <c r="G1585" i="1"/>
  <c r="H1585" i="1"/>
  <c r="J1585" i="1"/>
  <c r="A1586" i="1"/>
  <c r="B1586" i="1"/>
  <c r="G1586" i="1"/>
  <c r="H1586" i="1"/>
  <c r="J1586" i="1"/>
  <c r="A1587" i="1"/>
  <c r="B1587" i="1"/>
  <c r="G1587" i="1"/>
  <c r="H1587" i="1"/>
  <c r="J1587" i="1"/>
  <c r="A1588" i="1"/>
  <c r="B1588" i="1"/>
  <c r="G1588" i="1"/>
  <c r="H1588" i="1"/>
  <c r="J1588" i="1"/>
  <c r="A1589" i="1"/>
  <c r="B1589" i="1"/>
  <c r="G1589" i="1"/>
  <c r="H1589" i="1"/>
  <c r="J1589" i="1"/>
  <c r="A1590" i="1"/>
  <c r="B1590" i="1"/>
  <c r="G1590" i="1"/>
  <c r="H1590" i="1"/>
  <c r="J1590" i="1"/>
  <c r="A1591" i="1"/>
  <c r="B1591" i="1"/>
  <c r="G1591" i="1"/>
  <c r="H1591" i="1"/>
  <c r="J1591" i="1"/>
  <c r="A1592" i="1"/>
  <c r="B1592" i="1"/>
  <c r="G1592" i="1"/>
  <c r="H1592" i="1"/>
  <c r="J1592" i="1"/>
  <c r="A1593" i="1"/>
  <c r="B1593" i="1"/>
  <c r="G1593" i="1"/>
  <c r="H1593" i="1"/>
  <c r="J1593" i="1"/>
  <c r="A1594" i="1"/>
  <c r="B1594" i="1"/>
  <c r="G1594" i="1"/>
  <c r="H1594" i="1"/>
  <c r="J1594" i="1"/>
  <c r="A1595" i="1"/>
  <c r="B1595" i="1"/>
  <c r="G1595" i="1"/>
  <c r="H1595" i="1"/>
  <c r="J1595" i="1"/>
  <c r="A1596" i="1"/>
  <c r="B1596" i="1"/>
  <c r="G1596" i="1"/>
  <c r="H1596" i="1"/>
  <c r="J1596" i="1"/>
  <c r="A1597" i="1"/>
  <c r="B1597" i="1"/>
  <c r="G1597" i="1"/>
  <c r="H1597" i="1"/>
  <c r="J1597" i="1"/>
  <c r="A1598" i="1"/>
  <c r="B1598" i="1"/>
  <c r="G1598" i="1"/>
  <c r="H1598" i="1"/>
  <c r="J1598" i="1"/>
  <c r="A1599" i="1"/>
  <c r="B1599" i="1"/>
  <c r="G1599" i="1"/>
  <c r="H1599" i="1"/>
  <c r="J1599" i="1"/>
  <c r="A1600" i="1"/>
  <c r="B1600" i="1"/>
  <c r="G1600" i="1"/>
  <c r="H1600" i="1"/>
  <c r="J1600" i="1"/>
  <c r="A1601" i="1"/>
  <c r="B1601" i="1"/>
  <c r="G1601" i="1"/>
  <c r="H1601" i="1"/>
  <c r="J1601" i="1"/>
  <c r="A1602" i="1"/>
  <c r="B1602" i="1"/>
  <c r="G1602" i="1"/>
  <c r="H1602" i="1"/>
  <c r="J1602" i="1"/>
  <c r="A1603" i="1"/>
  <c r="B1603" i="1"/>
  <c r="G1603" i="1"/>
  <c r="H1603" i="1"/>
  <c r="J1603" i="1"/>
  <c r="A1604" i="1"/>
  <c r="B1604" i="1"/>
  <c r="G1604" i="1"/>
  <c r="H1604" i="1"/>
  <c r="J1604" i="1"/>
  <c r="A1605" i="1"/>
  <c r="B1605" i="1"/>
  <c r="G1605" i="1"/>
  <c r="H1605" i="1"/>
  <c r="J1605" i="1"/>
  <c r="A1606" i="1"/>
  <c r="B1606" i="1"/>
  <c r="G1606" i="1"/>
  <c r="H1606" i="1"/>
  <c r="J1606" i="1"/>
  <c r="A1607" i="1"/>
  <c r="B1607" i="1"/>
  <c r="G1607" i="1"/>
  <c r="H1607" i="1"/>
  <c r="J1607" i="1"/>
  <c r="A1608" i="1"/>
  <c r="B1608" i="1"/>
  <c r="G1608" i="1"/>
  <c r="H1608" i="1"/>
  <c r="J1608" i="1"/>
  <c r="A1609" i="1"/>
  <c r="B1609" i="1"/>
  <c r="G1609" i="1"/>
  <c r="H1609" i="1"/>
  <c r="J1609" i="1"/>
  <c r="A1610" i="1"/>
  <c r="B1610" i="1"/>
  <c r="G1610" i="1"/>
  <c r="H1610" i="1"/>
  <c r="J1610" i="1"/>
  <c r="A1611" i="1"/>
  <c r="B1611" i="1"/>
  <c r="G1611" i="1"/>
  <c r="H1611" i="1"/>
  <c r="J1611" i="1"/>
  <c r="A1612" i="1"/>
  <c r="B1612" i="1"/>
  <c r="G1612" i="1"/>
  <c r="H1612" i="1"/>
  <c r="J1612" i="1"/>
  <c r="A1613" i="1"/>
  <c r="B1613" i="1"/>
  <c r="G1613" i="1"/>
  <c r="H1613" i="1"/>
  <c r="J1613" i="1"/>
  <c r="A1614" i="1"/>
  <c r="B1614" i="1"/>
  <c r="G1614" i="1"/>
  <c r="H1614" i="1"/>
  <c r="J1614" i="1"/>
  <c r="A1615" i="1"/>
  <c r="B1615" i="1"/>
  <c r="G1615" i="1"/>
  <c r="H1615" i="1"/>
  <c r="J1615" i="1"/>
  <c r="A1616" i="1"/>
  <c r="B1616" i="1"/>
  <c r="G1616" i="1"/>
  <c r="H1616" i="1"/>
  <c r="J1616" i="1"/>
  <c r="A1617" i="1"/>
  <c r="B1617" i="1"/>
  <c r="G1617" i="1"/>
  <c r="H1617" i="1"/>
  <c r="J1617" i="1"/>
  <c r="A1618" i="1"/>
  <c r="B1618" i="1"/>
  <c r="G1618" i="1"/>
  <c r="H1618" i="1"/>
  <c r="J1618" i="1"/>
  <c r="A1619" i="1"/>
  <c r="B1619" i="1"/>
  <c r="G1619" i="1"/>
  <c r="H1619" i="1"/>
  <c r="J1619" i="1"/>
  <c r="A1620" i="1"/>
  <c r="B1620" i="1"/>
  <c r="G1620" i="1"/>
  <c r="H1620" i="1"/>
  <c r="J1620" i="1"/>
  <c r="A1621" i="1"/>
  <c r="B1621" i="1"/>
  <c r="G1621" i="1"/>
  <c r="H1621" i="1"/>
  <c r="A1622" i="1"/>
  <c r="B1622" i="1"/>
  <c r="G1622" i="1"/>
  <c r="H1622" i="1"/>
  <c r="A1623" i="1"/>
  <c r="B1623" i="1"/>
  <c r="G1623" i="1"/>
  <c r="H1623" i="1"/>
  <c r="A1624" i="1"/>
  <c r="B1624" i="1"/>
  <c r="G1624" i="1"/>
  <c r="H1624" i="1"/>
  <c r="A1625" i="1"/>
  <c r="B1625" i="1"/>
  <c r="G1625" i="1"/>
  <c r="H1625" i="1"/>
  <c r="A1626" i="1"/>
  <c r="B1626" i="1"/>
  <c r="G1626" i="1"/>
  <c r="H1626" i="1"/>
  <c r="J1626" i="1"/>
  <c r="A1627" i="1"/>
  <c r="B1627" i="1"/>
  <c r="G1627" i="1"/>
  <c r="H1627" i="1"/>
  <c r="J1627" i="1"/>
  <c r="A1628" i="1"/>
  <c r="B1628" i="1"/>
  <c r="G1628" i="1"/>
  <c r="H1628" i="1"/>
  <c r="J1628" i="1"/>
  <c r="A1629" i="1"/>
  <c r="B1629" i="1"/>
  <c r="G1629" i="1"/>
  <c r="H1629" i="1"/>
  <c r="J1629" i="1"/>
  <c r="A1630" i="1"/>
  <c r="B1630" i="1"/>
  <c r="G1630" i="1"/>
  <c r="H1630" i="1"/>
  <c r="J1630" i="1"/>
  <c r="A1631" i="1"/>
  <c r="B1631" i="1"/>
  <c r="G1631" i="1"/>
  <c r="H1631" i="1"/>
  <c r="J1631" i="1"/>
  <c r="A1632" i="1"/>
  <c r="B1632" i="1"/>
  <c r="G1632" i="1"/>
  <c r="H1632" i="1"/>
  <c r="J1632" i="1"/>
  <c r="A1633" i="1"/>
  <c r="B1633" i="1"/>
  <c r="G1633" i="1"/>
  <c r="H1633" i="1"/>
  <c r="J1633" i="1"/>
  <c r="A1634" i="1"/>
  <c r="B1634" i="1"/>
  <c r="G1634" i="1"/>
  <c r="H1634" i="1"/>
  <c r="J1634" i="1"/>
  <c r="A1635" i="1"/>
  <c r="B1635" i="1"/>
  <c r="G1635" i="1"/>
  <c r="H1635" i="1"/>
  <c r="J1635" i="1"/>
  <c r="A1636" i="1"/>
  <c r="B1636" i="1"/>
  <c r="G1636" i="1"/>
  <c r="H1636" i="1"/>
  <c r="J1636" i="1"/>
  <c r="A1637" i="1"/>
  <c r="B1637" i="1"/>
  <c r="G1637" i="1"/>
  <c r="H1637" i="1"/>
  <c r="J1637" i="1"/>
  <c r="A1638" i="1"/>
  <c r="B1638" i="1"/>
  <c r="G1638" i="1"/>
  <c r="H1638" i="1"/>
  <c r="J1638" i="1"/>
  <c r="A1639" i="1"/>
  <c r="B1639" i="1"/>
  <c r="G1639" i="1"/>
  <c r="H1639" i="1"/>
  <c r="J1639" i="1"/>
  <c r="A1640" i="1"/>
  <c r="B1640" i="1"/>
  <c r="G1640" i="1"/>
  <c r="H1640" i="1"/>
  <c r="J1640" i="1"/>
  <c r="A1641" i="1"/>
  <c r="B1641" i="1"/>
  <c r="G1641" i="1"/>
  <c r="H1641" i="1"/>
  <c r="J1641" i="1"/>
  <c r="A1642" i="1"/>
  <c r="B1642" i="1"/>
  <c r="G1642" i="1"/>
  <c r="H1642" i="1"/>
  <c r="J1642" i="1"/>
  <c r="A1643" i="1"/>
  <c r="B1643" i="1"/>
  <c r="G1643" i="1"/>
  <c r="H1643" i="1"/>
  <c r="J1643" i="1"/>
  <c r="A1644" i="1"/>
  <c r="B1644" i="1"/>
  <c r="G1644" i="1"/>
  <c r="H1644" i="1"/>
  <c r="J1644" i="1"/>
  <c r="A1645" i="1"/>
  <c r="B1645" i="1"/>
  <c r="G1645" i="1"/>
  <c r="H1645" i="1"/>
  <c r="J1645" i="1"/>
  <c r="A1646" i="1"/>
  <c r="B1646" i="1"/>
  <c r="G1646" i="1"/>
  <c r="H1646" i="1"/>
  <c r="J1646" i="1"/>
  <c r="A1647" i="1"/>
  <c r="B1647" i="1"/>
  <c r="G1647" i="1"/>
  <c r="H1647" i="1"/>
  <c r="J1647" i="1"/>
  <c r="A1648" i="1"/>
  <c r="B1648" i="1"/>
  <c r="G1648" i="1"/>
  <c r="H1648" i="1"/>
  <c r="J1648" i="1"/>
  <c r="A1649" i="1"/>
  <c r="B1649" i="1"/>
  <c r="G1649" i="1"/>
  <c r="H1649" i="1"/>
  <c r="J1649" i="1"/>
  <c r="A1650" i="1"/>
  <c r="B1650" i="1"/>
  <c r="G1650" i="1"/>
  <c r="H1650" i="1"/>
  <c r="J1650" i="1"/>
  <c r="A1651" i="1"/>
  <c r="B1651" i="1"/>
  <c r="G1651" i="1"/>
  <c r="H1651" i="1"/>
  <c r="J1651" i="1"/>
  <c r="A1652" i="1"/>
  <c r="B1652" i="1"/>
  <c r="G1652" i="1"/>
  <c r="H1652" i="1"/>
  <c r="J1652" i="1"/>
  <c r="A1653" i="1"/>
  <c r="B1653" i="1"/>
  <c r="G1653" i="1"/>
  <c r="H1653" i="1"/>
  <c r="J1653" i="1"/>
  <c r="A1654" i="1"/>
  <c r="B1654" i="1"/>
  <c r="G1654" i="1"/>
  <c r="H1654" i="1"/>
  <c r="J1654" i="1"/>
  <c r="A1655" i="1"/>
  <c r="B1655" i="1"/>
  <c r="G1655" i="1"/>
  <c r="H1655" i="1"/>
  <c r="J1655" i="1"/>
  <c r="A1656" i="1"/>
  <c r="B1656" i="1"/>
  <c r="G1656" i="1"/>
  <c r="H1656" i="1"/>
  <c r="J1656" i="1"/>
  <c r="A1657" i="1"/>
  <c r="B1657" i="1"/>
  <c r="G1657" i="1"/>
  <c r="H1657" i="1"/>
  <c r="J1657" i="1"/>
  <c r="A1658" i="1"/>
  <c r="B1658" i="1"/>
  <c r="G1658" i="1"/>
  <c r="H1658" i="1"/>
  <c r="J1658" i="1"/>
  <c r="A1659" i="1"/>
  <c r="B1659" i="1"/>
  <c r="G1659" i="1"/>
  <c r="H1659" i="1"/>
  <c r="J1659" i="1"/>
  <c r="A1660" i="1"/>
  <c r="B1660" i="1"/>
  <c r="G1660" i="1"/>
  <c r="H1660" i="1"/>
  <c r="J1660" i="1"/>
  <c r="A1661" i="1"/>
  <c r="B1661" i="1"/>
  <c r="G1661" i="1"/>
  <c r="H1661" i="1"/>
  <c r="J1661" i="1"/>
  <c r="A1662" i="1"/>
  <c r="B1662" i="1"/>
  <c r="G1662" i="1"/>
  <c r="H1662" i="1"/>
  <c r="J1662" i="1"/>
  <c r="A1663" i="1"/>
  <c r="B1663" i="1"/>
  <c r="G1663" i="1"/>
  <c r="H1663" i="1"/>
  <c r="J1663" i="1"/>
  <c r="A1664" i="1"/>
  <c r="B1664" i="1"/>
  <c r="G1664" i="1"/>
  <c r="H1664" i="1"/>
  <c r="J1664" i="1"/>
  <c r="A1665" i="1"/>
  <c r="B1665" i="1"/>
  <c r="G1665" i="1"/>
  <c r="H1665" i="1"/>
  <c r="J1665" i="1"/>
  <c r="A1666" i="1"/>
  <c r="B1666" i="1"/>
  <c r="G1666" i="1"/>
  <c r="H1666" i="1"/>
  <c r="J1666" i="1"/>
  <c r="A1667" i="1"/>
  <c r="B1667" i="1"/>
  <c r="G1667" i="1"/>
  <c r="H1667" i="1"/>
  <c r="J1667" i="1"/>
  <c r="A1668" i="1"/>
  <c r="B1668" i="1"/>
  <c r="G1668" i="1"/>
  <c r="H1668" i="1"/>
  <c r="J1668" i="1"/>
  <c r="A1669" i="1"/>
  <c r="B1669" i="1"/>
  <c r="G1669" i="1"/>
  <c r="H1669" i="1"/>
  <c r="J1669" i="1"/>
  <c r="A1670" i="1"/>
  <c r="B1670" i="1"/>
  <c r="G1670" i="1"/>
  <c r="H1670" i="1"/>
  <c r="J1670" i="1"/>
  <c r="A1671" i="1"/>
  <c r="B1671" i="1"/>
  <c r="G1671" i="1"/>
  <c r="H1671" i="1"/>
  <c r="J1671" i="1"/>
  <c r="A1672" i="1"/>
  <c r="B1672" i="1"/>
  <c r="G1672" i="1"/>
  <c r="H1672" i="1"/>
  <c r="J1672" i="1"/>
  <c r="A1673" i="1"/>
  <c r="B1673" i="1"/>
  <c r="G1673" i="1"/>
  <c r="H1673" i="1"/>
  <c r="J1673" i="1"/>
  <c r="A1674" i="1"/>
  <c r="B1674" i="1"/>
  <c r="G1674" i="1"/>
  <c r="H1674" i="1"/>
  <c r="J1674" i="1"/>
  <c r="A1675" i="1"/>
  <c r="B1675" i="1"/>
  <c r="G1675" i="1"/>
  <c r="H1675" i="1"/>
  <c r="J1675" i="1"/>
  <c r="A1676" i="1"/>
  <c r="B1676" i="1"/>
  <c r="G1676" i="1"/>
  <c r="H1676" i="1"/>
  <c r="J1676" i="1"/>
  <c r="A1677" i="1"/>
  <c r="B1677" i="1"/>
  <c r="G1677" i="1"/>
  <c r="H1677" i="1"/>
  <c r="J1677" i="1"/>
  <c r="A1678" i="1"/>
  <c r="B1678" i="1"/>
  <c r="G1678" i="1"/>
  <c r="H1678" i="1"/>
  <c r="J1678" i="1"/>
  <c r="A1679" i="1"/>
  <c r="B1679" i="1"/>
  <c r="G1679" i="1"/>
  <c r="H1679" i="1"/>
  <c r="J1679" i="1"/>
  <c r="A1680" i="1"/>
  <c r="B1680" i="1"/>
  <c r="G1680" i="1"/>
  <c r="H1680" i="1"/>
  <c r="J1680" i="1"/>
  <c r="A1681" i="1"/>
  <c r="B1681" i="1"/>
  <c r="G1681" i="1"/>
  <c r="H1681" i="1"/>
  <c r="J1681" i="1"/>
  <c r="A1682" i="1"/>
  <c r="B1682" i="1"/>
  <c r="G1682" i="1"/>
  <c r="H1682" i="1"/>
  <c r="J1682" i="1"/>
  <c r="A1683" i="1"/>
  <c r="B1683" i="1"/>
  <c r="G1683" i="1"/>
  <c r="H1683" i="1"/>
  <c r="J1683" i="1"/>
  <c r="A1684" i="1"/>
  <c r="B1684" i="1"/>
  <c r="G1684" i="1"/>
  <c r="H1684" i="1"/>
  <c r="J1684" i="1"/>
  <c r="A1685" i="1"/>
  <c r="B1685" i="1"/>
  <c r="G1685" i="1"/>
  <c r="H1685" i="1"/>
  <c r="J1685" i="1"/>
  <c r="A1686" i="1"/>
  <c r="B1686" i="1"/>
  <c r="G1686" i="1"/>
  <c r="H1686" i="1"/>
  <c r="J1686" i="1"/>
  <c r="A1687" i="1"/>
  <c r="B1687" i="1"/>
  <c r="G1687" i="1"/>
  <c r="H1687" i="1"/>
  <c r="J1687" i="1"/>
  <c r="A1688" i="1"/>
  <c r="B1688" i="1"/>
  <c r="G1688" i="1"/>
  <c r="H1688" i="1"/>
  <c r="J1688" i="1"/>
  <c r="A1689" i="1"/>
  <c r="B1689" i="1"/>
  <c r="G1689" i="1"/>
  <c r="H1689" i="1"/>
  <c r="J1689" i="1"/>
  <c r="A1690" i="1"/>
  <c r="B1690" i="1"/>
  <c r="G1690" i="1"/>
  <c r="H1690" i="1"/>
  <c r="J1690" i="1"/>
  <c r="A1691" i="1"/>
  <c r="B1691" i="1"/>
  <c r="G1691" i="1"/>
  <c r="H1691" i="1"/>
  <c r="J1691" i="1"/>
  <c r="A1692" i="1"/>
  <c r="B1692" i="1"/>
  <c r="G1692" i="1"/>
  <c r="H1692" i="1"/>
  <c r="J1692" i="1"/>
  <c r="A1693" i="1"/>
  <c r="B1693" i="1"/>
  <c r="G1693" i="1"/>
  <c r="H1693" i="1"/>
  <c r="J1693" i="1"/>
  <c r="A1694" i="1"/>
  <c r="B1694" i="1"/>
  <c r="G1694" i="1"/>
  <c r="H1694" i="1"/>
  <c r="J1694" i="1"/>
  <c r="A1695" i="1"/>
  <c r="B1695" i="1"/>
  <c r="G1695" i="1"/>
  <c r="H1695" i="1"/>
  <c r="J1695" i="1"/>
  <c r="A1696" i="1"/>
  <c r="B1696" i="1"/>
  <c r="G1696" i="1"/>
  <c r="H1696" i="1"/>
  <c r="J1696" i="1"/>
  <c r="A1697" i="1"/>
  <c r="B1697" i="1"/>
  <c r="G1697" i="1"/>
  <c r="H1697" i="1"/>
  <c r="J1697" i="1"/>
  <c r="A1698" i="1"/>
  <c r="B1698" i="1"/>
  <c r="G1698" i="1"/>
  <c r="H1698" i="1"/>
  <c r="J1698" i="1"/>
  <c r="A1699" i="1"/>
  <c r="B1699" i="1"/>
  <c r="G1699" i="1"/>
  <c r="H1699" i="1"/>
  <c r="J1699" i="1"/>
  <c r="A1700" i="1"/>
  <c r="B1700" i="1"/>
  <c r="G1700" i="1"/>
  <c r="H1700" i="1"/>
  <c r="J1700" i="1"/>
  <c r="A1701" i="1"/>
  <c r="B1701" i="1"/>
  <c r="G1701" i="1"/>
  <c r="H1701" i="1"/>
  <c r="J1701" i="1"/>
  <c r="A1702" i="1"/>
  <c r="B1702" i="1"/>
  <c r="G1702" i="1"/>
  <c r="H1702" i="1"/>
  <c r="J1702" i="1"/>
  <c r="A1703" i="1"/>
  <c r="B1703" i="1"/>
  <c r="G1703" i="1"/>
  <c r="H1703" i="1"/>
  <c r="J1703" i="1"/>
  <c r="A1704" i="1"/>
  <c r="B1704" i="1"/>
  <c r="G1704" i="1"/>
  <c r="H1704" i="1"/>
  <c r="J1704" i="1"/>
  <c r="A1705" i="1"/>
  <c r="B1705" i="1"/>
  <c r="G1705" i="1"/>
  <c r="H1705" i="1"/>
  <c r="J1705" i="1"/>
  <c r="A1706" i="1"/>
  <c r="B1706" i="1"/>
  <c r="G1706" i="1"/>
  <c r="H1706" i="1"/>
  <c r="J1706" i="1"/>
  <c r="A1707" i="1"/>
  <c r="B1707" i="1"/>
  <c r="G1707" i="1"/>
  <c r="H1707" i="1"/>
  <c r="J1707" i="1"/>
  <c r="A1708" i="1"/>
  <c r="B1708" i="1"/>
  <c r="G1708" i="1"/>
  <c r="H1708" i="1"/>
  <c r="J1708" i="1"/>
  <c r="A1709" i="1"/>
  <c r="B1709" i="1"/>
  <c r="G1709" i="1"/>
  <c r="H1709" i="1"/>
  <c r="J1709" i="1"/>
  <c r="A1710" i="1"/>
  <c r="B1710" i="1"/>
  <c r="G1710" i="1"/>
  <c r="H1710" i="1"/>
  <c r="J1710" i="1"/>
  <c r="A1711" i="1"/>
  <c r="B1711" i="1"/>
  <c r="G1711" i="1"/>
  <c r="H1711" i="1"/>
  <c r="J1711" i="1"/>
  <c r="A1712" i="1"/>
  <c r="B1712" i="1"/>
  <c r="G1712" i="1"/>
  <c r="H1712" i="1"/>
  <c r="J1712" i="1"/>
  <c r="A1713" i="1"/>
  <c r="B1713" i="1"/>
  <c r="G1713" i="1"/>
  <c r="H1713" i="1"/>
  <c r="J1713" i="1"/>
  <c r="A1714" i="1"/>
  <c r="B1714" i="1"/>
  <c r="G1714" i="1"/>
  <c r="H1714" i="1"/>
  <c r="J1714" i="1"/>
  <c r="A1715" i="1"/>
  <c r="B1715" i="1"/>
  <c r="G1715" i="1"/>
  <c r="H1715" i="1"/>
  <c r="J1715" i="1"/>
  <c r="A1716" i="1"/>
  <c r="B1716" i="1"/>
  <c r="G1716" i="1"/>
  <c r="H1716" i="1"/>
  <c r="J1716" i="1"/>
  <c r="A1717" i="1"/>
  <c r="B1717" i="1"/>
  <c r="G1717" i="1"/>
  <c r="H1717" i="1"/>
  <c r="J1717" i="1"/>
  <c r="A1718" i="1"/>
  <c r="B1718" i="1"/>
  <c r="G1718" i="1"/>
  <c r="H1718" i="1"/>
  <c r="J1718" i="1"/>
  <c r="A1719" i="1"/>
  <c r="B1719" i="1"/>
  <c r="G1719" i="1"/>
  <c r="H1719" i="1"/>
  <c r="J1719" i="1"/>
  <c r="A1720" i="1"/>
  <c r="B1720" i="1"/>
  <c r="G1720" i="1"/>
  <c r="H1720" i="1"/>
  <c r="J1720" i="1"/>
  <c r="A1721" i="1"/>
  <c r="B1721" i="1"/>
  <c r="G1721" i="1"/>
  <c r="H1721" i="1"/>
  <c r="J1721" i="1"/>
  <c r="A1722" i="1"/>
  <c r="B1722" i="1"/>
  <c r="G1722" i="1"/>
  <c r="H1722" i="1"/>
  <c r="J1722" i="1"/>
  <c r="A1723" i="1"/>
  <c r="B1723" i="1"/>
  <c r="G1723" i="1"/>
  <c r="H1723" i="1"/>
  <c r="J1723" i="1"/>
  <c r="A1724" i="1"/>
  <c r="B1724" i="1"/>
  <c r="G1724" i="1"/>
  <c r="H1724" i="1"/>
  <c r="J1724" i="1"/>
  <c r="A1725" i="1"/>
  <c r="B1725" i="1"/>
  <c r="G1725" i="1"/>
  <c r="H1725" i="1"/>
  <c r="J1725" i="1"/>
  <c r="A1726" i="1"/>
  <c r="B1726" i="1"/>
  <c r="G1726" i="1"/>
  <c r="H1726" i="1"/>
  <c r="J1726" i="1"/>
  <c r="A1727" i="1"/>
  <c r="B1727" i="1"/>
  <c r="G1727" i="1"/>
  <c r="H1727" i="1"/>
  <c r="J1727" i="1"/>
  <c r="A1728" i="1"/>
  <c r="B1728" i="1"/>
  <c r="G1728" i="1"/>
  <c r="H1728" i="1"/>
  <c r="J1728" i="1"/>
  <c r="A1729" i="1"/>
  <c r="B1729" i="1"/>
  <c r="G1729" i="1"/>
  <c r="H1729" i="1"/>
  <c r="J1729" i="1"/>
  <c r="A1730" i="1"/>
  <c r="B1730" i="1"/>
  <c r="G1730" i="1"/>
  <c r="H1730" i="1"/>
  <c r="J1730" i="1"/>
  <c r="A1731" i="1"/>
  <c r="B1731" i="1"/>
  <c r="G1731" i="1"/>
  <c r="H1731" i="1"/>
  <c r="J1731" i="1"/>
  <c r="A1732" i="1"/>
  <c r="B1732" i="1"/>
  <c r="G1732" i="1"/>
  <c r="H1732" i="1"/>
  <c r="J1732" i="1"/>
  <c r="A1733" i="1"/>
  <c r="B1733" i="1"/>
  <c r="G1733" i="1"/>
  <c r="H1733" i="1"/>
  <c r="J1733" i="1"/>
  <c r="A1734" i="1"/>
  <c r="B1734" i="1"/>
  <c r="G1734" i="1"/>
  <c r="H1734" i="1"/>
  <c r="J1734" i="1"/>
  <c r="A1735" i="1"/>
  <c r="B1735" i="1"/>
  <c r="G1735" i="1"/>
  <c r="H1735" i="1"/>
  <c r="J1735" i="1"/>
  <c r="A1736" i="1"/>
  <c r="B1736" i="1"/>
  <c r="G1736" i="1"/>
  <c r="H1736" i="1"/>
  <c r="J1736" i="1"/>
  <c r="A1737" i="1"/>
  <c r="B1737" i="1"/>
  <c r="G1737" i="1"/>
  <c r="H1737" i="1"/>
  <c r="J1737" i="1"/>
  <c r="A1738" i="1"/>
  <c r="B1738" i="1"/>
  <c r="G1738" i="1"/>
  <c r="H1738" i="1"/>
  <c r="J1738" i="1"/>
  <c r="A1739" i="1"/>
  <c r="B1739" i="1"/>
  <c r="G1739" i="1"/>
  <c r="H1739" i="1"/>
  <c r="J1739" i="1"/>
  <c r="A1740" i="1"/>
  <c r="B1740" i="1"/>
  <c r="G1740" i="1"/>
  <c r="H1740" i="1"/>
  <c r="J1740" i="1"/>
  <c r="A1741" i="1"/>
  <c r="B1741" i="1"/>
  <c r="G1741" i="1"/>
  <c r="H1741" i="1"/>
  <c r="J1741" i="1"/>
  <c r="A1742" i="1"/>
  <c r="B1742" i="1"/>
  <c r="G1742" i="1"/>
  <c r="H1742" i="1"/>
  <c r="J1742" i="1"/>
  <c r="A1743" i="1"/>
  <c r="B1743" i="1"/>
  <c r="G1743" i="1"/>
  <c r="H1743" i="1"/>
  <c r="J1743" i="1"/>
  <c r="A1744" i="1"/>
  <c r="B1744" i="1"/>
  <c r="G1744" i="1"/>
  <c r="H1744" i="1"/>
  <c r="J1744" i="1"/>
  <c r="A1745" i="1"/>
  <c r="B1745" i="1"/>
  <c r="G1745" i="1"/>
  <c r="H1745" i="1"/>
  <c r="J1745" i="1"/>
  <c r="A1746" i="1"/>
  <c r="B1746" i="1"/>
  <c r="G1746" i="1"/>
  <c r="H1746" i="1"/>
  <c r="J1746" i="1"/>
  <c r="A1747" i="1"/>
  <c r="B1747" i="1"/>
  <c r="G1747" i="1"/>
  <c r="H1747" i="1"/>
  <c r="J1747" i="1"/>
  <c r="A1748" i="1"/>
  <c r="B1748" i="1"/>
  <c r="G1748" i="1"/>
  <c r="H1748" i="1"/>
  <c r="J1748" i="1"/>
  <c r="A1749" i="1"/>
  <c r="B1749" i="1"/>
  <c r="G1749" i="1"/>
  <c r="H1749" i="1"/>
  <c r="J1749" i="1"/>
  <c r="A1750" i="1"/>
  <c r="B1750" i="1"/>
  <c r="G1750" i="1"/>
  <c r="H1750" i="1"/>
  <c r="J1750" i="1"/>
  <c r="A1751" i="1"/>
  <c r="B1751" i="1"/>
  <c r="G1751" i="1"/>
  <c r="H1751" i="1"/>
  <c r="J1751" i="1"/>
  <c r="A1752" i="1"/>
  <c r="B1752" i="1"/>
  <c r="G1752" i="1"/>
  <c r="H1752" i="1"/>
  <c r="J1752" i="1"/>
  <c r="A1753" i="1"/>
  <c r="B1753" i="1"/>
  <c r="G1753" i="1"/>
  <c r="H1753" i="1"/>
  <c r="J1753" i="1"/>
  <c r="A1754" i="1"/>
  <c r="B1754" i="1"/>
  <c r="G1754" i="1"/>
  <c r="H1754" i="1"/>
  <c r="J1754" i="1"/>
  <c r="A1755" i="1"/>
  <c r="B1755" i="1"/>
  <c r="G1755" i="1"/>
  <c r="H1755" i="1"/>
  <c r="J1755" i="1"/>
  <c r="A1756" i="1"/>
  <c r="B1756" i="1"/>
  <c r="G1756" i="1"/>
  <c r="H1756" i="1"/>
  <c r="J1756" i="1"/>
  <c r="A1757" i="1"/>
  <c r="B1757" i="1"/>
  <c r="G1757" i="1"/>
  <c r="H1757" i="1"/>
  <c r="J1757" i="1"/>
  <c r="A1758" i="1"/>
  <c r="B1758" i="1"/>
  <c r="G1758" i="1"/>
  <c r="H1758" i="1"/>
  <c r="J1758" i="1"/>
  <c r="A1759" i="1"/>
  <c r="B1759" i="1"/>
  <c r="G1759" i="1"/>
  <c r="H1759" i="1"/>
  <c r="J1759" i="1"/>
  <c r="A1760" i="1"/>
  <c r="B1760" i="1"/>
  <c r="G1760" i="1"/>
  <c r="H1760" i="1"/>
  <c r="J1760" i="1"/>
  <c r="A1761" i="1"/>
  <c r="B1761" i="1"/>
  <c r="G1761" i="1"/>
  <c r="H1761" i="1"/>
  <c r="J1761" i="1"/>
  <c r="A1762" i="1"/>
  <c r="B1762" i="1"/>
  <c r="G1762" i="1"/>
  <c r="H1762" i="1"/>
  <c r="J1762" i="1"/>
  <c r="A1763" i="1"/>
  <c r="B1763" i="1"/>
  <c r="G1763" i="1"/>
  <c r="H1763" i="1"/>
  <c r="J1763" i="1"/>
  <c r="A1764" i="1"/>
  <c r="B1764" i="1"/>
  <c r="G1764" i="1"/>
  <c r="H1764" i="1"/>
  <c r="J1764" i="1"/>
  <c r="A1765" i="1"/>
  <c r="B1765" i="1"/>
  <c r="G1765" i="1"/>
  <c r="H1765" i="1"/>
  <c r="J1765" i="1"/>
  <c r="A1766" i="1"/>
  <c r="B1766" i="1"/>
  <c r="G1766" i="1"/>
  <c r="H1766" i="1"/>
  <c r="J1766" i="1"/>
  <c r="A1767" i="1"/>
  <c r="B1767" i="1"/>
  <c r="G1767" i="1"/>
  <c r="H1767" i="1"/>
  <c r="J1767" i="1"/>
  <c r="A1768" i="1"/>
  <c r="B1768" i="1"/>
  <c r="G1768" i="1"/>
  <c r="H1768" i="1"/>
  <c r="J1768" i="1"/>
  <c r="A1769" i="1"/>
  <c r="B1769" i="1"/>
  <c r="G1769" i="1"/>
  <c r="H1769" i="1"/>
  <c r="J1769" i="1"/>
  <c r="A1770" i="1"/>
  <c r="B1770" i="1"/>
  <c r="G1770" i="1"/>
  <c r="H1770" i="1"/>
  <c r="J1770" i="1"/>
  <c r="A1771" i="1"/>
  <c r="B1771" i="1"/>
  <c r="G1771" i="1"/>
  <c r="H1771" i="1"/>
  <c r="J1771" i="1"/>
  <c r="A1772" i="1"/>
  <c r="B1772" i="1"/>
  <c r="G1772" i="1"/>
  <c r="H1772" i="1"/>
  <c r="J1772" i="1"/>
  <c r="A1773" i="1"/>
  <c r="B1773" i="1"/>
  <c r="G1773" i="1"/>
  <c r="H1773" i="1"/>
  <c r="J1773" i="1"/>
  <c r="A1774" i="1"/>
  <c r="B1774" i="1"/>
  <c r="G1774" i="1"/>
  <c r="H1774" i="1"/>
  <c r="J1774" i="1"/>
  <c r="A1775" i="1"/>
  <c r="B1775" i="1"/>
  <c r="G1775" i="1"/>
  <c r="H1775" i="1"/>
  <c r="J1775" i="1"/>
  <c r="A1776" i="1"/>
  <c r="B1776" i="1"/>
  <c r="G1776" i="1"/>
  <c r="H1776" i="1"/>
  <c r="J1776" i="1"/>
  <c r="A1777" i="1"/>
  <c r="B1777" i="1"/>
  <c r="G1777" i="1"/>
  <c r="H1777" i="1"/>
  <c r="J1777" i="1"/>
  <c r="A1778" i="1"/>
  <c r="B1778" i="1"/>
  <c r="G1778" i="1"/>
  <c r="H1778" i="1"/>
  <c r="J1778" i="1"/>
  <c r="A1779" i="1"/>
  <c r="B1779" i="1"/>
  <c r="G1779" i="1"/>
  <c r="H1779" i="1"/>
  <c r="J1779" i="1"/>
  <c r="A1780" i="1"/>
  <c r="B1780" i="1"/>
  <c r="G1780" i="1"/>
  <c r="H1780" i="1"/>
  <c r="J1780" i="1"/>
  <c r="A1781" i="1"/>
  <c r="B1781" i="1"/>
  <c r="G1781" i="1"/>
  <c r="H1781" i="1"/>
  <c r="J1781" i="1"/>
  <c r="A1782" i="1"/>
  <c r="B1782" i="1"/>
  <c r="G1782" i="1"/>
  <c r="H1782" i="1"/>
  <c r="J1782" i="1"/>
  <c r="A1783" i="1"/>
  <c r="B1783" i="1"/>
  <c r="G1783" i="1"/>
  <c r="H1783" i="1"/>
  <c r="J1783" i="1"/>
  <c r="A1784" i="1"/>
  <c r="B1784" i="1"/>
  <c r="G1784" i="1"/>
  <c r="H1784" i="1"/>
  <c r="J1784" i="1"/>
  <c r="A1785" i="1"/>
  <c r="B1785" i="1"/>
  <c r="G1785" i="1"/>
  <c r="H1785" i="1"/>
  <c r="J1785" i="1"/>
  <c r="A1786" i="1"/>
  <c r="B1786" i="1"/>
  <c r="G1786" i="1"/>
  <c r="H1786" i="1"/>
  <c r="J1786" i="1"/>
  <c r="A1787" i="1"/>
  <c r="B1787" i="1"/>
  <c r="G1787" i="1"/>
  <c r="H1787" i="1"/>
  <c r="J1787" i="1"/>
  <c r="A1788" i="1"/>
  <c r="B1788" i="1"/>
  <c r="G1788" i="1"/>
  <c r="H1788" i="1"/>
  <c r="J1788" i="1"/>
  <c r="A1789" i="1"/>
  <c r="B1789" i="1"/>
  <c r="G1789" i="1"/>
  <c r="H1789" i="1"/>
  <c r="J1789" i="1"/>
  <c r="A1790" i="1"/>
  <c r="B1790" i="1"/>
  <c r="G1790" i="1"/>
  <c r="H1790" i="1"/>
  <c r="J1790" i="1"/>
  <c r="A1791" i="1"/>
  <c r="B1791" i="1"/>
  <c r="G1791" i="1"/>
  <c r="H1791" i="1"/>
  <c r="J1791" i="1"/>
  <c r="A1792" i="1"/>
  <c r="B1792" i="1"/>
  <c r="G1792" i="1"/>
  <c r="H1792" i="1"/>
  <c r="J1792" i="1"/>
  <c r="A1793" i="1"/>
  <c r="B1793" i="1"/>
  <c r="G1793" i="1"/>
  <c r="H1793" i="1"/>
  <c r="J1793" i="1"/>
  <c r="A1794" i="1"/>
  <c r="B1794" i="1"/>
  <c r="G1794" i="1"/>
  <c r="H1794" i="1"/>
  <c r="J1794" i="1"/>
  <c r="A1795" i="1"/>
  <c r="B1795" i="1"/>
  <c r="G1795" i="1"/>
  <c r="H1795" i="1"/>
  <c r="J1795" i="1"/>
  <c r="A1796" i="1"/>
  <c r="B1796" i="1"/>
  <c r="G1796" i="1"/>
  <c r="H1796" i="1"/>
  <c r="J1796" i="1"/>
  <c r="A1797" i="1"/>
  <c r="B1797" i="1"/>
  <c r="G1797" i="1"/>
  <c r="H1797" i="1"/>
  <c r="J1797" i="1"/>
  <c r="A1798" i="1"/>
  <c r="B1798" i="1"/>
  <c r="G1798" i="1"/>
  <c r="H1798" i="1"/>
  <c r="J1798" i="1"/>
  <c r="A1799" i="1"/>
  <c r="B1799" i="1"/>
  <c r="G1799" i="1"/>
  <c r="H1799" i="1"/>
  <c r="J1799" i="1"/>
  <c r="A1800" i="1"/>
  <c r="B1800" i="1"/>
  <c r="G1800" i="1"/>
  <c r="H1800" i="1"/>
  <c r="J1800" i="1"/>
  <c r="A1801" i="1"/>
  <c r="B1801" i="1"/>
  <c r="G1801" i="1"/>
  <c r="H1801" i="1"/>
  <c r="J1801" i="1"/>
  <c r="A1802" i="1"/>
  <c r="B1802" i="1"/>
  <c r="G1802" i="1"/>
  <c r="H1802" i="1"/>
  <c r="J1802" i="1"/>
  <c r="A1803" i="1"/>
  <c r="B1803" i="1"/>
  <c r="G1803" i="1"/>
  <c r="H1803" i="1"/>
  <c r="J1803" i="1"/>
  <c r="A1804" i="1"/>
  <c r="B1804" i="1"/>
  <c r="G1804" i="1"/>
  <c r="H1804" i="1"/>
  <c r="J1804" i="1"/>
  <c r="A1805" i="1"/>
  <c r="B1805" i="1"/>
  <c r="G1805" i="1"/>
  <c r="H1805" i="1"/>
  <c r="J1805" i="1"/>
  <c r="A1806" i="1"/>
  <c r="B1806" i="1"/>
  <c r="G1806" i="1"/>
  <c r="H1806" i="1"/>
  <c r="J1806" i="1"/>
  <c r="A1807" i="1"/>
  <c r="B1807" i="1"/>
  <c r="G1807" i="1"/>
  <c r="H1807" i="1"/>
  <c r="J1807" i="1"/>
  <c r="A1808" i="1"/>
  <c r="B1808" i="1"/>
  <c r="G1808" i="1"/>
  <c r="H1808" i="1"/>
  <c r="J1808" i="1"/>
  <c r="A1809" i="1"/>
  <c r="B1809" i="1"/>
  <c r="G1809" i="1"/>
  <c r="H1809" i="1"/>
  <c r="J1809" i="1"/>
  <c r="A1810" i="1"/>
  <c r="B1810" i="1"/>
  <c r="G1810" i="1"/>
  <c r="H1810" i="1"/>
  <c r="J1810" i="1"/>
  <c r="A1811" i="1"/>
  <c r="B1811" i="1"/>
  <c r="G1811" i="1"/>
  <c r="H1811" i="1"/>
  <c r="J1811" i="1"/>
  <c r="A1812" i="1"/>
  <c r="B1812" i="1"/>
  <c r="G1812" i="1"/>
  <c r="H1812" i="1"/>
  <c r="J1812" i="1"/>
  <c r="A1813" i="1"/>
  <c r="B1813" i="1"/>
  <c r="G1813" i="1"/>
  <c r="H1813" i="1"/>
  <c r="J1813" i="1"/>
  <c r="A1814" i="1"/>
  <c r="B1814" i="1"/>
  <c r="G1814" i="1"/>
  <c r="H1814" i="1"/>
  <c r="J1814" i="1"/>
  <c r="A1815" i="1"/>
  <c r="B1815" i="1"/>
  <c r="G1815" i="1"/>
  <c r="H1815" i="1"/>
  <c r="J1815" i="1"/>
  <c r="A1816" i="1"/>
  <c r="B1816" i="1"/>
  <c r="G1816" i="1"/>
  <c r="H1816" i="1"/>
  <c r="J1816" i="1"/>
  <c r="A1817" i="1"/>
  <c r="B1817" i="1"/>
  <c r="G1817" i="1"/>
  <c r="H1817" i="1"/>
  <c r="J1817" i="1"/>
  <c r="A1818" i="1"/>
  <c r="B1818" i="1"/>
  <c r="G1818" i="1"/>
  <c r="H1818" i="1"/>
  <c r="J1818" i="1"/>
  <c r="A1819" i="1"/>
  <c r="B1819" i="1"/>
  <c r="G1819" i="1"/>
  <c r="H1819" i="1"/>
  <c r="J1819" i="1"/>
  <c r="A1820" i="1"/>
  <c r="B1820" i="1"/>
  <c r="G1820" i="1"/>
  <c r="H1820" i="1"/>
  <c r="J1820" i="1"/>
  <c r="A1821" i="1"/>
  <c r="B1821" i="1"/>
  <c r="G1821" i="1"/>
  <c r="H1821" i="1"/>
  <c r="J1821" i="1"/>
  <c r="A1822" i="1"/>
  <c r="B1822" i="1"/>
  <c r="G1822" i="1"/>
  <c r="H1822" i="1"/>
  <c r="J1822" i="1"/>
  <c r="A1823" i="1"/>
  <c r="B1823" i="1"/>
  <c r="G1823" i="1"/>
  <c r="H1823" i="1"/>
  <c r="J1823" i="1"/>
  <c r="A1824" i="1"/>
  <c r="B1824" i="1"/>
  <c r="G1824" i="1"/>
  <c r="H1824" i="1"/>
  <c r="J1824" i="1"/>
  <c r="A1825" i="1"/>
  <c r="B1825" i="1"/>
  <c r="G1825" i="1"/>
  <c r="H1825" i="1"/>
  <c r="J1825" i="1"/>
  <c r="A1826" i="1"/>
  <c r="B1826" i="1"/>
  <c r="G1826" i="1"/>
  <c r="H1826" i="1"/>
  <c r="J1826" i="1"/>
  <c r="A1827" i="1"/>
  <c r="B1827" i="1"/>
  <c r="G1827" i="1"/>
  <c r="H1827" i="1"/>
  <c r="J1827" i="1"/>
  <c r="A1828" i="1"/>
  <c r="B1828" i="1"/>
  <c r="G1828" i="1"/>
  <c r="H1828" i="1"/>
  <c r="J1828" i="1"/>
  <c r="A1829" i="1"/>
  <c r="B1829" i="1"/>
  <c r="G1829" i="1"/>
  <c r="H1829" i="1"/>
  <c r="J1829" i="1"/>
  <c r="A1830" i="1"/>
  <c r="B1830" i="1"/>
  <c r="G1830" i="1"/>
  <c r="H1830" i="1"/>
  <c r="J1830" i="1"/>
  <c r="A1831" i="1"/>
  <c r="B1831" i="1"/>
  <c r="G1831" i="1"/>
  <c r="H1831" i="1"/>
  <c r="J1831" i="1"/>
  <c r="A1832" i="1"/>
  <c r="B1832" i="1"/>
  <c r="G1832" i="1"/>
  <c r="H1832" i="1"/>
  <c r="J1832" i="1"/>
  <c r="A1833" i="1"/>
  <c r="B1833" i="1"/>
  <c r="G1833" i="1"/>
  <c r="H1833" i="1"/>
  <c r="J1833" i="1"/>
  <c r="A1834" i="1"/>
  <c r="B1834" i="1"/>
  <c r="G1834" i="1"/>
  <c r="H1834" i="1"/>
  <c r="J1834" i="1"/>
  <c r="A1835" i="1"/>
  <c r="B1835" i="1"/>
  <c r="G1835" i="1"/>
  <c r="H1835" i="1"/>
  <c r="J1835" i="1"/>
  <c r="A1836" i="1"/>
  <c r="B1836" i="1"/>
  <c r="G1836" i="1"/>
  <c r="H1836" i="1"/>
  <c r="J1836" i="1"/>
  <c r="A1837" i="1"/>
  <c r="B1837" i="1"/>
  <c r="G1837" i="1"/>
  <c r="H1837" i="1"/>
  <c r="J1837" i="1"/>
  <c r="A1838" i="1"/>
  <c r="B1838" i="1"/>
  <c r="G1838" i="1"/>
  <c r="H1838" i="1"/>
  <c r="J1838" i="1"/>
  <c r="A1839" i="1"/>
  <c r="B1839" i="1"/>
  <c r="G1839" i="1"/>
  <c r="H1839" i="1"/>
  <c r="J1839" i="1"/>
  <c r="A1840" i="1"/>
  <c r="B1840" i="1"/>
  <c r="G1840" i="1"/>
  <c r="H1840" i="1"/>
  <c r="J1840" i="1"/>
  <c r="A1841" i="1"/>
  <c r="B1841" i="1"/>
  <c r="G1841" i="1"/>
  <c r="H1841" i="1"/>
  <c r="J1841" i="1"/>
  <c r="A1842" i="1"/>
  <c r="B1842" i="1"/>
  <c r="G1842" i="1"/>
  <c r="H1842" i="1"/>
  <c r="J1842" i="1"/>
  <c r="A1843" i="1"/>
  <c r="B1843" i="1"/>
  <c r="G1843" i="1"/>
  <c r="H1843" i="1"/>
  <c r="J1843" i="1"/>
  <c r="A1844" i="1"/>
  <c r="B1844" i="1"/>
  <c r="G1844" i="1"/>
  <c r="H1844" i="1"/>
  <c r="J1844" i="1"/>
  <c r="A1845" i="1"/>
  <c r="B1845" i="1"/>
  <c r="G1845" i="1"/>
  <c r="H1845" i="1"/>
  <c r="J1845" i="1"/>
  <c r="A1846" i="1"/>
  <c r="B1846" i="1"/>
  <c r="G1846" i="1"/>
  <c r="H1846" i="1"/>
  <c r="J1846" i="1"/>
  <c r="A1847" i="1"/>
  <c r="B1847" i="1"/>
  <c r="G1847" i="1"/>
  <c r="H1847" i="1"/>
  <c r="J1847" i="1"/>
  <c r="A1848" i="1"/>
  <c r="B1848" i="1"/>
  <c r="G1848" i="1"/>
  <c r="H1848" i="1"/>
  <c r="J1848" i="1"/>
  <c r="A1849" i="1"/>
  <c r="B1849" i="1"/>
  <c r="G1849" i="1"/>
  <c r="H1849" i="1"/>
  <c r="J1849" i="1"/>
  <c r="A1850" i="1"/>
  <c r="B1850" i="1"/>
  <c r="G1850" i="1"/>
  <c r="H1850" i="1"/>
  <c r="J1850" i="1"/>
  <c r="A1851" i="1"/>
  <c r="B1851" i="1"/>
  <c r="G1851" i="1"/>
  <c r="H1851" i="1"/>
  <c r="J1851" i="1"/>
  <c r="A1852" i="1"/>
  <c r="B1852" i="1"/>
  <c r="G1852" i="1"/>
  <c r="H1852" i="1"/>
  <c r="J1852" i="1"/>
  <c r="A1853" i="1"/>
  <c r="B1853" i="1"/>
  <c r="G1853" i="1"/>
  <c r="H1853" i="1"/>
  <c r="J1853" i="1"/>
  <c r="A1854" i="1"/>
  <c r="B1854" i="1"/>
  <c r="G1854" i="1"/>
  <c r="H1854" i="1"/>
  <c r="J1854" i="1"/>
  <c r="A1855" i="1"/>
  <c r="B1855" i="1"/>
  <c r="G1855" i="1"/>
  <c r="H1855" i="1"/>
  <c r="J1855" i="1"/>
  <c r="A1856" i="1"/>
  <c r="B1856" i="1"/>
  <c r="G1856" i="1"/>
  <c r="H1856" i="1"/>
  <c r="J1856" i="1"/>
  <c r="A1857" i="1"/>
  <c r="B1857" i="1"/>
  <c r="G1857" i="1"/>
  <c r="H1857" i="1"/>
  <c r="J1857" i="1"/>
  <c r="A1858" i="1"/>
  <c r="B1858" i="1"/>
  <c r="G1858" i="1"/>
  <c r="H1858" i="1"/>
  <c r="J1858" i="1"/>
  <c r="A1859" i="1"/>
  <c r="B1859" i="1"/>
  <c r="G1859" i="1"/>
  <c r="H1859" i="1"/>
  <c r="J1859" i="1"/>
  <c r="A1860" i="1"/>
  <c r="B1860" i="1"/>
  <c r="G1860" i="1"/>
  <c r="H1860" i="1"/>
  <c r="J1860" i="1"/>
  <c r="A1861" i="1"/>
  <c r="B1861" i="1"/>
  <c r="G1861" i="1"/>
  <c r="H1861" i="1"/>
  <c r="J1861" i="1"/>
  <c r="A1862" i="1"/>
  <c r="B1862" i="1"/>
  <c r="G1862" i="1"/>
  <c r="H1862" i="1"/>
  <c r="J1862" i="1"/>
  <c r="A1863" i="1"/>
  <c r="B1863" i="1"/>
  <c r="G1863" i="1"/>
  <c r="H1863" i="1"/>
  <c r="J1863" i="1"/>
  <c r="A1864" i="1"/>
  <c r="B1864" i="1"/>
  <c r="G1864" i="1"/>
  <c r="H1864" i="1"/>
  <c r="J1864" i="1"/>
  <c r="A1865" i="1"/>
  <c r="B1865" i="1"/>
  <c r="G1865" i="1"/>
  <c r="H1865" i="1"/>
  <c r="J1865" i="1"/>
  <c r="A1866" i="1"/>
  <c r="B1866" i="1"/>
  <c r="G1866" i="1"/>
  <c r="H1866" i="1"/>
  <c r="J1866" i="1"/>
  <c r="A1867" i="1"/>
  <c r="B1867" i="1"/>
  <c r="G1867" i="1"/>
  <c r="H1867" i="1"/>
  <c r="J1867" i="1"/>
  <c r="A1868" i="1"/>
  <c r="B1868" i="1"/>
  <c r="G1868" i="1"/>
  <c r="H1868" i="1"/>
  <c r="J1868" i="1"/>
  <c r="A1869" i="1"/>
  <c r="B1869" i="1"/>
  <c r="G1869" i="1"/>
  <c r="H1869" i="1"/>
  <c r="J1869" i="1"/>
  <c r="A1870" i="1"/>
  <c r="B1870" i="1"/>
  <c r="G1870" i="1"/>
  <c r="H1870" i="1"/>
  <c r="J1870" i="1"/>
  <c r="A1871" i="1"/>
  <c r="B1871" i="1"/>
  <c r="G1871" i="1"/>
  <c r="H1871" i="1"/>
  <c r="J1871" i="1"/>
  <c r="A1872" i="1"/>
  <c r="B1872" i="1"/>
  <c r="G1872" i="1"/>
  <c r="H1872" i="1"/>
  <c r="J1872" i="1"/>
  <c r="A1873" i="1"/>
  <c r="B1873" i="1"/>
  <c r="G1873" i="1"/>
  <c r="H1873" i="1"/>
  <c r="J1873" i="1"/>
  <c r="A1874" i="1"/>
  <c r="B1874" i="1"/>
  <c r="G1874" i="1"/>
  <c r="H1874" i="1"/>
  <c r="J1874" i="1"/>
  <c r="A1875" i="1"/>
  <c r="B1875" i="1"/>
  <c r="G1875" i="1"/>
  <c r="H1875" i="1"/>
  <c r="J1875" i="1"/>
  <c r="A1876" i="1"/>
  <c r="B1876" i="1"/>
  <c r="G1876" i="1"/>
  <c r="H1876" i="1"/>
  <c r="J1876" i="1"/>
  <c r="A1877" i="1"/>
  <c r="B1877" i="1"/>
  <c r="G1877" i="1"/>
  <c r="H1877" i="1"/>
  <c r="J1877" i="1"/>
  <c r="A1878" i="1"/>
  <c r="B1878" i="1"/>
  <c r="G1878" i="1"/>
  <c r="H1878" i="1"/>
  <c r="J1878" i="1"/>
  <c r="A1879" i="1"/>
  <c r="B1879" i="1"/>
  <c r="G1879" i="1"/>
  <c r="H1879" i="1"/>
  <c r="J1879" i="1"/>
  <c r="A1880" i="1"/>
  <c r="B1880" i="1"/>
  <c r="G1880" i="1"/>
  <c r="H1880" i="1"/>
  <c r="J1880" i="1"/>
  <c r="A1881" i="1"/>
  <c r="B1881" i="1"/>
  <c r="G1881" i="1"/>
  <c r="H1881" i="1"/>
  <c r="J1881" i="1"/>
  <c r="A1882" i="1"/>
  <c r="B1882" i="1"/>
  <c r="G1882" i="1"/>
  <c r="H1882" i="1"/>
  <c r="J1882" i="1"/>
  <c r="A1883" i="1"/>
  <c r="B1883" i="1"/>
  <c r="G1883" i="1"/>
  <c r="H1883" i="1"/>
  <c r="J1883" i="1"/>
  <c r="A1884" i="1"/>
  <c r="B1884" i="1"/>
  <c r="G1884" i="1"/>
  <c r="H1884" i="1"/>
  <c r="J1884" i="1"/>
  <c r="A1885" i="1"/>
  <c r="B1885" i="1"/>
  <c r="G1885" i="1"/>
  <c r="H1885" i="1"/>
  <c r="J1885" i="1"/>
  <c r="A1886" i="1"/>
  <c r="B1886" i="1"/>
  <c r="G1886" i="1"/>
  <c r="H1886" i="1"/>
  <c r="J1886" i="1"/>
  <c r="A1887" i="1"/>
  <c r="B1887" i="1"/>
  <c r="G1887" i="1"/>
  <c r="H1887" i="1"/>
  <c r="J1887" i="1"/>
  <c r="A1888" i="1"/>
  <c r="B1888" i="1"/>
  <c r="G1888" i="1"/>
  <c r="H1888" i="1"/>
  <c r="J1888" i="1"/>
  <c r="A1889" i="1"/>
  <c r="B1889" i="1"/>
  <c r="G1889" i="1"/>
  <c r="H1889" i="1"/>
  <c r="J1889" i="1"/>
  <c r="A1890" i="1"/>
  <c r="B1890" i="1"/>
  <c r="G1890" i="1"/>
  <c r="H1890" i="1"/>
  <c r="J1890" i="1"/>
  <c r="A1891" i="1"/>
  <c r="B1891" i="1"/>
  <c r="G1891" i="1"/>
  <c r="H1891" i="1"/>
  <c r="J1891" i="1"/>
  <c r="A1892" i="1"/>
  <c r="B1892" i="1"/>
  <c r="G1892" i="1"/>
  <c r="H1892" i="1"/>
  <c r="J1892" i="1"/>
  <c r="A1893" i="1"/>
  <c r="B1893" i="1"/>
  <c r="G1893" i="1"/>
  <c r="H1893" i="1"/>
  <c r="J1893" i="1"/>
  <c r="A1894" i="1"/>
  <c r="B1894" i="1"/>
  <c r="G1894" i="1"/>
  <c r="H1894" i="1"/>
  <c r="J1894" i="1"/>
  <c r="A1895" i="1"/>
  <c r="B1895" i="1"/>
  <c r="G1895" i="1"/>
  <c r="H1895" i="1"/>
  <c r="J1895" i="1"/>
  <c r="A1896" i="1"/>
  <c r="B1896" i="1"/>
  <c r="G1896" i="1"/>
  <c r="H1896" i="1"/>
  <c r="J1896" i="1"/>
  <c r="A1897" i="1"/>
  <c r="B1897" i="1"/>
  <c r="G1897" i="1"/>
  <c r="H1897" i="1"/>
  <c r="J1897" i="1"/>
  <c r="A1898" i="1"/>
  <c r="B1898" i="1"/>
  <c r="G1898" i="1"/>
  <c r="H1898" i="1"/>
  <c r="J1898" i="1"/>
  <c r="A1899" i="1"/>
  <c r="B1899" i="1"/>
  <c r="G1899" i="1"/>
  <c r="H1899" i="1"/>
  <c r="J1899" i="1"/>
  <c r="A1900" i="1"/>
  <c r="B1900" i="1"/>
  <c r="G1900" i="1"/>
  <c r="H1900" i="1"/>
  <c r="J1900" i="1"/>
  <c r="A1901" i="1"/>
  <c r="B1901" i="1"/>
  <c r="G1901" i="1"/>
  <c r="H1901" i="1"/>
  <c r="J1901" i="1"/>
  <c r="A1902" i="1"/>
  <c r="B1902" i="1"/>
  <c r="G1902" i="1"/>
  <c r="H1902" i="1"/>
  <c r="J1902" i="1"/>
  <c r="A1903" i="1"/>
  <c r="B1903" i="1"/>
  <c r="G1903" i="1"/>
  <c r="H1903" i="1"/>
  <c r="J1903" i="1"/>
  <c r="A1904" i="1"/>
  <c r="B1904" i="1"/>
  <c r="G1904" i="1"/>
  <c r="H1904" i="1"/>
  <c r="J1904" i="1"/>
  <c r="A1905" i="1"/>
  <c r="B1905" i="1"/>
  <c r="G1905" i="1"/>
  <c r="H1905" i="1"/>
  <c r="J1905" i="1"/>
  <c r="A1906" i="1"/>
  <c r="B1906" i="1"/>
  <c r="G1906" i="1"/>
  <c r="H1906" i="1"/>
  <c r="J1906" i="1"/>
  <c r="A1907" i="1"/>
  <c r="B1907" i="1"/>
  <c r="G1907" i="1"/>
  <c r="H1907" i="1"/>
  <c r="J1907" i="1"/>
  <c r="A1908" i="1"/>
  <c r="B1908" i="1"/>
  <c r="G1908" i="1"/>
  <c r="H1908" i="1"/>
  <c r="J1908" i="1"/>
  <c r="A1909" i="1"/>
  <c r="B1909" i="1"/>
  <c r="G1909" i="1"/>
  <c r="H1909" i="1"/>
  <c r="J1909" i="1"/>
  <c r="A1910" i="1"/>
  <c r="B1910" i="1"/>
  <c r="G1910" i="1"/>
  <c r="H1910" i="1"/>
  <c r="J1910" i="1"/>
  <c r="A1911" i="1"/>
  <c r="B1911" i="1"/>
  <c r="G1911" i="1"/>
  <c r="H1911" i="1"/>
  <c r="J1911" i="1"/>
  <c r="A1912" i="1"/>
  <c r="B1912" i="1"/>
  <c r="G1912" i="1"/>
  <c r="H1912" i="1"/>
  <c r="J1912" i="1"/>
  <c r="A1913" i="1"/>
  <c r="B1913" i="1"/>
  <c r="G1913" i="1"/>
  <c r="H1913" i="1"/>
  <c r="J1913" i="1"/>
  <c r="A1914" i="1"/>
  <c r="B1914" i="1"/>
  <c r="G1914" i="1"/>
  <c r="H1914" i="1"/>
  <c r="J1914" i="1"/>
  <c r="A1915" i="1"/>
  <c r="B1915" i="1"/>
  <c r="G1915" i="1"/>
  <c r="H1915" i="1"/>
  <c r="J1915" i="1"/>
  <c r="A1916" i="1"/>
  <c r="B1916" i="1"/>
  <c r="G1916" i="1"/>
  <c r="H1916" i="1"/>
  <c r="J1916" i="1"/>
  <c r="A1917" i="1"/>
  <c r="B1917" i="1"/>
  <c r="G1917" i="1"/>
  <c r="H1917" i="1"/>
  <c r="J1917" i="1"/>
  <c r="A1918" i="1"/>
  <c r="B1918" i="1"/>
  <c r="G1918" i="1"/>
  <c r="H1918" i="1"/>
  <c r="J1918" i="1"/>
  <c r="A1919" i="1"/>
  <c r="B1919" i="1"/>
  <c r="G1919" i="1"/>
  <c r="H1919" i="1"/>
  <c r="J1919" i="1"/>
  <c r="A1920" i="1"/>
  <c r="B1920" i="1"/>
  <c r="G1920" i="1"/>
  <c r="H1920" i="1"/>
  <c r="J1920" i="1"/>
  <c r="A1921" i="1"/>
  <c r="B1921" i="1"/>
  <c r="G1921" i="1"/>
  <c r="H1921" i="1"/>
  <c r="J1921" i="1"/>
  <c r="A1922" i="1"/>
  <c r="B1922" i="1"/>
  <c r="G1922" i="1"/>
  <c r="H1922" i="1"/>
  <c r="J1922" i="1"/>
  <c r="A1923" i="1"/>
  <c r="B1923" i="1"/>
  <c r="G1923" i="1"/>
  <c r="H1923" i="1"/>
  <c r="J1923" i="1"/>
  <c r="A1924" i="1"/>
  <c r="B1924" i="1"/>
  <c r="G1924" i="1"/>
  <c r="H1924" i="1"/>
  <c r="J1924" i="1"/>
  <c r="A1925" i="1"/>
  <c r="B1925" i="1"/>
  <c r="G1925" i="1"/>
  <c r="H1925" i="1"/>
  <c r="J1925" i="1"/>
  <c r="A1926" i="1"/>
  <c r="B1926" i="1"/>
  <c r="G1926" i="1"/>
  <c r="H1926" i="1"/>
  <c r="J1926" i="1"/>
  <c r="A1927" i="1"/>
  <c r="B1927" i="1"/>
  <c r="G1927" i="1"/>
  <c r="H1927" i="1"/>
  <c r="J1927" i="1"/>
  <c r="A1928" i="1"/>
  <c r="B1928" i="1"/>
  <c r="G1928" i="1"/>
  <c r="H1928" i="1"/>
  <c r="J1928" i="1"/>
  <c r="A1929" i="1"/>
  <c r="B1929" i="1"/>
  <c r="G1929" i="1"/>
  <c r="H1929" i="1"/>
  <c r="J1929" i="1"/>
  <c r="A1930" i="1"/>
  <c r="B1930" i="1"/>
  <c r="G1930" i="1"/>
  <c r="H1930" i="1"/>
  <c r="J1930" i="1"/>
  <c r="A1931" i="1"/>
  <c r="B1931" i="1"/>
  <c r="G1931" i="1"/>
  <c r="H1931" i="1"/>
  <c r="J1931" i="1"/>
  <c r="A1932" i="1"/>
  <c r="B1932" i="1"/>
  <c r="G1932" i="1"/>
  <c r="H1932" i="1"/>
  <c r="J1932" i="1"/>
  <c r="A1933" i="1"/>
  <c r="B1933" i="1"/>
  <c r="G1933" i="1"/>
  <c r="H1933" i="1"/>
  <c r="J1933" i="1"/>
  <c r="A1934" i="1"/>
  <c r="B1934" i="1"/>
  <c r="G1934" i="1"/>
  <c r="H1934" i="1"/>
  <c r="J1934" i="1"/>
  <c r="A1935" i="1"/>
  <c r="B1935" i="1"/>
  <c r="G1935" i="1"/>
  <c r="H1935" i="1"/>
  <c r="J1935" i="1"/>
  <c r="A1936" i="1"/>
  <c r="B1936" i="1"/>
  <c r="G1936" i="1"/>
  <c r="H1936" i="1"/>
  <c r="J1936" i="1"/>
  <c r="A1937" i="1"/>
  <c r="B1937" i="1"/>
  <c r="G1937" i="1"/>
  <c r="H1937" i="1"/>
  <c r="J1937" i="1"/>
  <c r="A1938" i="1"/>
  <c r="B1938" i="1"/>
  <c r="G1938" i="1"/>
  <c r="H1938" i="1"/>
  <c r="J1938" i="1"/>
  <c r="A1939" i="1"/>
  <c r="B1939" i="1"/>
  <c r="G1939" i="1"/>
  <c r="H1939" i="1"/>
  <c r="J1939" i="1"/>
  <c r="A1940" i="1"/>
  <c r="B1940" i="1"/>
  <c r="G1940" i="1"/>
  <c r="H1940" i="1"/>
  <c r="J1940" i="1"/>
  <c r="A1941" i="1"/>
  <c r="B1941" i="1"/>
  <c r="G1941" i="1"/>
  <c r="H1941" i="1"/>
  <c r="J1941" i="1"/>
  <c r="A1942" i="1"/>
  <c r="B1942" i="1"/>
  <c r="G1942" i="1"/>
  <c r="H1942" i="1"/>
  <c r="J1942" i="1"/>
  <c r="A1943" i="1"/>
  <c r="B1943" i="1"/>
  <c r="G1943" i="1"/>
  <c r="H1943" i="1"/>
  <c r="J1943" i="1"/>
  <c r="A1944" i="1"/>
  <c r="B1944" i="1"/>
  <c r="G1944" i="1"/>
  <c r="H1944" i="1"/>
  <c r="J1944" i="1"/>
  <c r="A1945" i="1"/>
  <c r="B1945" i="1"/>
  <c r="G1945" i="1"/>
  <c r="H1945" i="1"/>
  <c r="J1945" i="1"/>
  <c r="A1946" i="1"/>
  <c r="B1946" i="1"/>
  <c r="G1946" i="1"/>
  <c r="H1946" i="1"/>
  <c r="J1946" i="1"/>
  <c r="A1947" i="1"/>
  <c r="B1947" i="1"/>
  <c r="G1947" i="1"/>
  <c r="H1947" i="1"/>
  <c r="J1947" i="1"/>
  <c r="A1948" i="1"/>
  <c r="B1948" i="1"/>
  <c r="G1948" i="1"/>
  <c r="H1948" i="1"/>
  <c r="J1948" i="1"/>
  <c r="A1949" i="1"/>
  <c r="B1949" i="1"/>
  <c r="G1949" i="1"/>
  <c r="H1949" i="1"/>
  <c r="J1949" i="1"/>
  <c r="A1950" i="1"/>
  <c r="B1950" i="1"/>
  <c r="G1950" i="1"/>
  <c r="H1950" i="1"/>
  <c r="J1950" i="1"/>
  <c r="A1951" i="1"/>
  <c r="B1951" i="1"/>
  <c r="G1951" i="1"/>
  <c r="H1951" i="1"/>
  <c r="J1951" i="1"/>
  <c r="A1952" i="1"/>
  <c r="B1952" i="1"/>
  <c r="G1952" i="1"/>
  <c r="H1952" i="1"/>
  <c r="J1952" i="1"/>
  <c r="A1953" i="1"/>
  <c r="B1953" i="1"/>
  <c r="G1953" i="1"/>
  <c r="H1953" i="1"/>
  <c r="J1953" i="1"/>
  <c r="A1954" i="1"/>
  <c r="B1954" i="1"/>
  <c r="G1954" i="1"/>
  <c r="H1954" i="1"/>
  <c r="J1954" i="1"/>
  <c r="A1955" i="1"/>
  <c r="B1955" i="1"/>
  <c r="G1955" i="1"/>
  <c r="H1955" i="1"/>
  <c r="J1955" i="1"/>
  <c r="A1956" i="1"/>
  <c r="B1956" i="1"/>
  <c r="G1956" i="1"/>
  <c r="H1956" i="1"/>
  <c r="J1956" i="1"/>
  <c r="A1957" i="1"/>
  <c r="B1957" i="1"/>
  <c r="G1957" i="1"/>
  <c r="H1957" i="1"/>
  <c r="J1957" i="1"/>
  <c r="A1958" i="1"/>
  <c r="B1958" i="1"/>
  <c r="G1958" i="1"/>
  <c r="H1958" i="1"/>
  <c r="J1958" i="1"/>
  <c r="A1959" i="1"/>
  <c r="B1959" i="1"/>
  <c r="G1959" i="1"/>
  <c r="H1959" i="1"/>
  <c r="J1959" i="1"/>
  <c r="A1960" i="1"/>
  <c r="B1960" i="1"/>
  <c r="G1960" i="1"/>
  <c r="H1960" i="1"/>
  <c r="J1960" i="1"/>
  <c r="A1961" i="1"/>
  <c r="B1961" i="1"/>
  <c r="G1961" i="1"/>
  <c r="H1961" i="1"/>
  <c r="J1961" i="1"/>
  <c r="A1962" i="1"/>
  <c r="B1962" i="1"/>
  <c r="G1962" i="1"/>
  <c r="H1962" i="1"/>
  <c r="J1962" i="1"/>
  <c r="A1963" i="1"/>
  <c r="B1963" i="1"/>
  <c r="G1963" i="1"/>
  <c r="H1963" i="1"/>
  <c r="J1963" i="1"/>
  <c r="A1964" i="1"/>
  <c r="B1964" i="1"/>
  <c r="G1964" i="1"/>
  <c r="H1964" i="1"/>
  <c r="J1964" i="1"/>
  <c r="A1965" i="1"/>
  <c r="B1965" i="1"/>
  <c r="G1965" i="1"/>
  <c r="H1965" i="1"/>
  <c r="J1965" i="1"/>
  <c r="A1966" i="1"/>
  <c r="B1966" i="1"/>
  <c r="G1966" i="1"/>
  <c r="H1966" i="1"/>
  <c r="J1966" i="1"/>
  <c r="A1967" i="1"/>
  <c r="B1967" i="1"/>
  <c r="G1967" i="1"/>
  <c r="H1967" i="1"/>
  <c r="J1967" i="1"/>
  <c r="A1968" i="1"/>
  <c r="B1968" i="1"/>
  <c r="G1968" i="1"/>
  <c r="H1968" i="1"/>
  <c r="J1968" i="1"/>
  <c r="A1969" i="1"/>
  <c r="B1969" i="1"/>
  <c r="G1969" i="1"/>
  <c r="H1969" i="1"/>
  <c r="J1969" i="1"/>
  <c r="A1970" i="1"/>
  <c r="B1970" i="1"/>
  <c r="G1970" i="1"/>
  <c r="H1970" i="1"/>
  <c r="J1970" i="1"/>
  <c r="A1971" i="1"/>
  <c r="B1971" i="1"/>
  <c r="G1971" i="1"/>
  <c r="H1971" i="1"/>
  <c r="J1971" i="1"/>
  <c r="A1972" i="1"/>
  <c r="B1972" i="1"/>
  <c r="G1972" i="1"/>
  <c r="H1972" i="1"/>
  <c r="J1972" i="1"/>
  <c r="A1973" i="1"/>
  <c r="B1973" i="1"/>
  <c r="G1973" i="1"/>
  <c r="H1973" i="1"/>
  <c r="J1973" i="1"/>
  <c r="A1974" i="1"/>
  <c r="B1974" i="1"/>
  <c r="G1974" i="1"/>
  <c r="H1974" i="1"/>
  <c r="J1974" i="1"/>
  <c r="A1975" i="1"/>
  <c r="B1975" i="1"/>
  <c r="G1975" i="1"/>
  <c r="H1975" i="1"/>
  <c r="J1975" i="1"/>
  <c r="A1976" i="1"/>
  <c r="B1976" i="1"/>
  <c r="G1976" i="1"/>
  <c r="H1976" i="1"/>
  <c r="J1976" i="1"/>
  <c r="A1977" i="1"/>
  <c r="B1977" i="1"/>
  <c r="G1977" i="1"/>
  <c r="H1977" i="1"/>
  <c r="J1977" i="1"/>
  <c r="A1978" i="1"/>
  <c r="B1978" i="1"/>
  <c r="G1978" i="1"/>
  <c r="H1978" i="1"/>
  <c r="J1978" i="1"/>
  <c r="A1979" i="1"/>
  <c r="B1979" i="1"/>
  <c r="G1979" i="1"/>
  <c r="H1979" i="1"/>
  <c r="J1979" i="1"/>
  <c r="A1980" i="1"/>
  <c r="B1980" i="1"/>
  <c r="G1980" i="1"/>
  <c r="H1980" i="1"/>
  <c r="J1980" i="1"/>
  <c r="A1981" i="1"/>
  <c r="B1981" i="1"/>
  <c r="G1981" i="1"/>
  <c r="H1981" i="1"/>
  <c r="J1981" i="1"/>
  <c r="A1982" i="1"/>
  <c r="B1982" i="1"/>
  <c r="G1982" i="1"/>
  <c r="H1982" i="1"/>
  <c r="J1982" i="1"/>
  <c r="A1983" i="1"/>
  <c r="B1983" i="1"/>
  <c r="G1983" i="1"/>
  <c r="H1983" i="1"/>
  <c r="J1983" i="1"/>
  <c r="A1984" i="1"/>
  <c r="B1984" i="1"/>
  <c r="G1984" i="1"/>
  <c r="H1984" i="1"/>
  <c r="J1984" i="1"/>
  <c r="A1985" i="1"/>
  <c r="B1985" i="1"/>
  <c r="G1985" i="1"/>
  <c r="H1985" i="1"/>
  <c r="J1985" i="1"/>
  <c r="A1986" i="1"/>
  <c r="B1986" i="1"/>
  <c r="G1986" i="1"/>
  <c r="H1986" i="1"/>
  <c r="J1986" i="1"/>
  <c r="A1987" i="1"/>
  <c r="B1987" i="1"/>
  <c r="G1987" i="1"/>
  <c r="H1987" i="1"/>
  <c r="J1987" i="1"/>
  <c r="A1988" i="1"/>
  <c r="B1988" i="1"/>
  <c r="G1988" i="1"/>
  <c r="H1988" i="1"/>
  <c r="J1988" i="1"/>
  <c r="A1989" i="1"/>
  <c r="B1989" i="1"/>
  <c r="G1989" i="1"/>
  <c r="H1989" i="1"/>
  <c r="J1989" i="1"/>
  <c r="A1990" i="1"/>
  <c r="B1990" i="1"/>
  <c r="G1990" i="1"/>
  <c r="H1990" i="1"/>
  <c r="J1990" i="1"/>
  <c r="A1991" i="1"/>
  <c r="B1991" i="1"/>
  <c r="G1991" i="1"/>
  <c r="H1991" i="1"/>
  <c r="J1991" i="1"/>
  <c r="A1992" i="1"/>
  <c r="B1992" i="1"/>
  <c r="G1992" i="1"/>
  <c r="H1992" i="1"/>
  <c r="J1992" i="1"/>
  <c r="A1993" i="1"/>
  <c r="B1993" i="1"/>
  <c r="G1993" i="1"/>
  <c r="H1993" i="1"/>
  <c r="J1993" i="1"/>
  <c r="A1994" i="1"/>
  <c r="B1994" i="1"/>
  <c r="G1994" i="1"/>
  <c r="H1994" i="1"/>
  <c r="J1994" i="1"/>
  <c r="A1995" i="1"/>
  <c r="B1995" i="1"/>
  <c r="G1995" i="1"/>
  <c r="H1995" i="1"/>
  <c r="J1995" i="1"/>
  <c r="A1996" i="1"/>
  <c r="B1996" i="1"/>
  <c r="G1996" i="1"/>
  <c r="H1996" i="1"/>
  <c r="J1996" i="1"/>
  <c r="A1997" i="1"/>
  <c r="B1997" i="1"/>
  <c r="G1997" i="1"/>
  <c r="H1997" i="1"/>
  <c r="J1997" i="1"/>
  <c r="A1998" i="1"/>
  <c r="B1998" i="1"/>
  <c r="G1998" i="1"/>
  <c r="H1998" i="1"/>
  <c r="J1998" i="1"/>
  <c r="A1999" i="1"/>
  <c r="B1999" i="1"/>
  <c r="G1999" i="1"/>
  <c r="H1999" i="1"/>
  <c r="J1999" i="1"/>
  <c r="A2000" i="1"/>
  <c r="B2000" i="1"/>
  <c r="G2000" i="1"/>
  <c r="H2000" i="1"/>
  <c r="J2000" i="1"/>
  <c r="A2001" i="1"/>
  <c r="B2001" i="1"/>
  <c r="G2001" i="1"/>
  <c r="H2001" i="1"/>
  <c r="J2001" i="1"/>
  <c r="A2002" i="1"/>
  <c r="B2002" i="1"/>
  <c r="G2002" i="1"/>
  <c r="H2002" i="1"/>
  <c r="J2002" i="1"/>
  <c r="A2003" i="1"/>
  <c r="B2003" i="1"/>
  <c r="G2003" i="1"/>
  <c r="H2003" i="1"/>
  <c r="J2003" i="1"/>
  <c r="A2004" i="1"/>
  <c r="B2004" i="1"/>
  <c r="G2004" i="1"/>
  <c r="H2004" i="1"/>
  <c r="J2004" i="1"/>
  <c r="A2005" i="1"/>
  <c r="B2005" i="1"/>
  <c r="G2005" i="1"/>
  <c r="H2005" i="1"/>
  <c r="J2005" i="1"/>
  <c r="A2006" i="1"/>
  <c r="B2006" i="1"/>
  <c r="G2006" i="1"/>
  <c r="H2006" i="1"/>
  <c r="J2006" i="1"/>
  <c r="A2007" i="1"/>
  <c r="B2007" i="1"/>
  <c r="G2007" i="1"/>
  <c r="H2007" i="1"/>
  <c r="J2007" i="1"/>
  <c r="A2008" i="1"/>
  <c r="B2008" i="1"/>
  <c r="G2008" i="1"/>
  <c r="H2008" i="1"/>
  <c r="J2008" i="1"/>
  <c r="A2009" i="1"/>
  <c r="B2009" i="1"/>
  <c r="G2009" i="1"/>
  <c r="H2009" i="1"/>
  <c r="J2009" i="1"/>
  <c r="A2010" i="1"/>
  <c r="B2010" i="1"/>
  <c r="G2010" i="1"/>
  <c r="H2010" i="1"/>
  <c r="J2010" i="1"/>
  <c r="A2011" i="1"/>
  <c r="B2011" i="1"/>
  <c r="G2011" i="1"/>
  <c r="H2011" i="1"/>
  <c r="J2011" i="1"/>
  <c r="A2012" i="1"/>
  <c r="B2012" i="1"/>
  <c r="G2012" i="1"/>
  <c r="H2012" i="1"/>
  <c r="J2012" i="1"/>
  <c r="A2013" i="1"/>
  <c r="B2013" i="1"/>
  <c r="G2013" i="1"/>
  <c r="H2013" i="1"/>
  <c r="J2013" i="1"/>
  <c r="A2014" i="1"/>
  <c r="B2014" i="1"/>
  <c r="G2014" i="1"/>
  <c r="H2014" i="1"/>
  <c r="J2014" i="1"/>
  <c r="A2015" i="1"/>
  <c r="B2015" i="1"/>
  <c r="G2015" i="1"/>
  <c r="H2015" i="1"/>
  <c r="J2015" i="1"/>
  <c r="A2016" i="1"/>
  <c r="B2016" i="1"/>
  <c r="G2016" i="1"/>
  <c r="H2016" i="1"/>
  <c r="J2016" i="1"/>
  <c r="A2017" i="1"/>
  <c r="B2017" i="1"/>
  <c r="G2017" i="1"/>
  <c r="H2017" i="1"/>
  <c r="J2017" i="1"/>
  <c r="A2018" i="1"/>
  <c r="B2018" i="1"/>
  <c r="G2018" i="1"/>
  <c r="H2018" i="1"/>
  <c r="J2018" i="1"/>
  <c r="A2019" i="1"/>
  <c r="B2019" i="1"/>
  <c r="G2019" i="1"/>
  <c r="H2019" i="1"/>
  <c r="J2019" i="1"/>
  <c r="A2020" i="1"/>
  <c r="B2020" i="1"/>
  <c r="G2020" i="1"/>
  <c r="H2020" i="1"/>
  <c r="J2020" i="1"/>
  <c r="A2021" i="1"/>
  <c r="B2021" i="1"/>
  <c r="G2021" i="1"/>
  <c r="H2021" i="1"/>
  <c r="J2021" i="1"/>
  <c r="A2022" i="1"/>
  <c r="B2022" i="1"/>
  <c r="G2022" i="1"/>
  <c r="H2022" i="1"/>
  <c r="J2022" i="1"/>
  <c r="A2023" i="1"/>
  <c r="B2023" i="1"/>
  <c r="G2023" i="1"/>
  <c r="H2023" i="1"/>
  <c r="J2023" i="1"/>
  <c r="A2024" i="1"/>
  <c r="B2024" i="1"/>
  <c r="G2024" i="1"/>
  <c r="H2024" i="1"/>
  <c r="J2024" i="1"/>
  <c r="A2025" i="1"/>
  <c r="B2025" i="1"/>
  <c r="G2025" i="1"/>
  <c r="H2025" i="1"/>
  <c r="J2025" i="1"/>
  <c r="A2026" i="1"/>
  <c r="B2026" i="1"/>
  <c r="G2026" i="1"/>
  <c r="H2026" i="1"/>
  <c r="J2026" i="1"/>
  <c r="A2027" i="1"/>
  <c r="B2027" i="1"/>
  <c r="G2027" i="1"/>
  <c r="H2027" i="1"/>
  <c r="J2027" i="1"/>
  <c r="A2028" i="1"/>
  <c r="B2028" i="1"/>
  <c r="G2028" i="1"/>
  <c r="H2028" i="1"/>
  <c r="J2028" i="1"/>
  <c r="A2029" i="1"/>
  <c r="B2029" i="1"/>
  <c r="G2029" i="1"/>
  <c r="H2029" i="1"/>
  <c r="J2029" i="1"/>
  <c r="A2030" i="1"/>
  <c r="B2030" i="1"/>
  <c r="G2030" i="1"/>
  <c r="H2030" i="1"/>
  <c r="J2030" i="1"/>
  <c r="A2031" i="1"/>
  <c r="B2031" i="1"/>
  <c r="G2031" i="1"/>
  <c r="H2031" i="1"/>
  <c r="J2031" i="1"/>
  <c r="A2032" i="1"/>
  <c r="B2032" i="1"/>
  <c r="G2032" i="1"/>
  <c r="H2032" i="1"/>
  <c r="J2032" i="1"/>
  <c r="A2033" i="1"/>
  <c r="B2033" i="1"/>
  <c r="G2033" i="1"/>
  <c r="H2033" i="1"/>
  <c r="J2033" i="1"/>
  <c r="A2034" i="1"/>
  <c r="B2034" i="1"/>
  <c r="G2034" i="1"/>
  <c r="H2034" i="1"/>
  <c r="J2034" i="1"/>
  <c r="A2035" i="1"/>
  <c r="B2035" i="1"/>
  <c r="G2035" i="1"/>
  <c r="H2035" i="1"/>
  <c r="J2035" i="1"/>
  <c r="A2036" i="1"/>
  <c r="B2036" i="1"/>
  <c r="G2036" i="1"/>
  <c r="H2036" i="1"/>
  <c r="J2036" i="1"/>
  <c r="A2037" i="1"/>
  <c r="B2037" i="1"/>
  <c r="G2037" i="1"/>
  <c r="H2037" i="1"/>
  <c r="J2037" i="1"/>
  <c r="A2038" i="1"/>
  <c r="B2038" i="1"/>
  <c r="G2038" i="1"/>
  <c r="H2038" i="1"/>
  <c r="J2038" i="1"/>
  <c r="A2039" i="1"/>
  <c r="B2039" i="1"/>
  <c r="G2039" i="1"/>
  <c r="H2039" i="1"/>
  <c r="J2039" i="1"/>
  <c r="A2040" i="1"/>
  <c r="B2040" i="1"/>
  <c r="G2040" i="1"/>
  <c r="H2040" i="1"/>
  <c r="J2040" i="1"/>
  <c r="A2041" i="1"/>
  <c r="B2041" i="1"/>
  <c r="G2041" i="1"/>
  <c r="H2041" i="1"/>
  <c r="J2041" i="1"/>
  <c r="A2042" i="1"/>
  <c r="B2042" i="1"/>
  <c r="G2042" i="1"/>
  <c r="H2042" i="1"/>
  <c r="J2042" i="1"/>
  <c r="A2043" i="1"/>
  <c r="B2043" i="1"/>
  <c r="G2043" i="1"/>
  <c r="H2043" i="1"/>
  <c r="J2043" i="1"/>
  <c r="A2044" i="1"/>
  <c r="B2044" i="1"/>
  <c r="G2044" i="1"/>
  <c r="H2044" i="1"/>
  <c r="J2044" i="1"/>
  <c r="A2045" i="1"/>
  <c r="B2045" i="1"/>
  <c r="G2045" i="1"/>
  <c r="H2045" i="1"/>
  <c r="J2045" i="1"/>
  <c r="A2046" i="1"/>
  <c r="B2046" i="1"/>
  <c r="G2046" i="1"/>
  <c r="H2046" i="1"/>
  <c r="J2046" i="1"/>
  <c r="A2047" i="1"/>
  <c r="B2047" i="1"/>
  <c r="G2047" i="1"/>
  <c r="H2047" i="1"/>
  <c r="J2047" i="1"/>
  <c r="A2048" i="1"/>
  <c r="B2048" i="1"/>
  <c r="G2048" i="1"/>
  <c r="H2048" i="1"/>
  <c r="J2048" i="1"/>
  <c r="A2049" i="1"/>
  <c r="B2049" i="1"/>
  <c r="G2049" i="1"/>
  <c r="H2049" i="1"/>
  <c r="J2049" i="1"/>
  <c r="A2050" i="1"/>
  <c r="B2050" i="1"/>
  <c r="G2050" i="1"/>
  <c r="H2050" i="1"/>
  <c r="J2050" i="1"/>
  <c r="A2051" i="1"/>
  <c r="B2051" i="1"/>
  <c r="G2051" i="1"/>
  <c r="H2051" i="1"/>
  <c r="J2051" i="1"/>
  <c r="A2052" i="1"/>
  <c r="B2052" i="1"/>
  <c r="G2052" i="1"/>
  <c r="H2052" i="1"/>
  <c r="J2052" i="1"/>
  <c r="A2053" i="1"/>
  <c r="B2053" i="1"/>
  <c r="G2053" i="1"/>
  <c r="H2053" i="1"/>
  <c r="J2053" i="1"/>
  <c r="A2054" i="1"/>
  <c r="B2054" i="1"/>
  <c r="G2054" i="1"/>
  <c r="H2054" i="1"/>
  <c r="J2054" i="1"/>
  <c r="A2055" i="1"/>
  <c r="B2055" i="1"/>
  <c r="G2055" i="1"/>
  <c r="H2055" i="1"/>
  <c r="J2055" i="1"/>
  <c r="A2056" i="1"/>
  <c r="B2056" i="1"/>
  <c r="G2056" i="1"/>
  <c r="H2056" i="1"/>
  <c r="J2056" i="1"/>
  <c r="A2057" i="1"/>
  <c r="B2057" i="1"/>
  <c r="G2057" i="1"/>
  <c r="H2057" i="1"/>
  <c r="J2057" i="1"/>
  <c r="A2058" i="1"/>
  <c r="B2058" i="1"/>
  <c r="G2058" i="1"/>
  <c r="H2058" i="1"/>
  <c r="J2058" i="1"/>
  <c r="A2059" i="1"/>
  <c r="B2059" i="1"/>
  <c r="G2059" i="1"/>
  <c r="H2059" i="1"/>
  <c r="J2059" i="1"/>
  <c r="A2060" i="1"/>
  <c r="B2060" i="1"/>
  <c r="G2060" i="1"/>
  <c r="H2060" i="1"/>
  <c r="J2060" i="1"/>
  <c r="A2061" i="1"/>
  <c r="B2061" i="1"/>
  <c r="G2061" i="1"/>
  <c r="H2061" i="1"/>
  <c r="J2061" i="1"/>
  <c r="A2062" i="1"/>
  <c r="B2062" i="1"/>
  <c r="G2062" i="1"/>
  <c r="H2062" i="1"/>
  <c r="J2062" i="1"/>
  <c r="A2063" i="1"/>
  <c r="B2063" i="1"/>
  <c r="G2063" i="1"/>
  <c r="H2063" i="1"/>
  <c r="J2063" i="1"/>
  <c r="A2064" i="1"/>
  <c r="B2064" i="1"/>
  <c r="G2064" i="1"/>
  <c r="H2064" i="1"/>
  <c r="J2064" i="1"/>
  <c r="A2065" i="1"/>
  <c r="B2065" i="1"/>
  <c r="G2065" i="1"/>
  <c r="H2065" i="1"/>
  <c r="J2065" i="1"/>
  <c r="A2066" i="1"/>
  <c r="B2066" i="1"/>
  <c r="G2066" i="1"/>
  <c r="H2066" i="1"/>
  <c r="J2066" i="1"/>
  <c r="A2067" i="1"/>
  <c r="B2067" i="1"/>
  <c r="G2067" i="1"/>
  <c r="H2067" i="1"/>
  <c r="J2067" i="1"/>
  <c r="A2068" i="1"/>
  <c r="B2068" i="1"/>
  <c r="G2068" i="1"/>
  <c r="H2068" i="1"/>
  <c r="J2068" i="1"/>
  <c r="A2069" i="1"/>
  <c r="B2069" i="1"/>
  <c r="G2069" i="1"/>
  <c r="H2069" i="1"/>
  <c r="J2069" i="1"/>
  <c r="A2070" i="1"/>
  <c r="B2070" i="1"/>
  <c r="G2070" i="1"/>
  <c r="H2070" i="1"/>
  <c r="J2070" i="1"/>
  <c r="A2071" i="1"/>
  <c r="B2071" i="1"/>
  <c r="G2071" i="1"/>
  <c r="H2071" i="1"/>
  <c r="J2071" i="1"/>
  <c r="A2072" i="1"/>
  <c r="B2072" i="1"/>
  <c r="G2072" i="1"/>
  <c r="H2072" i="1"/>
  <c r="J2072" i="1"/>
  <c r="A2073" i="1"/>
  <c r="B2073" i="1"/>
  <c r="G2073" i="1"/>
  <c r="H2073" i="1"/>
  <c r="J2073" i="1"/>
  <c r="A2074" i="1"/>
  <c r="B2074" i="1"/>
  <c r="G2074" i="1"/>
  <c r="H2074" i="1"/>
  <c r="J2074" i="1"/>
  <c r="A2075" i="1"/>
  <c r="B2075" i="1"/>
  <c r="G2075" i="1"/>
  <c r="H2075" i="1"/>
  <c r="J2075" i="1"/>
  <c r="A2076" i="1"/>
  <c r="B2076" i="1"/>
  <c r="G2076" i="1"/>
  <c r="H2076" i="1"/>
  <c r="J2076" i="1"/>
  <c r="A2077" i="1"/>
  <c r="B2077" i="1"/>
  <c r="G2077" i="1"/>
  <c r="H2077" i="1"/>
  <c r="J2077" i="1"/>
  <c r="A2078" i="1"/>
  <c r="B2078" i="1"/>
  <c r="G2078" i="1"/>
  <c r="H2078" i="1"/>
  <c r="J2078" i="1"/>
  <c r="A2079" i="1"/>
  <c r="B2079" i="1"/>
  <c r="G2079" i="1"/>
  <c r="H2079" i="1"/>
  <c r="J2079" i="1"/>
  <c r="A2080" i="1"/>
  <c r="B2080" i="1"/>
  <c r="G2080" i="1"/>
  <c r="H2080" i="1"/>
  <c r="J2080" i="1"/>
  <c r="A2081" i="1"/>
  <c r="B2081" i="1"/>
  <c r="G2081" i="1"/>
  <c r="H2081" i="1"/>
  <c r="J2081" i="1"/>
  <c r="A2082" i="1"/>
  <c r="B2082" i="1"/>
  <c r="G2082" i="1"/>
  <c r="H2082" i="1"/>
  <c r="J2082" i="1"/>
  <c r="A2083" i="1"/>
  <c r="B2083" i="1"/>
  <c r="G2083" i="1"/>
  <c r="H2083" i="1"/>
  <c r="J2083" i="1"/>
  <c r="A2084" i="1"/>
  <c r="B2084" i="1"/>
  <c r="G2084" i="1"/>
  <c r="H2084" i="1"/>
  <c r="J2084" i="1"/>
  <c r="A2085" i="1"/>
  <c r="B2085" i="1"/>
  <c r="G2085" i="1"/>
  <c r="H2085" i="1"/>
  <c r="J2085" i="1"/>
  <c r="A2086" i="1"/>
  <c r="B2086" i="1"/>
  <c r="G2086" i="1"/>
  <c r="H2086" i="1"/>
  <c r="J2086" i="1"/>
  <c r="A2087" i="1"/>
  <c r="B2087" i="1"/>
  <c r="G2087" i="1"/>
  <c r="H2087" i="1"/>
  <c r="J2087" i="1"/>
  <c r="A2088" i="1"/>
  <c r="B2088" i="1"/>
  <c r="G2088" i="1"/>
  <c r="H2088" i="1"/>
  <c r="J2088" i="1"/>
  <c r="A2089" i="1"/>
  <c r="B2089" i="1"/>
  <c r="G2089" i="1"/>
  <c r="H2089" i="1"/>
  <c r="J2089" i="1"/>
  <c r="A2090" i="1"/>
  <c r="B2090" i="1"/>
  <c r="G2090" i="1"/>
  <c r="H2090" i="1"/>
  <c r="J2090" i="1"/>
  <c r="A2091" i="1"/>
  <c r="B2091" i="1"/>
  <c r="G2091" i="1"/>
  <c r="H2091" i="1"/>
  <c r="J2091" i="1"/>
  <c r="A2092" i="1"/>
  <c r="B2092" i="1"/>
  <c r="G2092" i="1"/>
  <c r="H2092" i="1"/>
  <c r="J2092" i="1"/>
  <c r="A2093" i="1"/>
  <c r="B2093" i="1"/>
  <c r="G2093" i="1"/>
  <c r="H2093" i="1"/>
  <c r="J2093" i="1"/>
  <c r="A2094" i="1"/>
  <c r="B2094" i="1"/>
  <c r="G2094" i="1"/>
  <c r="H2094" i="1"/>
  <c r="J2094" i="1"/>
  <c r="A2095" i="1"/>
  <c r="B2095" i="1"/>
  <c r="G2095" i="1"/>
  <c r="H2095" i="1"/>
  <c r="J2095" i="1"/>
  <c r="A2096" i="1"/>
  <c r="B2096" i="1"/>
  <c r="G2096" i="1"/>
  <c r="H2096" i="1"/>
  <c r="J2096" i="1"/>
  <c r="A2097" i="1"/>
  <c r="B2097" i="1"/>
  <c r="G2097" i="1"/>
  <c r="H2097" i="1"/>
  <c r="J2097" i="1"/>
  <c r="A2098" i="1"/>
  <c r="B2098" i="1"/>
  <c r="G2098" i="1"/>
  <c r="H2098" i="1"/>
  <c r="J2098" i="1"/>
  <c r="A2099" i="1"/>
  <c r="B2099" i="1"/>
  <c r="G2099" i="1"/>
  <c r="H2099" i="1"/>
  <c r="J2099" i="1"/>
  <c r="A2100" i="1"/>
  <c r="B2100" i="1"/>
  <c r="G2100" i="1"/>
  <c r="H2100" i="1"/>
  <c r="J2100" i="1"/>
  <c r="A2101" i="1"/>
  <c r="B2101" i="1"/>
  <c r="G2101" i="1"/>
  <c r="H2101" i="1"/>
  <c r="J2101" i="1"/>
  <c r="A2102" i="1"/>
  <c r="B2102" i="1"/>
  <c r="G2102" i="1"/>
  <c r="H2102" i="1"/>
  <c r="J2102" i="1"/>
  <c r="A2103" i="1"/>
  <c r="B2103" i="1"/>
  <c r="G2103" i="1"/>
  <c r="H2103" i="1"/>
  <c r="J2103" i="1"/>
  <c r="A2104" i="1"/>
  <c r="B2104" i="1"/>
  <c r="G2104" i="1"/>
  <c r="H2104" i="1"/>
  <c r="J2104" i="1"/>
  <c r="A2105" i="1"/>
  <c r="B2105" i="1"/>
  <c r="G2105" i="1"/>
  <c r="H2105" i="1"/>
  <c r="J2105" i="1"/>
  <c r="A2106" i="1"/>
  <c r="B2106" i="1"/>
  <c r="G2106" i="1"/>
  <c r="H2106" i="1"/>
  <c r="J2106" i="1"/>
  <c r="A2107" i="1"/>
  <c r="B2107" i="1"/>
  <c r="G2107" i="1"/>
  <c r="H2107" i="1"/>
  <c r="J2107" i="1"/>
  <c r="A2108" i="1"/>
  <c r="B2108" i="1"/>
  <c r="G2108" i="1"/>
  <c r="H2108" i="1"/>
  <c r="J2108" i="1"/>
  <c r="A2109" i="1"/>
  <c r="B2109" i="1"/>
  <c r="G2109" i="1"/>
  <c r="H2109" i="1"/>
  <c r="J2109" i="1"/>
  <c r="A2110" i="1"/>
  <c r="B2110" i="1"/>
  <c r="G2110" i="1"/>
  <c r="H2110" i="1"/>
  <c r="J2110" i="1"/>
  <c r="A2111" i="1"/>
  <c r="B2111" i="1"/>
  <c r="G2111" i="1"/>
  <c r="H2111" i="1"/>
  <c r="J2111" i="1"/>
  <c r="A2112" i="1"/>
  <c r="B2112" i="1"/>
  <c r="G2112" i="1"/>
  <c r="H2112" i="1"/>
  <c r="J2112" i="1"/>
  <c r="A2113" i="1"/>
  <c r="B2113" i="1"/>
  <c r="G2113" i="1"/>
  <c r="H2113" i="1"/>
  <c r="J2113" i="1"/>
  <c r="A2114" i="1"/>
  <c r="B2114" i="1"/>
  <c r="G2114" i="1"/>
  <c r="H2114" i="1"/>
  <c r="J2114" i="1"/>
  <c r="A2115" i="1"/>
  <c r="B2115" i="1"/>
  <c r="G2115" i="1"/>
  <c r="H2115" i="1"/>
  <c r="J2115" i="1"/>
  <c r="A2116" i="1"/>
  <c r="B2116" i="1"/>
  <c r="G2116" i="1"/>
  <c r="H2116" i="1"/>
  <c r="J2116" i="1"/>
  <c r="A2117" i="1"/>
  <c r="B2117" i="1"/>
  <c r="G2117" i="1"/>
  <c r="H2117" i="1"/>
  <c r="J2117" i="1"/>
  <c r="A2118" i="1"/>
  <c r="B2118" i="1"/>
  <c r="G2118" i="1"/>
  <c r="H2118" i="1"/>
  <c r="J2118" i="1"/>
  <c r="A2119" i="1"/>
  <c r="B2119" i="1"/>
  <c r="G2119" i="1"/>
  <c r="H2119" i="1"/>
  <c r="J2119" i="1"/>
  <c r="A2120" i="1"/>
  <c r="B2120" i="1"/>
  <c r="G2120" i="1"/>
  <c r="H2120" i="1"/>
  <c r="J2120" i="1"/>
  <c r="A2121" i="1"/>
  <c r="B2121" i="1"/>
  <c r="G2121" i="1"/>
  <c r="H2121" i="1"/>
  <c r="J2121" i="1"/>
  <c r="A2122" i="1"/>
  <c r="B2122" i="1"/>
  <c r="G2122" i="1"/>
  <c r="H2122" i="1"/>
  <c r="J2122" i="1"/>
  <c r="A2123" i="1"/>
  <c r="B2123" i="1"/>
  <c r="G2123" i="1"/>
  <c r="H2123" i="1"/>
  <c r="J2123" i="1"/>
  <c r="A2124" i="1"/>
  <c r="B2124" i="1"/>
  <c r="G2124" i="1"/>
  <c r="H2124" i="1"/>
  <c r="J2124" i="1"/>
  <c r="A2125" i="1"/>
  <c r="B2125" i="1"/>
  <c r="G2125" i="1"/>
  <c r="H2125" i="1"/>
  <c r="J2125" i="1"/>
  <c r="A2126" i="1"/>
  <c r="B2126" i="1"/>
  <c r="G2126" i="1"/>
  <c r="H2126" i="1"/>
  <c r="J2126" i="1"/>
  <c r="A2127" i="1"/>
  <c r="B2127" i="1"/>
  <c r="G2127" i="1"/>
  <c r="H2127" i="1"/>
  <c r="J2127" i="1"/>
  <c r="A2128" i="1"/>
  <c r="B2128" i="1"/>
  <c r="G2128" i="1"/>
  <c r="H2128" i="1"/>
  <c r="J2128" i="1"/>
  <c r="A2129" i="1"/>
  <c r="B2129" i="1"/>
  <c r="G2129" i="1"/>
  <c r="H2129" i="1"/>
  <c r="J2129" i="1"/>
  <c r="A2130" i="1"/>
  <c r="B2130" i="1"/>
  <c r="G2130" i="1"/>
  <c r="H2130" i="1"/>
  <c r="J2130" i="1"/>
  <c r="A2131" i="1"/>
  <c r="B2131" i="1"/>
  <c r="G2131" i="1"/>
  <c r="H2131" i="1"/>
  <c r="J2131" i="1"/>
  <c r="A2132" i="1"/>
  <c r="B2132" i="1"/>
  <c r="G2132" i="1"/>
  <c r="H2132" i="1"/>
  <c r="J2132" i="1"/>
  <c r="A2133" i="1"/>
  <c r="B2133" i="1"/>
  <c r="G2133" i="1"/>
  <c r="H2133" i="1"/>
  <c r="J2133" i="1"/>
  <c r="A2134" i="1"/>
  <c r="B2134" i="1"/>
  <c r="G2134" i="1"/>
  <c r="H2134" i="1"/>
  <c r="J2134" i="1"/>
  <c r="A2135" i="1"/>
  <c r="B2135" i="1"/>
  <c r="G2135" i="1"/>
  <c r="H2135" i="1"/>
  <c r="J2135" i="1"/>
  <c r="A2136" i="1"/>
  <c r="B2136" i="1"/>
  <c r="G2136" i="1"/>
  <c r="H2136" i="1"/>
  <c r="J2136" i="1"/>
  <c r="A2137" i="1"/>
  <c r="B2137" i="1"/>
  <c r="G2137" i="1"/>
  <c r="H2137" i="1"/>
  <c r="J2137" i="1"/>
  <c r="A2138" i="1"/>
  <c r="B2138" i="1"/>
  <c r="G2138" i="1"/>
  <c r="H2138" i="1"/>
  <c r="J2138" i="1"/>
  <c r="A2139" i="1"/>
  <c r="B2139" i="1"/>
  <c r="G2139" i="1"/>
  <c r="H2139" i="1"/>
  <c r="J2139" i="1"/>
  <c r="A2140" i="1"/>
  <c r="B2140" i="1"/>
  <c r="G2140" i="1"/>
  <c r="H2140" i="1"/>
  <c r="J2140" i="1"/>
  <c r="A2141" i="1"/>
  <c r="B2141" i="1"/>
  <c r="G2141" i="1"/>
  <c r="H2141" i="1"/>
  <c r="J2141" i="1"/>
  <c r="A2142" i="1"/>
  <c r="B2142" i="1"/>
  <c r="G2142" i="1"/>
  <c r="H2142" i="1"/>
  <c r="J2142" i="1"/>
  <c r="A2143" i="1"/>
  <c r="B2143" i="1"/>
  <c r="G2143" i="1"/>
  <c r="H2143" i="1"/>
  <c r="J2143" i="1"/>
  <c r="A2144" i="1"/>
  <c r="B2144" i="1"/>
  <c r="G2144" i="1"/>
  <c r="H2144" i="1"/>
  <c r="J2144" i="1"/>
  <c r="A2145" i="1"/>
  <c r="B2145" i="1"/>
  <c r="G2145" i="1"/>
  <c r="H2145" i="1"/>
  <c r="J2145" i="1"/>
  <c r="A2146" i="1"/>
  <c r="B2146" i="1"/>
  <c r="G2146" i="1"/>
  <c r="H2146" i="1"/>
  <c r="J2146" i="1"/>
  <c r="A2147" i="1"/>
  <c r="B2147" i="1"/>
  <c r="G2147" i="1"/>
  <c r="H2147" i="1"/>
  <c r="J2147" i="1"/>
  <c r="A2148" i="1"/>
  <c r="B2148" i="1"/>
  <c r="G2148" i="1"/>
  <c r="H2148" i="1"/>
  <c r="J2148" i="1"/>
  <c r="A2149" i="1"/>
  <c r="B2149" i="1"/>
  <c r="G2149" i="1"/>
  <c r="H2149" i="1"/>
  <c r="J2149" i="1"/>
  <c r="A2150" i="1"/>
  <c r="B2150" i="1"/>
  <c r="G2150" i="1"/>
  <c r="H2150" i="1"/>
  <c r="J2150" i="1"/>
  <c r="A2151" i="1"/>
  <c r="B2151" i="1"/>
  <c r="G2151" i="1"/>
  <c r="H2151" i="1"/>
  <c r="J2151" i="1"/>
  <c r="A2152" i="1"/>
  <c r="B2152" i="1"/>
  <c r="G2152" i="1"/>
  <c r="H2152" i="1"/>
  <c r="J2152" i="1"/>
  <c r="A2153" i="1"/>
  <c r="B2153" i="1"/>
  <c r="G2153" i="1"/>
  <c r="H2153" i="1"/>
  <c r="J2153" i="1"/>
  <c r="A2154" i="1"/>
  <c r="B2154" i="1"/>
  <c r="G2154" i="1"/>
  <c r="H2154" i="1"/>
  <c r="J2154" i="1"/>
  <c r="A2155" i="1"/>
  <c r="B2155" i="1"/>
  <c r="G2155" i="1"/>
  <c r="H2155" i="1"/>
  <c r="J2155" i="1"/>
  <c r="A2156" i="1"/>
  <c r="B2156" i="1"/>
  <c r="G2156" i="1"/>
  <c r="H2156" i="1"/>
  <c r="J2156" i="1"/>
  <c r="A2157" i="1"/>
  <c r="B2157" i="1"/>
  <c r="G2157" i="1"/>
  <c r="H2157" i="1"/>
  <c r="J2157" i="1"/>
  <c r="A2158" i="1"/>
  <c r="B2158" i="1"/>
  <c r="G2158" i="1"/>
  <c r="H2158" i="1"/>
  <c r="J2158" i="1"/>
  <c r="A2159" i="1"/>
  <c r="B2159" i="1"/>
  <c r="G2159" i="1"/>
  <c r="H2159" i="1"/>
  <c r="J2159" i="1"/>
  <c r="A2160" i="1"/>
  <c r="B2160" i="1"/>
  <c r="G2160" i="1"/>
  <c r="H2160" i="1"/>
  <c r="J2160" i="1"/>
  <c r="A2161" i="1"/>
  <c r="B2161" i="1"/>
  <c r="G2161" i="1"/>
  <c r="H2161" i="1"/>
  <c r="J2161" i="1"/>
  <c r="A2162" i="1"/>
  <c r="B2162" i="1"/>
  <c r="G2162" i="1"/>
  <c r="H2162" i="1"/>
  <c r="J2162" i="1"/>
  <c r="A2163" i="1"/>
  <c r="B2163" i="1"/>
  <c r="G2163" i="1"/>
  <c r="H2163" i="1"/>
  <c r="J2163" i="1"/>
  <c r="A2164" i="1"/>
  <c r="B2164" i="1"/>
  <c r="G2164" i="1"/>
  <c r="H2164" i="1"/>
  <c r="J2164" i="1"/>
  <c r="A2165" i="1"/>
  <c r="B2165" i="1"/>
  <c r="G2165" i="1"/>
  <c r="H2165" i="1"/>
  <c r="J2165" i="1"/>
  <c r="A2166" i="1"/>
  <c r="B2166" i="1"/>
  <c r="G2166" i="1"/>
  <c r="H2166" i="1"/>
  <c r="J2166" i="1"/>
  <c r="A2167" i="1"/>
  <c r="B2167" i="1"/>
  <c r="G2167" i="1"/>
  <c r="H2167" i="1"/>
  <c r="J2167" i="1"/>
  <c r="A2168" i="1"/>
  <c r="B2168" i="1"/>
  <c r="G2168" i="1"/>
  <c r="H2168" i="1"/>
  <c r="J2168" i="1"/>
  <c r="A2169" i="1"/>
  <c r="B2169" i="1"/>
  <c r="G2169" i="1"/>
  <c r="H2169" i="1"/>
  <c r="J2169" i="1"/>
  <c r="A2170" i="1"/>
  <c r="B2170" i="1"/>
  <c r="G2170" i="1"/>
  <c r="H2170" i="1"/>
  <c r="J2170" i="1"/>
  <c r="A2171" i="1"/>
  <c r="B2171" i="1"/>
  <c r="G2171" i="1"/>
  <c r="H2171" i="1"/>
  <c r="J2171" i="1"/>
  <c r="A2172" i="1"/>
  <c r="B2172" i="1"/>
  <c r="G2172" i="1"/>
  <c r="H2172" i="1"/>
  <c r="J2172" i="1"/>
  <c r="A2173" i="1"/>
  <c r="B2173" i="1"/>
  <c r="G2173" i="1"/>
  <c r="H2173" i="1"/>
  <c r="J2173" i="1"/>
  <c r="A2174" i="1"/>
  <c r="B2174" i="1"/>
  <c r="G2174" i="1"/>
  <c r="H2174" i="1"/>
  <c r="J2174" i="1"/>
  <c r="A2175" i="1"/>
  <c r="B2175" i="1"/>
  <c r="G2175" i="1"/>
  <c r="H2175" i="1"/>
  <c r="J2175" i="1"/>
  <c r="A2176" i="1"/>
  <c r="B2176" i="1"/>
  <c r="G2176" i="1"/>
  <c r="H2176" i="1"/>
  <c r="J2176" i="1"/>
  <c r="A2177" i="1"/>
  <c r="B2177" i="1"/>
  <c r="G2177" i="1"/>
  <c r="H2177" i="1"/>
  <c r="J2177" i="1"/>
  <c r="A2178" i="1"/>
  <c r="B2178" i="1"/>
  <c r="G2178" i="1"/>
  <c r="H2178" i="1"/>
  <c r="J2178" i="1"/>
  <c r="A2179" i="1"/>
  <c r="B2179" i="1"/>
  <c r="G2179" i="1"/>
  <c r="H2179" i="1"/>
  <c r="J2179" i="1"/>
  <c r="A2180" i="1"/>
  <c r="B2180" i="1"/>
  <c r="G2180" i="1"/>
  <c r="H2180" i="1"/>
  <c r="J2180" i="1"/>
  <c r="A2181" i="1"/>
  <c r="B2181" i="1"/>
  <c r="G2181" i="1"/>
  <c r="H2181" i="1"/>
  <c r="J2181" i="1"/>
  <c r="A2182" i="1"/>
  <c r="B2182" i="1"/>
  <c r="G2182" i="1"/>
  <c r="H2182" i="1"/>
  <c r="J2182" i="1"/>
  <c r="A2183" i="1"/>
  <c r="B2183" i="1"/>
  <c r="G2183" i="1"/>
  <c r="H2183" i="1"/>
  <c r="J2183" i="1"/>
  <c r="A2184" i="1"/>
  <c r="B2184" i="1"/>
  <c r="G2184" i="1"/>
  <c r="H2184" i="1"/>
  <c r="J2184" i="1"/>
  <c r="A2185" i="1"/>
  <c r="B2185" i="1"/>
  <c r="G2185" i="1"/>
  <c r="H2185" i="1"/>
  <c r="J2185" i="1"/>
  <c r="A2186" i="1"/>
  <c r="B2186" i="1"/>
  <c r="G2186" i="1"/>
  <c r="H2186" i="1"/>
  <c r="J2186" i="1"/>
  <c r="A2187" i="1"/>
  <c r="B2187" i="1"/>
  <c r="G2187" i="1"/>
  <c r="H2187" i="1"/>
  <c r="J2187" i="1"/>
  <c r="A2188" i="1"/>
  <c r="B2188" i="1"/>
  <c r="G2188" i="1"/>
  <c r="H2188" i="1"/>
  <c r="J2188" i="1"/>
  <c r="A2189" i="1"/>
  <c r="B2189" i="1"/>
  <c r="G2189" i="1"/>
  <c r="H2189" i="1"/>
  <c r="J2189" i="1"/>
  <c r="A2190" i="1"/>
  <c r="B2190" i="1"/>
  <c r="G2190" i="1"/>
  <c r="H2190" i="1"/>
  <c r="J2190" i="1"/>
  <c r="A2191" i="1"/>
  <c r="B2191" i="1"/>
  <c r="G2191" i="1"/>
  <c r="H2191" i="1"/>
  <c r="J2191" i="1"/>
  <c r="A2192" i="1"/>
  <c r="B2192" i="1"/>
  <c r="G2192" i="1"/>
  <c r="H2192" i="1"/>
  <c r="J2192" i="1"/>
  <c r="A2193" i="1"/>
  <c r="B2193" i="1"/>
  <c r="G2193" i="1"/>
  <c r="H2193" i="1"/>
  <c r="J2193" i="1"/>
  <c r="A2194" i="1"/>
  <c r="B2194" i="1"/>
  <c r="G2194" i="1"/>
  <c r="H2194" i="1"/>
  <c r="J2194" i="1"/>
  <c r="A2195" i="1"/>
  <c r="B2195" i="1"/>
  <c r="G2195" i="1"/>
  <c r="H2195" i="1"/>
  <c r="J2195" i="1"/>
  <c r="A2196" i="1"/>
  <c r="B2196" i="1"/>
  <c r="G2196" i="1"/>
  <c r="H2196" i="1"/>
  <c r="J2196" i="1"/>
  <c r="A2197" i="1"/>
  <c r="B2197" i="1"/>
  <c r="G2197" i="1"/>
  <c r="H2197" i="1"/>
  <c r="J2197" i="1"/>
  <c r="A2198" i="1"/>
  <c r="B2198" i="1"/>
  <c r="G2198" i="1"/>
  <c r="H2198" i="1"/>
  <c r="J2198" i="1"/>
  <c r="A2199" i="1"/>
  <c r="B2199" i="1"/>
  <c r="G2199" i="1"/>
  <c r="H2199" i="1"/>
  <c r="J2199" i="1"/>
  <c r="A2200" i="1"/>
  <c r="B2200" i="1"/>
  <c r="G2200" i="1"/>
  <c r="H2200" i="1"/>
  <c r="J2200" i="1"/>
  <c r="A2201" i="1"/>
  <c r="B2201" i="1"/>
  <c r="G2201" i="1"/>
  <c r="H2201" i="1"/>
  <c r="J2201" i="1"/>
  <c r="A2202" i="1"/>
  <c r="B2202" i="1"/>
  <c r="G2202" i="1"/>
  <c r="H2202" i="1"/>
  <c r="J2202" i="1"/>
  <c r="A2203" i="1"/>
  <c r="B2203" i="1"/>
  <c r="G2203" i="1"/>
  <c r="H2203" i="1"/>
  <c r="J2203" i="1"/>
  <c r="A2204" i="1"/>
  <c r="B2204" i="1"/>
  <c r="G2204" i="1"/>
  <c r="H2204" i="1"/>
  <c r="J2204" i="1"/>
  <c r="A2205" i="1"/>
  <c r="B2205" i="1"/>
  <c r="G2205" i="1"/>
  <c r="H2205" i="1"/>
  <c r="J2205" i="1"/>
  <c r="A2206" i="1"/>
  <c r="B2206" i="1"/>
  <c r="G2206" i="1"/>
  <c r="H2206" i="1"/>
  <c r="J2206" i="1"/>
  <c r="A2207" i="1"/>
  <c r="B2207" i="1"/>
  <c r="G2207" i="1"/>
  <c r="H2207" i="1"/>
  <c r="J2207" i="1"/>
  <c r="A2208" i="1"/>
  <c r="B2208" i="1"/>
  <c r="G2208" i="1"/>
  <c r="H2208" i="1"/>
  <c r="J2208" i="1"/>
  <c r="A2209" i="1"/>
  <c r="B2209" i="1"/>
  <c r="G2209" i="1"/>
  <c r="H2209" i="1"/>
  <c r="J2209" i="1"/>
  <c r="A2210" i="1"/>
  <c r="B2210" i="1"/>
  <c r="G2210" i="1"/>
  <c r="H2210" i="1"/>
  <c r="J2210" i="1"/>
  <c r="A2211" i="1"/>
  <c r="B2211" i="1"/>
  <c r="G2211" i="1"/>
  <c r="H2211" i="1"/>
  <c r="J2211" i="1"/>
  <c r="A2212" i="1"/>
  <c r="B2212" i="1"/>
  <c r="G2212" i="1"/>
  <c r="H2212" i="1"/>
  <c r="J2212" i="1"/>
  <c r="A2213" i="1"/>
  <c r="B2213" i="1"/>
  <c r="G2213" i="1"/>
  <c r="H2213" i="1"/>
  <c r="J2213" i="1"/>
  <c r="A2214" i="1"/>
  <c r="B2214" i="1"/>
  <c r="G2214" i="1"/>
  <c r="H2214" i="1"/>
  <c r="J2214" i="1"/>
  <c r="A2215" i="1"/>
  <c r="B2215" i="1"/>
  <c r="G2215" i="1"/>
  <c r="H2215" i="1"/>
  <c r="J2215" i="1"/>
  <c r="A2216" i="1"/>
  <c r="B2216" i="1"/>
  <c r="G2216" i="1"/>
  <c r="H2216" i="1"/>
  <c r="J2216" i="1"/>
  <c r="A2217" i="1"/>
  <c r="B2217" i="1"/>
  <c r="G2217" i="1"/>
  <c r="H2217" i="1"/>
  <c r="J2217" i="1"/>
  <c r="A2218" i="1"/>
  <c r="B2218" i="1"/>
  <c r="G2218" i="1"/>
  <c r="H2218" i="1"/>
  <c r="J2218" i="1"/>
  <c r="A2219" i="1"/>
  <c r="B2219" i="1"/>
  <c r="G2219" i="1"/>
  <c r="H2219" i="1"/>
  <c r="J2219" i="1"/>
  <c r="A2220" i="1"/>
  <c r="B2220" i="1"/>
  <c r="G2220" i="1"/>
  <c r="H2220" i="1"/>
  <c r="J2220" i="1"/>
  <c r="A2221" i="1"/>
  <c r="B2221" i="1"/>
  <c r="G2221" i="1"/>
  <c r="H2221" i="1"/>
  <c r="J2221" i="1"/>
  <c r="A2222" i="1"/>
  <c r="B2222" i="1"/>
  <c r="G2222" i="1"/>
  <c r="H2222" i="1"/>
  <c r="J2222" i="1"/>
  <c r="A2223" i="1"/>
  <c r="B2223" i="1"/>
  <c r="G2223" i="1"/>
  <c r="H2223" i="1"/>
  <c r="J2223" i="1"/>
  <c r="A2224" i="1"/>
  <c r="B2224" i="1"/>
  <c r="G2224" i="1"/>
  <c r="H2224" i="1"/>
  <c r="J2224" i="1"/>
  <c r="A2225" i="1"/>
  <c r="B2225" i="1"/>
  <c r="G2225" i="1"/>
  <c r="H2225" i="1"/>
  <c r="J2225" i="1"/>
  <c r="A2226" i="1"/>
  <c r="B2226" i="1"/>
  <c r="G2226" i="1"/>
  <c r="H2226" i="1"/>
  <c r="J2226" i="1"/>
  <c r="A2227" i="1"/>
  <c r="B2227" i="1"/>
  <c r="G2227" i="1"/>
  <c r="H2227" i="1"/>
  <c r="J2227" i="1"/>
  <c r="A2228" i="1"/>
  <c r="B2228" i="1"/>
  <c r="G2228" i="1"/>
  <c r="H2228" i="1"/>
  <c r="J2228" i="1"/>
  <c r="A2229" i="1"/>
  <c r="B2229" i="1"/>
  <c r="G2229" i="1"/>
  <c r="H2229" i="1"/>
  <c r="J2229" i="1"/>
  <c r="A2230" i="1"/>
  <c r="B2230" i="1"/>
  <c r="G2230" i="1"/>
  <c r="H2230" i="1"/>
  <c r="J2230" i="1"/>
  <c r="A2231" i="1"/>
  <c r="B2231" i="1"/>
  <c r="G2231" i="1"/>
  <c r="H2231" i="1"/>
  <c r="J2231" i="1"/>
  <c r="A2232" i="1"/>
  <c r="B2232" i="1"/>
  <c r="G2232" i="1"/>
  <c r="H2232" i="1"/>
  <c r="J2232" i="1"/>
  <c r="A2233" i="1"/>
  <c r="B2233" i="1"/>
  <c r="G2233" i="1"/>
  <c r="H2233" i="1"/>
  <c r="J2233" i="1"/>
  <c r="A2234" i="1"/>
  <c r="B2234" i="1"/>
  <c r="G2234" i="1"/>
  <c r="H2234" i="1"/>
  <c r="J2234" i="1"/>
  <c r="A2235" i="1"/>
  <c r="B2235" i="1"/>
  <c r="G2235" i="1"/>
  <c r="H2235" i="1"/>
  <c r="J2235" i="1"/>
  <c r="A2236" i="1"/>
  <c r="B2236" i="1"/>
  <c r="G2236" i="1"/>
  <c r="H2236" i="1"/>
  <c r="J2236" i="1"/>
  <c r="A2237" i="1"/>
  <c r="B2237" i="1"/>
  <c r="G2237" i="1"/>
  <c r="H2237" i="1"/>
  <c r="J2237" i="1"/>
  <c r="A2238" i="1"/>
  <c r="B2238" i="1"/>
  <c r="G2238" i="1"/>
  <c r="H2238" i="1"/>
  <c r="J2238" i="1"/>
  <c r="A2239" i="1"/>
  <c r="B2239" i="1"/>
  <c r="G2239" i="1"/>
  <c r="H2239" i="1"/>
  <c r="J2239" i="1"/>
  <c r="A2240" i="1"/>
  <c r="B2240" i="1"/>
  <c r="G2240" i="1"/>
  <c r="H2240" i="1"/>
  <c r="J2240" i="1"/>
  <c r="A2241" i="1"/>
  <c r="B2241" i="1"/>
  <c r="G2241" i="1"/>
  <c r="H2241" i="1"/>
  <c r="J2241" i="1"/>
  <c r="A2242" i="1"/>
  <c r="B2242" i="1"/>
  <c r="G2242" i="1"/>
  <c r="H2242" i="1"/>
  <c r="J2242" i="1"/>
  <c r="A2243" i="1"/>
  <c r="B2243" i="1"/>
  <c r="G2243" i="1"/>
  <c r="H2243" i="1"/>
  <c r="J2243" i="1"/>
  <c r="A2244" i="1"/>
  <c r="B2244" i="1"/>
  <c r="G2244" i="1"/>
  <c r="H2244" i="1"/>
  <c r="J2244" i="1"/>
  <c r="A2245" i="1"/>
  <c r="B2245" i="1"/>
  <c r="G2245" i="1"/>
  <c r="H2245" i="1"/>
  <c r="J2245" i="1"/>
  <c r="A2246" i="1"/>
  <c r="B2246" i="1"/>
  <c r="G2246" i="1"/>
  <c r="H2246" i="1"/>
  <c r="J2246" i="1"/>
  <c r="A2247" i="1"/>
  <c r="B2247" i="1"/>
  <c r="G2247" i="1"/>
  <c r="H2247" i="1"/>
  <c r="J2247" i="1"/>
  <c r="A2248" i="1"/>
  <c r="B2248" i="1"/>
  <c r="G2248" i="1"/>
  <c r="H2248" i="1"/>
  <c r="J2248" i="1"/>
  <c r="A2249" i="1"/>
  <c r="B2249" i="1"/>
  <c r="G2249" i="1"/>
  <c r="H2249" i="1"/>
  <c r="J2249" i="1"/>
  <c r="A2250" i="1"/>
  <c r="B2250" i="1"/>
  <c r="G2250" i="1"/>
  <c r="H2250" i="1"/>
  <c r="J2250" i="1"/>
  <c r="A2251" i="1"/>
  <c r="B2251" i="1"/>
  <c r="G2251" i="1"/>
  <c r="H2251" i="1"/>
  <c r="J2251" i="1"/>
  <c r="A2252" i="1"/>
  <c r="B2252" i="1"/>
  <c r="G2252" i="1"/>
  <c r="H2252" i="1"/>
  <c r="J2252" i="1"/>
  <c r="A2253" i="1"/>
  <c r="B2253" i="1"/>
  <c r="G2253" i="1"/>
  <c r="H2253" i="1"/>
  <c r="J2253" i="1"/>
  <c r="A2254" i="1"/>
  <c r="B2254" i="1"/>
  <c r="G2254" i="1"/>
  <c r="H2254" i="1"/>
  <c r="J2254" i="1"/>
  <c r="A2255" i="1"/>
  <c r="B2255" i="1"/>
  <c r="G2255" i="1"/>
  <c r="H2255" i="1"/>
  <c r="J2255" i="1"/>
  <c r="A2256" i="1"/>
  <c r="B2256" i="1"/>
  <c r="G2256" i="1"/>
  <c r="H2256" i="1"/>
  <c r="J2256" i="1"/>
  <c r="A2257" i="1"/>
  <c r="B2257" i="1"/>
  <c r="G2257" i="1"/>
  <c r="H2257" i="1"/>
  <c r="J2257" i="1"/>
  <c r="A2258" i="1"/>
  <c r="B2258" i="1"/>
  <c r="G2258" i="1"/>
  <c r="H2258" i="1"/>
  <c r="J2258" i="1"/>
  <c r="A2259" i="1"/>
  <c r="B2259" i="1"/>
  <c r="G2259" i="1"/>
  <c r="H2259" i="1"/>
  <c r="J2259" i="1"/>
  <c r="A2260" i="1"/>
  <c r="B2260" i="1"/>
  <c r="G2260" i="1"/>
  <c r="H2260" i="1"/>
  <c r="J2260" i="1"/>
  <c r="A2261" i="1"/>
  <c r="B2261" i="1"/>
  <c r="G2261" i="1"/>
  <c r="H2261" i="1"/>
  <c r="J2261" i="1"/>
  <c r="A2262" i="1"/>
  <c r="B2262" i="1"/>
  <c r="G2262" i="1"/>
  <c r="H2262" i="1"/>
  <c r="J2262" i="1"/>
  <c r="A2263" i="1"/>
  <c r="B2263" i="1"/>
  <c r="G2263" i="1"/>
  <c r="H2263" i="1"/>
  <c r="J2263" i="1"/>
  <c r="A2264" i="1"/>
  <c r="B2264" i="1"/>
  <c r="G2264" i="1"/>
  <c r="H2264" i="1"/>
  <c r="J2264" i="1"/>
  <c r="A2265" i="1"/>
  <c r="B2265" i="1"/>
  <c r="G2265" i="1"/>
  <c r="H2265" i="1"/>
  <c r="J2265" i="1"/>
  <c r="A2266" i="1"/>
  <c r="B2266" i="1"/>
  <c r="G2266" i="1"/>
  <c r="H2266" i="1"/>
  <c r="J2266" i="1"/>
  <c r="A2267" i="1"/>
  <c r="B2267" i="1"/>
  <c r="G2267" i="1"/>
  <c r="H2267" i="1"/>
  <c r="J2267" i="1"/>
  <c r="A2268" i="1"/>
  <c r="B2268" i="1"/>
  <c r="G2268" i="1"/>
  <c r="H2268" i="1"/>
  <c r="J2268" i="1"/>
  <c r="A2269" i="1"/>
  <c r="B2269" i="1"/>
  <c r="G2269" i="1"/>
  <c r="H2269" i="1"/>
  <c r="J2269" i="1"/>
  <c r="A2270" i="1"/>
  <c r="B2270" i="1"/>
  <c r="G2270" i="1"/>
  <c r="H2270" i="1"/>
  <c r="J2270" i="1"/>
  <c r="A2271" i="1"/>
  <c r="B2271" i="1"/>
  <c r="G2271" i="1"/>
  <c r="H2271" i="1"/>
  <c r="J2271" i="1"/>
  <c r="A2272" i="1"/>
  <c r="B2272" i="1"/>
  <c r="G2272" i="1"/>
  <c r="H2272" i="1"/>
  <c r="J2272" i="1"/>
  <c r="A2273" i="1"/>
  <c r="B2273" i="1"/>
  <c r="G2273" i="1"/>
  <c r="H2273" i="1"/>
  <c r="J2273" i="1"/>
  <c r="A2274" i="1"/>
  <c r="B2274" i="1"/>
  <c r="G2274" i="1"/>
  <c r="H2274" i="1"/>
  <c r="J2274" i="1"/>
  <c r="A2275" i="1"/>
  <c r="B2275" i="1"/>
  <c r="G2275" i="1"/>
  <c r="H2275" i="1"/>
  <c r="J2275" i="1"/>
  <c r="A2276" i="1"/>
  <c r="B2276" i="1"/>
  <c r="G2276" i="1"/>
  <c r="H2276" i="1"/>
  <c r="J2276" i="1"/>
  <c r="A2277" i="1"/>
  <c r="B2277" i="1"/>
  <c r="G2277" i="1"/>
  <c r="H2277" i="1"/>
  <c r="J2277" i="1"/>
  <c r="A2278" i="1"/>
  <c r="B2278" i="1"/>
  <c r="G2278" i="1"/>
  <c r="H2278" i="1"/>
  <c r="J2278" i="1"/>
  <c r="A2279" i="1"/>
  <c r="B2279" i="1"/>
  <c r="G2279" i="1"/>
  <c r="H2279" i="1"/>
  <c r="J2279" i="1"/>
  <c r="A2280" i="1"/>
  <c r="B2280" i="1"/>
  <c r="G2280" i="1"/>
  <c r="H2280" i="1"/>
  <c r="J2280" i="1"/>
  <c r="A2281" i="1"/>
  <c r="B2281" i="1"/>
  <c r="G2281" i="1"/>
  <c r="H2281" i="1"/>
  <c r="J2281" i="1"/>
  <c r="A2282" i="1"/>
  <c r="B2282" i="1"/>
  <c r="G2282" i="1"/>
  <c r="H2282" i="1"/>
  <c r="J2282" i="1"/>
  <c r="A2283" i="1"/>
  <c r="B2283" i="1"/>
  <c r="G2283" i="1"/>
  <c r="H2283" i="1"/>
  <c r="J2283" i="1"/>
  <c r="A2284" i="1"/>
  <c r="B2284" i="1"/>
  <c r="G2284" i="1"/>
  <c r="H2284" i="1"/>
  <c r="J2284" i="1"/>
  <c r="A2285" i="1"/>
  <c r="B2285" i="1"/>
  <c r="G2285" i="1"/>
  <c r="H2285" i="1"/>
  <c r="J2285" i="1"/>
  <c r="A2286" i="1"/>
  <c r="B2286" i="1"/>
  <c r="G2286" i="1"/>
  <c r="H2286" i="1"/>
  <c r="J2286" i="1"/>
  <c r="A2287" i="1"/>
  <c r="B2287" i="1"/>
  <c r="G2287" i="1"/>
  <c r="H2287" i="1"/>
  <c r="J2287" i="1"/>
  <c r="A2288" i="1"/>
  <c r="B2288" i="1"/>
  <c r="G2288" i="1"/>
  <c r="H2288" i="1"/>
  <c r="J2288" i="1"/>
  <c r="A2289" i="1"/>
  <c r="B2289" i="1"/>
  <c r="G2289" i="1"/>
  <c r="H2289" i="1"/>
  <c r="J2289" i="1"/>
  <c r="A2290" i="1"/>
  <c r="B2290" i="1"/>
  <c r="G2290" i="1"/>
  <c r="H2290" i="1"/>
  <c r="J2290" i="1"/>
  <c r="A2291" i="1"/>
  <c r="B2291" i="1"/>
  <c r="G2291" i="1"/>
  <c r="H2291" i="1"/>
  <c r="J2291" i="1"/>
  <c r="A2292" i="1"/>
  <c r="B2292" i="1"/>
  <c r="G2292" i="1"/>
  <c r="H2292" i="1"/>
  <c r="J2292" i="1"/>
  <c r="A2293" i="1"/>
  <c r="B2293" i="1"/>
  <c r="G2293" i="1"/>
  <c r="H2293" i="1"/>
  <c r="J2293" i="1"/>
  <c r="A2294" i="1"/>
  <c r="B2294" i="1"/>
  <c r="G2294" i="1"/>
  <c r="H2294" i="1"/>
  <c r="J2294" i="1"/>
  <c r="A2295" i="1"/>
  <c r="B2295" i="1"/>
  <c r="G2295" i="1"/>
  <c r="H2295" i="1"/>
  <c r="J2295" i="1"/>
  <c r="A2296" i="1"/>
  <c r="B2296" i="1"/>
  <c r="G2296" i="1"/>
  <c r="H2296" i="1"/>
  <c r="J2296" i="1"/>
  <c r="A2297" i="1"/>
  <c r="B2297" i="1"/>
  <c r="G2297" i="1"/>
  <c r="H2297" i="1"/>
  <c r="J2297" i="1"/>
  <c r="A2298" i="1"/>
  <c r="B2298" i="1"/>
  <c r="G2298" i="1"/>
  <c r="H2298" i="1"/>
  <c r="J2298" i="1"/>
  <c r="A2299" i="1"/>
  <c r="B2299" i="1"/>
  <c r="G2299" i="1"/>
  <c r="H2299" i="1"/>
  <c r="J2299" i="1"/>
  <c r="A2300" i="1"/>
  <c r="B2300" i="1"/>
  <c r="G2300" i="1"/>
  <c r="H2300" i="1"/>
  <c r="J2300" i="1"/>
  <c r="A2301" i="1"/>
  <c r="B2301" i="1"/>
  <c r="G2301" i="1"/>
  <c r="H2301" i="1"/>
  <c r="J2301" i="1"/>
  <c r="A2302" i="1"/>
  <c r="B2302" i="1"/>
  <c r="G2302" i="1"/>
  <c r="H2302" i="1"/>
  <c r="J2302" i="1"/>
  <c r="A2303" i="1"/>
  <c r="B2303" i="1"/>
  <c r="G2303" i="1"/>
  <c r="H2303" i="1"/>
  <c r="J2303" i="1"/>
  <c r="A2304" i="1"/>
  <c r="B2304" i="1"/>
  <c r="G2304" i="1"/>
  <c r="H2304" i="1"/>
  <c r="J2304" i="1"/>
  <c r="A2305" i="1"/>
  <c r="B2305" i="1"/>
  <c r="G2305" i="1"/>
  <c r="H2305" i="1"/>
  <c r="J2305" i="1"/>
  <c r="A2306" i="1"/>
  <c r="B2306" i="1"/>
  <c r="G2306" i="1"/>
  <c r="H2306" i="1"/>
  <c r="J2306" i="1"/>
  <c r="A2307" i="1"/>
  <c r="B2307" i="1"/>
  <c r="G2307" i="1"/>
  <c r="H2307" i="1"/>
  <c r="J2307" i="1"/>
  <c r="A2308" i="1"/>
  <c r="B2308" i="1"/>
  <c r="G2308" i="1"/>
  <c r="H2308" i="1"/>
  <c r="J2308" i="1"/>
  <c r="A2309" i="1"/>
  <c r="B2309" i="1"/>
  <c r="G2309" i="1"/>
  <c r="H2309" i="1"/>
  <c r="J2309" i="1"/>
  <c r="A2310" i="1"/>
  <c r="B2310" i="1"/>
  <c r="G2310" i="1"/>
  <c r="H2310" i="1"/>
  <c r="J2310" i="1"/>
  <c r="A2311" i="1"/>
  <c r="B2311" i="1"/>
  <c r="G2311" i="1"/>
  <c r="H2311" i="1"/>
  <c r="J2311" i="1"/>
  <c r="A2312" i="1"/>
  <c r="B2312" i="1"/>
  <c r="G2312" i="1"/>
  <c r="H2312" i="1"/>
  <c r="J2312" i="1"/>
  <c r="A2313" i="1"/>
  <c r="B2313" i="1"/>
  <c r="G2313" i="1"/>
  <c r="H2313" i="1"/>
  <c r="J2313" i="1"/>
  <c r="A2314" i="1"/>
  <c r="B2314" i="1"/>
  <c r="G2314" i="1"/>
  <c r="H2314" i="1"/>
  <c r="J2314" i="1"/>
  <c r="A2315" i="1"/>
  <c r="B2315" i="1"/>
  <c r="G2315" i="1"/>
  <c r="H2315" i="1"/>
  <c r="J2315" i="1"/>
  <c r="A2316" i="1"/>
  <c r="B2316" i="1"/>
  <c r="G2316" i="1"/>
  <c r="H2316" i="1"/>
  <c r="J2316" i="1"/>
  <c r="A2317" i="1"/>
  <c r="B2317" i="1"/>
  <c r="G2317" i="1"/>
  <c r="H2317" i="1"/>
  <c r="J2317" i="1"/>
  <c r="A2318" i="1"/>
  <c r="B2318" i="1"/>
  <c r="G2318" i="1"/>
  <c r="H2318" i="1"/>
  <c r="J2318" i="1"/>
  <c r="A2319" i="1"/>
  <c r="B2319" i="1"/>
  <c r="G2319" i="1"/>
  <c r="H2319" i="1"/>
  <c r="J2319" i="1"/>
  <c r="A2320" i="1"/>
  <c r="B2320" i="1"/>
  <c r="G2320" i="1"/>
  <c r="H2320" i="1"/>
  <c r="J2320" i="1"/>
  <c r="A2321" i="1"/>
  <c r="B2321" i="1"/>
  <c r="G2321" i="1"/>
  <c r="H2321" i="1"/>
  <c r="J2321" i="1"/>
  <c r="A2322" i="1"/>
  <c r="B2322" i="1"/>
  <c r="G2322" i="1"/>
  <c r="H2322" i="1"/>
  <c r="J2322" i="1"/>
  <c r="A2323" i="1"/>
  <c r="B2323" i="1"/>
  <c r="G2323" i="1"/>
  <c r="H2323" i="1"/>
  <c r="J2323" i="1"/>
  <c r="A2324" i="1"/>
  <c r="B2324" i="1"/>
  <c r="G2324" i="1"/>
  <c r="H2324" i="1"/>
  <c r="J2324" i="1"/>
  <c r="A2325" i="1"/>
  <c r="B2325" i="1"/>
  <c r="G2325" i="1"/>
  <c r="H2325" i="1"/>
  <c r="J2325" i="1"/>
  <c r="A2326" i="1"/>
  <c r="B2326" i="1"/>
  <c r="G2326" i="1"/>
  <c r="H2326" i="1"/>
  <c r="J2326" i="1"/>
  <c r="A2327" i="1"/>
  <c r="B2327" i="1"/>
  <c r="G2327" i="1"/>
  <c r="H2327" i="1"/>
  <c r="J2327" i="1"/>
  <c r="A2328" i="1"/>
  <c r="B2328" i="1"/>
  <c r="G2328" i="1"/>
  <c r="H2328" i="1"/>
  <c r="J2328" i="1"/>
  <c r="A2329" i="1"/>
  <c r="B2329" i="1"/>
  <c r="G2329" i="1"/>
  <c r="H2329" i="1"/>
  <c r="J2329" i="1"/>
  <c r="A2330" i="1"/>
  <c r="B2330" i="1"/>
  <c r="G2330" i="1"/>
  <c r="H2330" i="1"/>
  <c r="J2330" i="1"/>
  <c r="A2331" i="1"/>
  <c r="B2331" i="1"/>
  <c r="G2331" i="1"/>
  <c r="H2331" i="1"/>
  <c r="J2331" i="1"/>
  <c r="A2332" i="1"/>
  <c r="B2332" i="1"/>
  <c r="G2332" i="1"/>
  <c r="H2332" i="1"/>
  <c r="J2332" i="1"/>
  <c r="A2333" i="1"/>
  <c r="B2333" i="1"/>
  <c r="G2333" i="1"/>
  <c r="H2333" i="1"/>
  <c r="J2333" i="1"/>
  <c r="A2334" i="1"/>
  <c r="B2334" i="1"/>
  <c r="G2334" i="1"/>
  <c r="H2334" i="1"/>
  <c r="J2334" i="1"/>
  <c r="A2335" i="1"/>
  <c r="B2335" i="1"/>
  <c r="G2335" i="1"/>
  <c r="H2335" i="1"/>
  <c r="J2335" i="1"/>
  <c r="A2336" i="1"/>
  <c r="B2336" i="1"/>
  <c r="G2336" i="1"/>
  <c r="H2336" i="1"/>
  <c r="J2336" i="1"/>
  <c r="A2337" i="1"/>
  <c r="B2337" i="1"/>
  <c r="G2337" i="1"/>
  <c r="H2337" i="1"/>
  <c r="J2337" i="1"/>
  <c r="A2338" i="1"/>
  <c r="B2338" i="1"/>
  <c r="G2338" i="1"/>
  <c r="H2338" i="1"/>
  <c r="J2338" i="1"/>
  <c r="A2339" i="1"/>
  <c r="B2339" i="1"/>
  <c r="G2339" i="1"/>
  <c r="H2339" i="1"/>
  <c r="J2339" i="1"/>
  <c r="A2340" i="1"/>
  <c r="B2340" i="1"/>
  <c r="G2340" i="1"/>
  <c r="H2340" i="1"/>
  <c r="J2340" i="1"/>
  <c r="A2341" i="1"/>
  <c r="B2341" i="1"/>
  <c r="G2341" i="1"/>
  <c r="H2341" i="1"/>
  <c r="J2341" i="1"/>
  <c r="A2342" i="1"/>
  <c r="B2342" i="1"/>
  <c r="G2342" i="1"/>
  <c r="H2342" i="1"/>
  <c r="J2342" i="1"/>
  <c r="A2343" i="1"/>
  <c r="B2343" i="1"/>
  <c r="G2343" i="1"/>
  <c r="H2343" i="1"/>
  <c r="J2343" i="1"/>
  <c r="A2344" i="1"/>
  <c r="B2344" i="1"/>
  <c r="G2344" i="1"/>
  <c r="H2344" i="1"/>
  <c r="J2344" i="1"/>
  <c r="A2345" i="1"/>
  <c r="B2345" i="1"/>
  <c r="G2345" i="1"/>
  <c r="H2345" i="1"/>
  <c r="J2345" i="1"/>
  <c r="A2346" i="1"/>
  <c r="B2346" i="1"/>
  <c r="G2346" i="1"/>
  <c r="H2346" i="1"/>
  <c r="J2346" i="1"/>
  <c r="A2347" i="1"/>
  <c r="B2347" i="1"/>
  <c r="G2347" i="1"/>
  <c r="H2347" i="1"/>
  <c r="J2347" i="1"/>
  <c r="A2348" i="1"/>
  <c r="B2348" i="1"/>
  <c r="G2348" i="1"/>
  <c r="H2348" i="1"/>
  <c r="J2348" i="1"/>
  <c r="A2349" i="1"/>
  <c r="B2349" i="1"/>
  <c r="G2349" i="1"/>
  <c r="H2349" i="1"/>
  <c r="J2349" i="1"/>
  <c r="A2350" i="1"/>
  <c r="B2350" i="1"/>
  <c r="G2350" i="1"/>
  <c r="H2350" i="1"/>
  <c r="J2350" i="1"/>
  <c r="A2351" i="1"/>
  <c r="B2351" i="1"/>
  <c r="G2351" i="1"/>
  <c r="H2351" i="1"/>
  <c r="J2351" i="1"/>
  <c r="A2352" i="1"/>
  <c r="B2352" i="1"/>
  <c r="G2352" i="1"/>
  <c r="H2352" i="1"/>
  <c r="J2352" i="1"/>
  <c r="A2353" i="1"/>
  <c r="B2353" i="1"/>
  <c r="G2353" i="1"/>
  <c r="H2353" i="1"/>
  <c r="J2353" i="1"/>
  <c r="A2354" i="1"/>
  <c r="B2354" i="1"/>
  <c r="G2354" i="1"/>
  <c r="H2354" i="1"/>
  <c r="J2354" i="1"/>
  <c r="A2355" i="1"/>
  <c r="B2355" i="1"/>
  <c r="G2355" i="1"/>
  <c r="H2355" i="1"/>
  <c r="J2355" i="1"/>
  <c r="A2356" i="1"/>
  <c r="B2356" i="1"/>
  <c r="G2356" i="1"/>
  <c r="H2356" i="1"/>
  <c r="J2356" i="1"/>
  <c r="A2357" i="1"/>
  <c r="B2357" i="1"/>
  <c r="G2357" i="1"/>
  <c r="H2357" i="1"/>
  <c r="J2357" i="1"/>
  <c r="A2358" i="1"/>
  <c r="B2358" i="1"/>
  <c r="G2358" i="1"/>
  <c r="H2358" i="1"/>
  <c r="J2358" i="1"/>
  <c r="A2359" i="1"/>
  <c r="B2359" i="1"/>
  <c r="G2359" i="1"/>
  <c r="H2359" i="1"/>
  <c r="J2359" i="1"/>
  <c r="A2360" i="1"/>
  <c r="B2360" i="1"/>
  <c r="G2360" i="1"/>
  <c r="H2360" i="1"/>
  <c r="J2360" i="1"/>
  <c r="A2361" i="1"/>
  <c r="B2361" i="1"/>
  <c r="G2361" i="1"/>
  <c r="H2361" i="1"/>
  <c r="J2361" i="1"/>
  <c r="A2362" i="1"/>
  <c r="B2362" i="1"/>
  <c r="G2362" i="1"/>
  <c r="H2362" i="1"/>
  <c r="J2362" i="1"/>
  <c r="A2363" i="1"/>
  <c r="B2363" i="1"/>
  <c r="G2363" i="1"/>
  <c r="H2363" i="1"/>
  <c r="J2363" i="1"/>
  <c r="A2364" i="1"/>
  <c r="B2364" i="1"/>
  <c r="G2364" i="1"/>
  <c r="H2364" i="1"/>
  <c r="J2364" i="1"/>
  <c r="A2365" i="1"/>
  <c r="B2365" i="1"/>
  <c r="G2365" i="1"/>
  <c r="H2365" i="1"/>
  <c r="J2365" i="1"/>
  <c r="A2366" i="1"/>
  <c r="B2366" i="1"/>
  <c r="G2366" i="1"/>
  <c r="H2366" i="1"/>
  <c r="J2366" i="1"/>
  <c r="A2367" i="1"/>
  <c r="B2367" i="1"/>
  <c r="G2367" i="1"/>
  <c r="H2367" i="1"/>
  <c r="J2367" i="1"/>
  <c r="A2368" i="1"/>
  <c r="B2368" i="1"/>
  <c r="G2368" i="1"/>
  <c r="H2368" i="1"/>
  <c r="J2368" i="1"/>
  <c r="A2369" i="1"/>
  <c r="B2369" i="1"/>
  <c r="G2369" i="1"/>
  <c r="H2369" i="1"/>
  <c r="J2369" i="1"/>
  <c r="A2370" i="1"/>
  <c r="B2370" i="1"/>
  <c r="G2370" i="1"/>
  <c r="H2370" i="1"/>
  <c r="J2370" i="1"/>
  <c r="A2371" i="1"/>
  <c r="B2371" i="1"/>
  <c r="G2371" i="1"/>
  <c r="H2371" i="1"/>
  <c r="J2371" i="1"/>
  <c r="A2372" i="1"/>
  <c r="B2372" i="1"/>
  <c r="G2372" i="1"/>
  <c r="H2372" i="1"/>
  <c r="J2372" i="1"/>
  <c r="A2373" i="1"/>
  <c r="B2373" i="1"/>
  <c r="G2373" i="1"/>
  <c r="H2373" i="1"/>
  <c r="J2373" i="1"/>
  <c r="A2374" i="1"/>
  <c r="B2374" i="1"/>
  <c r="G2374" i="1"/>
  <c r="H2374" i="1"/>
  <c r="J2374" i="1"/>
  <c r="A2375" i="1"/>
  <c r="B2375" i="1"/>
  <c r="G2375" i="1"/>
  <c r="H2375" i="1"/>
  <c r="J2375" i="1"/>
  <c r="A2376" i="1"/>
  <c r="B2376" i="1"/>
  <c r="G2376" i="1"/>
  <c r="H2376" i="1"/>
  <c r="J2376" i="1"/>
  <c r="A2377" i="1"/>
  <c r="B2377" i="1"/>
  <c r="G2377" i="1"/>
  <c r="H2377" i="1"/>
  <c r="J2377" i="1"/>
  <c r="A2378" i="1"/>
  <c r="B2378" i="1"/>
  <c r="G2378" i="1"/>
  <c r="H2378" i="1"/>
  <c r="J2378" i="1"/>
  <c r="A2379" i="1"/>
  <c r="B2379" i="1"/>
  <c r="G2379" i="1"/>
  <c r="H2379" i="1"/>
  <c r="J2379" i="1"/>
  <c r="A2380" i="1"/>
  <c r="B2380" i="1"/>
  <c r="G2380" i="1"/>
  <c r="H2380" i="1"/>
  <c r="J2380" i="1"/>
  <c r="A2381" i="1"/>
  <c r="B2381" i="1"/>
  <c r="G2381" i="1"/>
  <c r="H2381" i="1"/>
  <c r="J2381" i="1"/>
  <c r="A2382" i="1"/>
  <c r="B2382" i="1"/>
  <c r="G2382" i="1"/>
  <c r="H2382" i="1"/>
  <c r="J2382" i="1"/>
  <c r="A2383" i="1"/>
  <c r="B2383" i="1"/>
  <c r="G2383" i="1"/>
  <c r="H2383" i="1"/>
  <c r="J2383" i="1"/>
  <c r="A2384" i="1"/>
  <c r="B2384" i="1"/>
  <c r="G2384" i="1"/>
  <c r="H2384" i="1"/>
  <c r="J2384" i="1"/>
  <c r="A2385" i="1"/>
  <c r="B2385" i="1"/>
  <c r="G2385" i="1"/>
  <c r="H2385" i="1"/>
  <c r="J2385" i="1"/>
  <c r="A2386" i="1"/>
  <c r="B2386" i="1"/>
  <c r="G2386" i="1"/>
  <c r="H2386" i="1"/>
  <c r="J2386" i="1"/>
  <c r="A2387" i="1"/>
  <c r="B2387" i="1"/>
  <c r="G2387" i="1"/>
  <c r="H2387" i="1"/>
  <c r="J2387" i="1"/>
  <c r="A2388" i="1"/>
  <c r="B2388" i="1"/>
  <c r="G2388" i="1"/>
  <c r="H2388" i="1"/>
  <c r="J2388" i="1"/>
  <c r="A2389" i="1"/>
  <c r="B2389" i="1"/>
  <c r="G2389" i="1"/>
  <c r="H2389" i="1"/>
  <c r="J2389" i="1"/>
  <c r="A2390" i="1"/>
  <c r="B2390" i="1"/>
  <c r="G2390" i="1"/>
  <c r="H2390" i="1"/>
  <c r="J2390" i="1"/>
  <c r="A2391" i="1"/>
  <c r="B2391" i="1"/>
  <c r="G2391" i="1"/>
  <c r="H2391" i="1"/>
  <c r="J2391" i="1"/>
  <c r="A2392" i="1"/>
  <c r="B2392" i="1"/>
  <c r="G2392" i="1"/>
  <c r="H2392" i="1"/>
  <c r="J2392" i="1"/>
  <c r="A2393" i="1"/>
  <c r="B2393" i="1"/>
  <c r="G2393" i="1"/>
  <c r="H2393" i="1"/>
  <c r="J2393" i="1"/>
  <c r="A2394" i="1"/>
  <c r="B2394" i="1"/>
  <c r="G2394" i="1"/>
  <c r="H2394" i="1"/>
  <c r="J2394" i="1"/>
  <c r="A2395" i="1"/>
  <c r="B2395" i="1"/>
  <c r="G2395" i="1"/>
  <c r="H2395" i="1"/>
  <c r="J2395" i="1"/>
  <c r="A2396" i="1"/>
  <c r="B2396" i="1"/>
  <c r="G2396" i="1"/>
  <c r="H2396" i="1"/>
  <c r="J2396" i="1"/>
  <c r="A2397" i="1"/>
  <c r="B2397" i="1"/>
  <c r="G2397" i="1"/>
  <c r="H2397" i="1"/>
  <c r="J2397" i="1"/>
  <c r="A2398" i="1"/>
  <c r="B2398" i="1"/>
  <c r="G2398" i="1"/>
  <c r="H2398" i="1"/>
  <c r="J2398" i="1"/>
  <c r="A2399" i="1"/>
  <c r="B2399" i="1"/>
  <c r="G2399" i="1"/>
  <c r="H2399" i="1"/>
  <c r="J2399" i="1"/>
  <c r="A2400" i="1"/>
  <c r="B2400" i="1"/>
  <c r="G2400" i="1"/>
  <c r="H2400" i="1"/>
  <c r="J2400" i="1"/>
  <c r="A2401" i="1"/>
  <c r="B2401" i="1"/>
  <c r="G2401" i="1"/>
  <c r="H2401" i="1"/>
  <c r="J2401" i="1"/>
  <c r="A2402" i="1"/>
  <c r="B2402" i="1"/>
  <c r="G2402" i="1"/>
  <c r="H2402" i="1"/>
  <c r="J2402" i="1"/>
  <c r="A2403" i="1"/>
  <c r="B2403" i="1"/>
  <c r="G2403" i="1"/>
  <c r="H2403" i="1"/>
  <c r="J2403" i="1"/>
  <c r="A2404" i="1"/>
  <c r="B2404" i="1"/>
  <c r="G2404" i="1"/>
  <c r="H2404" i="1"/>
  <c r="J2404" i="1"/>
  <c r="A2405" i="1"/>
  <c r="B2405" i="1"/>
  <c r="G2405" i="1"/>
  <c r="H2405" i="1"/>
  <c r="J2405" i="1"/>
  <c r="A2406" i="1"/>
  <c r="B2406" i="1"/>
  <c r="G2406" i="1"/>
  <c r="H2406" i="1"/>
  <c r="J2406" i="1"/>
  <c r="A2407" i="1"/>
  <c r="B2407" i="1"/>
  <c r="G2407" i="1"/>
  <c r="H2407" i="1"/>
  <c r="J2407" i="1"/>
  <c r="A2408" i="1"/>
  <c r="B2408" i="1"/>
  <c r="G2408" i="1"/>
  <c r="H2408" i="1"/>
  <c r="J2408" i="1"/>
  <c r="A2409" i="1"/>
  <c r="B2409" i="1"/>
  <c r="G2409" i="1"/>
  <c r="H2409" i="1"/>
  <c r="J2409" i="1"/>
  <c r="A2410" i="1"/>
  <c r="B2410" i="1"/>
  <c r="G2410" i="1"/>
  <c r="H2410" i="1"/>
  <c r="J2410" i="1"/>
  <c r="A2411" i="1"/>
  <c r="B2411" i="1"/>
  <c r="G2411" i="1"/>
  <c r="H2411" i="1"/>
  <c r="J2411" i="1"/>
  <c r="A2412" i="1"/>
  <c r="B2412" i="1"/>
  <c r="G2412" i="1"/>
  <c r="H2412" i="1"/>
  <c r="J2412" i="1"/>
  <c r="A2413" i="1"/>
  <c r="B2413" i="1"/>
  <c r="G2413" i="1"/>
  <c r="H2413" i="1"/>
  <c r="J2413" i="1"/>
  <c r="A2414" i="1"/>
  <c r="B2414" i="1"/>
  <c r="G2414" i="1"/>
  <c r="H2414" i="1"/>
  <c r="J2414" i="1"/>
  <c r="A2415" i="1"/>
  <c r="B2415" i="1"/>
  <c r="G2415" i="1"/>
  <c r="H2415" i="1"/>
  <c r="J2415" i="1"/>
  <c r="A2416" i="1"/>
  <c r="B2416" i="1"/>
  <c r="G2416" i="1"/>
  <c r="H2416" i="1"/>
  <c r="J2416" i="1"/>
  <c r="A2417" i="1"/>
  <c r="B2417" i="1"/>
  <c r="G2417" i="1"/>
  <c r="H2417" i="1"/>
  <c r="J2417" i="1"/>
  <c r="A2418" i="1"/>
  <c r="B2418" i="1"/>
  <c r="G2418" i="1"/>
  <c r="H2418" i="1"/>
  <c r="J2418" i="1"/>
  <c r="A2419" i="1"/>
  <c r="B2419" i="1"/>
  <c r="G2419" i="1"/>
  <c r="H2419" i="1"/>
  <c r="J2419" i="1"/>
  <c r="A2420" i="1"/>
  <c r="B2420" i="1"/>
  <c r="G2420" i="1"/>
  <c r="H2420" i="1"/>
  <c r="J2420" i="1"/>
  <c r="A2421" i="1"/>
  <c r="B2421" i="1"/>
  <c r="G2421" i="1"/>
  <c r="H2421" i="1"/>
  <c r="J2421" i="1"/>
  <c r="A2422" i="1"/>
  <c r="B2422" i="1"/>
  <c r="G2422" i="1"/>
  <c r="H2422" i="1"/>
  <c r="J2422" i="1"/>
  <c r="A2423" i="1"/>
  <c r="B2423" i="1"/>
  <c r="G2423" i="1"/>
  <c r="H2423" i="1"/>
  <c r="J2423" i="1"/>
  <c r="A2424" i="1"/>
  <c r="B2424" i="1"/>
  <c r="G2424" i="1"/>
  <c r="H2424" i="1"/>
  <c r="J2424" i="1"/>
  <c r="A2425" i="1"/>
  <c r="B2425" i="1"/>
  <c r="G2425" i="1"/>
  <c r="H2425" i="1"/>
  <c r="J2425" i="1"/>
  <c r="A2426" i="1"/>
  <c r="B2426" i="1"/>
  <c r="G2426" i="1"/>
  <c r="H2426" i="1"/>
  <c r="J2426" i="1"/>
  <c r="A2427" i="1"/>
  <c r="B2427" i="1"/>
  <c r="G2427" i="1"/>
  <c r="H2427" i="1"/>
  <c r="J2427" i="1"/>
  <c r="A2428" i="1"/>
  <c r="B2428" i="1"/>
  <c r="G2428" i="1"/>
  <c r="H2428" i="1"/>
  <c r="J2428" i="1"/>
  <c r="A2429" i="1"/>
  <c r="B2429" i="1"/>
  <c r="G2429" i="1"/>
  <c r="H2429" i="1"/>
  <c r="J2429" i="1"/>
  <c r="A2430" i="1"/>
  <c r="B2430" i="1"/>
  <c r="G2430" i="1"/>
  <c r="H2430" i="1"/>
  <c r="J2430" i="1"/>
  <c r="A2431" i="1"/>
  <c r="B2431" i="1"/>
  <c r="G2431" i="1"/>
  <c r="H2431" i="1"/>
  <c r="J2431" i="1"/>
  <c r="A2432" i="1"/>
  <c r="B2432" i="1"/>
  <c r="G2432" i="1"/>
  <c r="H2432" i="1"/>
  <c r="J2432" i="1"/>
  <c r="A2433" i="1"/>
  <c r="B2433" i="1"/>
  <c r="G2433" i="1"/>
  <c r="H2433" i="1"/>
  <c r="J2433" i="1"/>
  <c r="A2434" i="1"/>
  <c r="B2434" i="1"/>
  <c r="G2434" i="1"/>
  <c r="H2434" i="1"/>
  <c r="J2434" i="1"/>
  <c r="A2435" i="1"/>
  <c r="B2435" i="1"/>
  <c r="G2435" i="1"/>
  <c r="H2435" i="1"/>
  <c r="J2435" i="1"/>
  <c r="A2436" i="1"/>
  <c r="B2436" i="1"/>
  <c r="G2436" i="1"/>
  <c r="H2436" i="1"/>
  <c r="J2436" i="1"/>
  <c r="A2437" i="1"/>
  <c r="B2437" i="1"/>
  <c r="G2437" i="1"/>
  <c r="H2437" i="1"/>
  <c r="J2437" i="1"/>
  <c r="A2438" i="1"/>
  <c r="B2438" i="1"/>
  <c r="G2438" i="1"/>
  <c r="H2438" i="1"/>
  <c r="J2438" i="1"/>
  <c r="A2439" i="1"/>
  <c r="B2439" i="1"/>
  <c r="G2439" i="1"/>
  <c r="H2439" i="1"/>
  <c r="J2439" i="1"/>
  <c r="A2440" i="1"/>
  <c r="B2440" i="1"/>
  <c r="G2440" i="1"/>
  <c r="H2440" i="1"/>
  <c r="J2440" i="1"/>
  <c r="A2441" i="1"/>
  <c r="B2441" i="1"/>
  <c r="G2441" i="1"/>
  <c r="H2441" i="1"/>
  <c r="J2441" i="1"/>
  <c r="A2442" i="1"/>
  <c r="B2442" i="1"/>
  <c r="G2442" i="1"/>
  <c r="H2442" i="1"/>
  <c r="J2442" i="1"/>
  <c r="A2443" i="1"/>
  <c r="B2443" i="1"/>
  <c r="G2443" i="1"/>
  <c r="H2443" i="1"/>
  <c r="J2443" i="1"/>
  <c r="A2444" i="1"/>
  <c r="B2444" i="1"/>
  <c r="G2444" i="1"/>
  <c r="H2444" i="1"/>
  <c r="J2444" i="1"/>
  <c r="A2445" i="1"/>
  <c r="B2445" i="1"/>
  <c r="G2445" i="1"/>
  <c r="H2445" i="1"/>
  <c r="J2445" i="1"/>
  <c r="A2446" i="1"/>
  <c r="B2446" i="1"/>
  <c r="G2446" i="1"/>
  <c r="H2446" i="1"/>
  <c r="J2446" i="1"/>
  <c r="A2447" i="1"/>
  <c r="B2447" i="1"/>
  <c r="G2447" i="1"/>
  <c r="H2447" i="1"/>
  <c r="J2447" i="1"/>
  <c r="A2448" i="1"/>
  <c r="B2448" i="1"/>
  <c r="G2448" i="1"/>
  <c r="H2448" i="1"/>
  <c r="J2448" i="1"/>
  <c r="A2449" i="1"/>
  <c r="B2449" i="1"/>
  <c r="G2449" i="1"/>
  <c r="H2449" i="1"/>
  <c r="J2449" i="1"/>
  <c r="A2450" i="1"/>
  <c r="B2450" i="1"/>
  <c r="G2450" i="1"/>
  <c r="H2450" i="1"/>
  <c r="J2450" i="1"/>
  <c r="A2451" i="1"/>
  <c r="B2451" i="1"/>
  <c r="G2451" i="1"/>
  <c r="H2451" i="1"/>
  <c r="J2451" i="1"/>
  <c r="A2452" i="1"/>
  <c r="B2452" i="1"/>
  <c r="G2452" i="1"/>
  <c r="H2452" i="1"/>
  <c r="J2452" i="1"/>
  <c r="A2453" i="1"/>
  <c r="B2453" i="1"/>
  <c r="G2453" i="1"/>
  <c r="H2453" i="1"/>
  <c r="J2453" i="1"/>
  <c r="A2454" i="1"/>
  <c r="B2454" i="1"/>
  <c r="G2454" i="1"/>
  <c r="H2454" i="1"/>
  <c r="J2454" i="1"/>
  <c r="A2455" i="1"/>
  <c r="B2455" i="1"/>
  <c r="G2455" i="1"/>
  <c r="H2455" i="1"/>
  <c r="J2455" i="1"/>
  <c r="A2456" i="1"/>
  <c r="B2456" i="1"/>
  <c r="G2456" i="1"/>
  <c r="H2456" i="1"/>
  <c r="J2456" i="1"/>
  <c r="A2457" i="1"/>
  <c r="B2457" i="1"/>
  <c r="G2457" i="1"/>
  <c r="H2457" i="1"/>
  <c r="J2457" i="1"/>
  <c r="A2458" i="1"/>
  <c r="B2458" i="1"/>
  <c r="G2458" i="1"/>
  <c r="H2458" i="1"/>
  <c r="J2458" i="1"/>
  <c r="A2459" i="1"/>
  <c r="B2459" i="1"/>
  <c r="G2459" i="1"/>
  <c r="H2459" i="1"/>
  <c r="J2459" i="1"/>
  <c r="A2460" i="1"/>
  <c r="B2460" i="1"/>
  <c r="G2460" i="1"/>
  <c r="H2460" i="1"/>
  <c r="J2460" i="1"/>
  <c r="A2461" i="1"/>
  <c r="B2461" i="1"/>
  <c r="G2461" i="1"/>
  <c r="H2461" i="1"/>
  <c r="J2461" i="1"/>
  <c r="A2462" i="1"/>
  <c r="B2462" i="1"/>
  <c r="G2462" i="1"/>
  <c r="H2462" i="1"/>
  <c r="J2462" i="1"/>
  <c r="A2463" i="1"/>
  <c r="B2463" i="1"/>
  <c r="G2463" i="1"/>
  <c r="H2463" i="1"/>
  <c r="J2463" i="1"/>
  <c r="A2464" i="1"/>
  <c r="B2464" i="1"/>
  <c r="G2464" i="1"/>
  <c r="H2464" i="1"/>
  <c r="J2464" i="1"/>
  <c r="A2465" i="1"/>
  <c r="B2465" i="1"/>
  <c r="G2465" i="1"/>
  <c r="H2465" i="1"/>
  <c r="J2465" i="1"/>
  <c r="A2466" i="1"/>
  <c r="B2466" i="1"/>
  <c r="G2466" i="1"/>
  <c r="H2466" i="1"/>
  <c r="J2466" i="1"/>
  <c r="A2467" i="1"/>
  <c r="B2467" i="1"/>
  <c r="G2467" i="1"/>
  <c r="H2467" i="1"/>
  <c r="J2467" i="1"/>
  <c r="A2468" i="1"/>
  <c r="B2468" i="1"/>
  <c r="G2468" i="1"/>
  <c r="H2468" i="1"/>
  <c r="J2468" i="1"/>
  <c r="A2469" i="1"/>
  <c r="B2469" i="1"/>
  <c r="G2469" i="1"/>
  <c r="H2469" i="1"/>
  <c r="J2469" i="1"/>
  <c r="A2470" i="1"/>
  <c r="B2470" i="1"/>
  <c r="G2470" i="1"/>
  <c r="H2470" i="1"/>
  <c r="J2470" i="1"/>
  <c r="A2471" i="1"/>
  <c r="B2471" i="1"/>
  <c r="G2471" i="1"/>
  <c r="H2471" i="1"/>
  <c r="J2471" i="1"/>
  <c r="A2472" i="1"/>
  <c r="B2472" i="1"/>
  <c r="G2472" i="1"/>
  <c r="H2472" i="1"/>
  <c r="J2472" i="1"/>
  <c r="A2473" i="1"/>
  <c r="B2473" i="1"/>
  <c r="G2473" i="1"/>
  <c r="H2473" i="1"/>
  <c r="J2473" i="1"/>
  <c r="A2474" i="1"/>
  <c r="B2474" i="1"/>
  <c r="G2474" i="1"/>
  <c r="H2474" i="1"/>
  <c r="J2474" i="1"/>
  <c r="A2475" i="1"/>
  <c r="B2475" i="1"/>
  <c r="G2475" i="1"/>
  <c r="H2475" i="1"/>
  <c r="J2475" i="1"/>
  <c r="A2476" i="1"/>
  <c r="B2476" i="1"/>
  <c r="G2476" i="1"/>
  <c r="H2476" i="1"/>
  <c r="J2476" i="1"/>
  <c r="A2477" i="1"/>
  <c r="B2477" i="1"/>
  <c r="G2477" i="1"/>
  <c r="H2477" i="1"/>
  <c r="J2477" i="1"/>
  <c r="A2478" i="1"/>
  <c r="B2478" i="1"/>
  <c r="G2478" i="1"/>
  <c r="H2478" i="1"/>
  <c r="J2478" i="1"/>
  <c r="A2479" i="1"/>
  <c r="B2479" i="1"/>
  <c r="G2479" i="1"/>
  <c r="H2479" i="1"/>
  <c r="J2479" i="1"/>
  <c r="A2480" i="1"/>
  <c r="B2480" i="1"/>
  <c r="G2480" i="1"/>
  <c r="H2480" i="1"/>
  <c r="J2480" i="1"/>
  <c r="A2481" i="1"/>
  <c r="B2481" i="1"/>
  <c r="G2481" i="1"/>
  <c r="H2481" i="1"/>
  <c r="J2481" i="1"/>
  <c r="A2482" i="1"/>
  <c r="B2482" i="1"/>
  <c r="G2482" i="1"/>
  <c r="H2482" i="1"/>
  <c r="J2482" i="1"/>
  <c r="A2483" i="1"/>
  <c r="B2483" i="1"/>
  <c r="G2483" i="1"/>
  <c r="H2483" i="1"/>
  <c r="J2483" i="1"/>
  <c r="A2484" i="1"/>
  <c r="B2484" i="1"/>
  <c r="G2484" i="1"/>
  <c r="H2484" i="1"/>
  <c r="J2484" i="1"/>
  <c r="A2485" i="1"/>
  <c r="B2485" i="1"/>
  <c r="G2485" i="1"/>
  <c r="H2485" i="1"/>
  <c r="J2485" i="1"/>
  <c r="A2486" i="1"/>
  <c r="B2486" i="1"/>
  <c r="G2486" i="1"/>
  <c r="H2486" i="1"/>
  <c r="J2486" i="1"/>
  <c r="A2487" i="1"/>
  <c r="B2487" i="1"/>
  <c r="G2487" i="1"/>
  <c r="H2487" i="1"/>
  <c r="J2487" i="1"/>
  <c r="A2488" i="1"/>
  <c r="B2488" i="1"/>
  <c r="G2488" i="1"/>
  <c r="H2488" i="1"/>
  <c r="J2488" i="1"/>
  <c r="A2489" i="1"/>
  <c r="B2489" i="1"/>
  <c r="G2489" i="1"/>
  <c r="H2489" i="1"/>
  <c r="J2489" i="1"/>
  <c r="A2490" i="1"/>
  <c r="B2490" i="1"/>
  <c r="G2490" i="1"/>
  <c r="H2490" i="1"/>
  <c r="J2490" i="1"/>
  <c r="A2491" i="1"/>
  <c r="B2491" i="1"/>
  <c r="G2491" i="1"/>
  <c r="H2491" i="1"/>
  <c r="J2491" i="1"/>
  <c r="A2492" i="1"/>
  <c r="B2492" i="1"/>
  <c r="G2492" i="1"/>
  <c r="H2492" i="1"/>
  <c r="J2492" i="1"/>
  <c r="A2493" i="1"/>
  <c r="B2493" i="1"/>
  <c r="G2493" i="1"/>
  <c r="H2493" i="1"/>
  <c r="J2493" i="1"/>
  <c r="A2494" i="1"/>
  <c r="B2494" i="1"/>
  <c r="G2494" i="1"/>
  <c r="H2494" i="1"/>
  <c r="J2494" i="1"/>
  <c r="A2495" i="1"/>
  <c r="B2495" i="1"/>
  <c r="G2495" i="1"/>
  <c r="H2495" i="1"/>
  <c r="J2495" i="1"/>
  <c r="A2496" i="1"/>
  <c r="B2496" i="1"/>
  <c r="G2496" i="1"/>
  <c r="H2496" i="1"/>
  <c r="J2496" i="1"/>
  <c r="A2497" i="1"/>
  <c r="B2497" i="1"/>
  <c r="G2497" i="1"/>
  <c r="H2497" i="1"/>
  <c r="J2497" i="1"/>
  <c r="A2498" i="1"/>
  <c r="B2498" i="1"/>
  <c r="G2498" i="1"/>
  <c r="H2498" i="1"/>
  <c r="J2498" i="1"/>
  <c r="A2499" i="1"/>
  <c r="B2499" i="1"/>
  <c r="G2499" i="1"/>
  <c r="H2499" i="1"/>
  <c r="J2499" i="1"/>
  <c r="A2500" i="1"/>
  <c r="B2500" i="1"/>
  <c r="G2500" i="1"/>
  <c r="H2500" i="1"/>
  <c r="J2500" i="1"/>
  <c r="A2501" i="1"/>
  <c r="B2501" i="1"/>
  <c r="G2501" i="1"/>
  <c r="H2501" i="1"/>
  <c r="J2501" i="1"/>
  <c r="A2502" i="1"/>
  <c r="B2502" i="1"/>
  <c r="G2502" i="1"/>
  <c r="H2502" i="1"/>
  <c r="J2502" i="1"/>
  <c r="A2503" i="1"/>
  <c r="B2503" i="1"/>
  <c r="G2503" i="1"/>
  <c r="H2503" i="1"/>
  <c r="J2503" i="1"/>
  <c r="A2504" i="1"/>
  <c r="B2504" i="1"/>
  <c r="G2504" i="1"/>
  <c r="H2504" i="1"/>
  <c r="J2504" i="1"/>
  <c r="A2505" i="1"/>
  <c r="B2505" i="1"/>
  <c r="G2505" i="1"/>
  <c r="H2505" i="1"/>
  <c r="J2505" i="1"/>
  <c r="A2506" i="1"/>
  <c r="B2506" i="1"/>
  <c r="G2506" i="1"/>
  <c r="H2506" i="1"/>
  <c r="J2506" i="1"/>
  <c r="A2507" i="1"/>
  <c r="B2507" i="1"/>
  <c r="G2507" i="1"/>
  <c r="H2507" i="1"/>
  <c r="J2507" i="1"/>
  <c r="A2508" i="1"/>
  <c r="B2508" i="1"/>
  <c r="G2508" i="1"/>
  <c r="H2508" i="1"/>
  <c r="J2508" i="1"/>
  <c r="A2509" i="1"/>
  <c r="B2509" i="1"/>
  <c r="G2509" i="1"/>
  <c r="H2509" i="1"/>
  <c r="J2509" i="1"/>
  <c r="A2510" i="1"/>
  <c r="B2510" i="1"/>
  <c r="G2510" i="1"/>
  <c r="H2510" i="1"/>
  <c r="J2510" i="1"/>
  <c r="A2511" i="1"/>
  <c r="B2511" i="1"/>
  <c r="G2511" i="1"/>
  <c r="H2511" i="1"/>
  <c r="J2511" i="1"/>
  <c r="A2512" i="1"/>
  <c r="B2512" i="1"/>
  <c r="G2512" i="1"/>
  <c r="H2512" i="1"/>
  <c r="J2512" i="1"/>
  <c r="A2513" i="1"/>
  <c r="B2513" i="1"/>
  <c r="G2513" i="1"/>
  <c r="H2513" i="1"/>
  <c r="J2513" i="1"/>
  <c r="A2514" i="1"/>
  <c r="B2514" i="1"/>
  <c r="G2514" i="1"/>
  <c r="H2514" i="1"/>
  <c r="J2514" i="1"/>
  <c r="A2515" i="1"/>
  <c r="B2515" i="1"/>
  <c r="G2515" i="1"/>
  <c r="H2515" i="1"/>
  <c r="J2515" i="1"/>
  <c r="A2516" i="1"/>
  <c r="B2516" i="1"/>
  <c r="G2516" i="1"/>
  <c r="H2516" i="1"/>
  <c r="J2516" i="1"/>
  <c r="A2517" i="1"/>
  <c r="B2517" i="1"/>
  <c r="G2517" i="1"/>
  <c r="H2517" i="1"/>
  <c r="J2517" i="1"/>
  <c r="A2518" i="1"/>
  <c r="B2518" i="1"/>
  <c r="G2518" i="1"/>
  <c r="H2518" i="1"/>
  <c r="J2518" i="1"/>
  <c r="A2519" i="1"/>
  <c r="B2519" i="1"/>
  <c r="G2519" i="1"/>
  <c r="H2519" i="1"/>
  <c r="J2519" i="1"/>
  <c r="A2520" i="1"/>
  <c r="B2520" i="1"/>
  <c r="G2520" i="1"/>
  <c r="H2520" i="1"/>
  <c r="J2520" i="1"/>
  <c r="A2521" i="1"/>
  <c r="B2521" i="1"/>
  <c r="G2521" i="1"/>
  <c r="H2521" i="1"/>
  <c r="J2521" i="1"/>
  <c r="A2522" i="1"/>
  <c r="B2522" i="1"/>
  <c r="G2522" i="1"/>
  <c r="H2522" i="1"/>
  <c r="J2522" i="1"/>
  <c r="A2523" i="1"/>
  <c r="B2523" i="1"/>
  <c r="G2523" i="1"/>
  <c r="H2523" i="1"/>
  <c r="J2523" i="1"/>
  <c r="A2524" i="1"/>
  <c r="B2524" i="1"/>
  <c r="G2524" i="1"/>
  <c r="H2524" i="1"/>
  <c r="J2524" i="1"/>
  <c r="A2525" i="1"/>
  <c r="B2525" i="1"/>
  <c r="G2525" i="1"/>
  <c r="H2525" i="1"/>
  <c r="J2525" i="1"/>
  <c r="A2526" i="1"/>
  <c r="B2526" i="1"/>
  <c r="G2526" i="1"/>
  <c r="H2526" i="1"/>
  <c r="J2526" i="1"/>
  <c r="A2527" i="1"/>
  <c r="B2527" i="1"/>
  <c r="G2527" i="1"/>
  <c r="H2527" i="1"/>
  <c r="J2527" i="1"/>
  <c r="A2528" i="1"/>
  <c r="B2528" i="1"/>
  <c r="G2528" i="1"/>
  <c r="H2528" i="1"/>
  <c r="J2528" i="1"/>
  <c r="A2529" i="1"/>
  <c r="B2529" i="1"/>
  <c r="G2529" i="1"/>
  <c r="H2529" i="1"/>
  <c r="J2529" i="1"/>
  <c r="A2530" i="1"/>
  <c r="B2530" i="1"/>
  <c r="G2530" i="1"/>
  <c r="H2530" i="1"/>
  <c r="J2530" i="1"/>
  <c r="A2531" i="1"/>
  <c r="B2531" i="1"/>
  <c r="G2531" i="1"/>
  <c r="H2531" i="1"/>
  <c r="J2531" i="1"/>
  <c r="A2532" i="1"/>
  <c r="B2532" i="1"/>
  <c r="G2532" i="1"/>
  <c r="H2532" i="1"/>
  <c r="J2532" i="1"/>
  <c r="A2533" i="1"/>
  <c r="B2533" i="1"/>
  <c r="G2533" i="1"/>
  <c r="H2533" i="1"/>
  <c r="J2533" i="1"/>
  <c r="A2534" i="1"/>
  <c r="B2534" i="1"/>
  <c r="G2534" i="1"/>
  <c r="H2534" i="1"/>
  <c r="J2534" i="1"/>
  <c r="A2535" i="1"/>
  <c r="B2535" i="1"/>
  <c r="G2535" i="1"/>
  <c r="H2535" i="1"/>
  <c r="J2535" i="1"/>
  <c r="A2536" i="1"/>
  <c r="B2536" i="1"/>
  <c r="G2536" i="1"/>
  <c r="H2536" i="1"/>
  <c r="J2536" i="1"/>
  <c r="A2537" i="1"/>
  <c r="B2537" i="1"/>
  <c r="G2537" i="1"/>
  <c r="H2537" i="1"/>
  <c r="J2537" i="1"/>
  <c r="A2538" i="1"/>
  <c r="B2538" i="1"/>
  <c r="G2538" i="1"/>
  <c r="H2538" i="1"/>
  <c r="J2538" i="1"/>
  <c r="A2539" i="1"/>
  <c r="B2539" i="1"/>
  <c r="G2539" i="1"/>
  <c r="H2539" i="1"/>
  <c r="J2539" i="1"/>
  <c r="A2540" i="1"/>
  <c r="B2540" i="1"/>
  <c r="G2540" i="1"/>
  <c r="H2540" i="1"/>
  <c r="J2540" i="1"/>
  <c r="A2541" i="1"/>
  <c r="B2541" i="1"/>
  <c r="G2541" i="1"/>
  <c r="H2541" i="1"/>
  <c r="J2541" i="1"/>
  <c r="A2542" i="1"/>
  <c r="B2542" i="1"/>
  <c r="G2542" i="1"/>
  <c r="H2542" i="1"/>
  <c r="J2542" i="1"/>
  <c r="A2543" i="1"/>
  <c r="B2543" i="1"/>
  <c r="G2543" i="1"/>
  <c r="H2543" i="1"/>
  <c r="J2543" i="1"/>
  <c r="A2544" i="1"/>
  <c r="B2544" i="1"/>
  <c r="G2544" i="1"/>
  <c r="H2544" i="1"/>
  <c r="J2544" i="1"/>
  <c r="A2545" i="1"/>
  <c r="B2545" i="1"/>
  <c r="G2545" i="1"/>
  <c r="H2545" i="1"/>
  <c r="J2545" i="1"/>
  <c r="A2546" i="1"/>
  <c r="B2546" i="1"/>
  <c r="G2546" i="1"/>
  <c r="H2546" i="1"/>
  <c r="J2546" i="1"/>
  <c r="A2547" i="1"/>
  <c r="B2547" i="1"/>
  <c r="G2547" i="1"/>
  <c r="H2547" i="1"/>
  <c r="J2547" i="1"/>
  <c r="A2548" i="1"/>
  <c r="B2548" i="1"/>
  <c r="G2548" i="1"/>
  <c r="H2548" i="1"/>
  <c r="J2548" i="1"/>
  <c r="A2549" i="1"/>
  <c r="B2549" i="1"/>
  <c r="G2549" i="1"/>
  <c r="H2549" i="1"/>
  <c r="J2549" i="1"/>
  <c r="A2550" i="1"/>
  <c r="B2550" i="1"/>
  <c r="G2550" i="1"/>
  <c r="H2550" i="1"/>
  <c r="J2550" i="1"/>
  <c r="A2551" i="1"/>
  <c r="B2551" i="1"/>
  <c r="G2551" i="1"/>
  <c r="H2551" i="1"/>
  <c r="J2551" i="1"/>
  <c r="A2552" i="1"/>
  <c r="B2552" i="1"/>
  <c r="G2552" i="1"/>
  <c r="H2552" i="1"/>
  <c r="J2552" i="1"/>
  <c r="A2553" i="1"/>
  <c r="B2553" i="1"/>
  <c r="G2553" i="1"/>
  <c r="H2553" i="1"/>
  <c r="J2553" i="1"/>
  <c r="A2554" i="1"/>
  <c r="B2554" i="1"/>
  <c r="G2554" i="1"/>
  <c r="H2554" i="1"/>
  <c r="J2554" i="1"/>
  <c r="A2555" i="1"/>
  <c r="B2555" i="1"/>
  <c r="G2555" i="1"/>
  <c r="H2555" i="1"/>
  <c r="J2555" i="1"/>
  <c r="A2556" i="1"/>
  <c r="B2556" i="1"/>
  <c r="G2556" i="1"/>
  <c r="H2556" i="1"/>
  <c r="J2556" i="1"/>
  <c r="A2557" i="1"/>
  <c r="B2557" i="1"/>
  <c r="G2557" i="1"/>
  <c r="H2557" i="1"/>
  <c r="J2557" i="1"/>
  <c r="A2558" i="1"/>
  <c r="B2558" i="1"/>
  <c r="G2558" i="1"/>
  <c r="H2558" i="1"/>
  <c r="J2558" i="1"/>
  <c r="A2559" i="1"/>
  <c r="B2559" i="1"/>
  <c r="G2559" i="1"/>
  <c r="H2559" i="1"/>
  <c r="J2559" i="1"/>
  <c r="A2560" i="1"/>
  <c r="B2560" i="1"/>
  <c r="G2560" i="1"/>
  <c r="H2560" i="1"/>
  <c r="J2560" i="1"/>
  <c r="A2561" i="1"/>
  <c r="B2561" i="1"/>
  <c r="G2561" i="1"/>
  <c r="H2561" i="1"/>
  <c r="J2561" i="1"/>
  <c r="A2562" i="1"/>
  <c r="B2562" i="1"/>
  <c r="G2562" i="1"/>
  <c r="H2562" i="1"/>
  <c r="J2562" i="1"/>
  <c r="A2563" i="1"/>
  <c r="B2563" i="1"/>
  <c r="G2563" i="1"/>
  <c r="H2563" i="1"/>
  <c r="J2563" i="1"/>
  <c r="A2564" i="1"/>
  <c r="B2564" i="1"/>
  <c r="G2564" i="1"/>
  <c r="H2564" i="1"/>
  <c r="J2564" i="1"/>
  <c r="A2565" i="1"/>
  <c r="B2565" i="1"/>
  <c r="G2565" i="1"/>
  <c r="H2565" i="1"/>
  <c r="J2565" i="1"/>
  <c r="A2566" i="1"/>
  <c r="B2566" i="1"/>
  <c r="G2566" i="1"/>
  <c r="H2566" i="1"/>
  <c r="J2566" i="1"/>
  <c r="A2567" i="1"/>
  <c r="B2567" i="1"/>
  <c r="G2567" i="1"/>
  <c r="H2567" i="1"/>
  <c r="J2567" i="1"/>
  <c r="A2568" i="1"/>
  <c r="B2568" i="1"/>
  <c r="G2568" i="1"/>
  <c r="H2568" i="1"/>
  <c r="J2568" i="1"/>
  <c r="A2569" i="1"/>
  <c r="B2569" i="1"/>
  <c r="G2569" i="1"/>
  <c r="H2569" i="1"/>
  <c r="J2569" i="1"/>
  <c r="A2570" i="1"/>
  <c r="B2570" i="1"/>
  <c r="G2570" i="1"/>
  <c r="H2570" i="1"/>
  <c r="J2570" i="1"/>
  <c r="A2571" i="1"/>
  <c r="B2571" i="1"/>
  <c r="G2571" i="1"/>
  <c r="H2571" i="1"/>
  <c r="J2571" i="1"/>
  <c r="A2572" i="1"/>
  <c r="B2572" i="1"/>
  <c r="G2572" i="1"/>
  <c r="H2572" i="1"/>
  <c r="J2572" i="1"/>
  <c r="A2573" i="1"/>
  <c r="B2573" i="1"/>
  <c r="G2573" i="1"/>
  <c r="H2573" i="1"/>
  <c r="J2573" i="1"/>
  <c r="A2574" i="1"/>
  <c r="B2574" i="1"/>
  <c r="G2574" i="1"/>
  <c r="H2574" i="1"/>
  <c r="J2574" i="1"/>
  <c r="A2575" i="1"/>
  <c r="B2575" i="1"/>
  <c r="G2575" i="1"/>
  <c r="H2575" i="1"/>
  <c r="J2575" i="1"/>
  <c r="A2576" i="1"/>
  <c r="B2576" i="1"/>
  <c r="G2576" i="1"/>
  <c r="H2576" i="1"/>
  <c r="J2576" i="1"/>
  <c r="A2577" i="1"/>
  <c r="B2577" i="1"/>
  <c r="G2577" i="1"/>
  <c r="H2577" i="1"/>
  <c r="J2577" i="1"/>
  <c r="A2578" i="1"/>
  <c r="B2578" i="1"/>
  <c r="G2578" i="1"/>
  <c r="H2578" i="1"/>
  <c r="J2578" i="1"/>
  <c r="A2579" i="1"/>
  <c r="B2579" i="1"/>
  <c r="G2579" i="1"/>
  <c r="H2579" i="1"/>
  <c r="J2579" i="1"/>
  <c r="A2580" i="1"/>
  <c r="B2580" i="1"/>
  <c r="G2580" i="1"/>
  <c r="H2580" i="1"/>
  <c r="J2580" i="1"/>
  <c r="A2581" i="1"/>
  <c r="B2581" i="1"/>
  <c r="G2581" i="1"/>
  <c r="H2581" i="1"/>
  <c r="J2581" i="1"/>
  <c r="A2582" i="1"/>
  <c r="B2582" i="1"/>
  <c r="G2582" i="1"/>
  <c r="H2582" i="1"/>
  <c r="J2582" i="1"/>
  <c r="A2583" i="1"/>
  <c r="B2583" i="1"/>
  <c r="G2583" i="1"/>
  <c r="H2583" i="1"/>
  <c r="J2583" i="1"/>
  <c r="A2584" i="1"/>
  <c r="B2584" i="1"/>
  <c r="G2584" i="1"/>
  <c r="H2584" i="1"/>
  <c r="J2584" i="1"/>
  <c r="A2585" i="1"/>
  <c r="B2585" i="1"/>
  <c r="G2585" i="1"/>
  <c r="H2585" i="1"/>
  <c r="J2585" i="1"/>
  <c r="A2586" i="1"/>
  <c r="B2586" i="1"/>
  <c r="G2586" i="1"/>
  <c r="H2586" i="1"/>
  <c r="J2586" i="1"/>
  <c r="A2587" i="1"/>
  <c r="B2587" i="1"/>
  <c r="G2587" i="1"/>
  <c r="H2587" i="1"/>
  <c r="J2587" i="1"/>
  <c r="A2588" i="1"/>
  <c r="B2588" i="1"/>
  <c r="G2588" i="1"/>
  <c r="H2588" i="1"/>
  <c r="J2588" i="1"/>
  <c r="A2589" i="1"/>
  <c r="B2589" i="1"/>
  <c r="G2589" i="1"/>
  <c r="H2589" i="1"/>
  <c r="J2589" i="1"/>
  <c r="A2590" i="1"/>
  <c r="B2590" i="1"/>
  <c r="G2590" i="1"/>
  <c r="H2590" i="1"/>
  <c r="J2590" i="1"/>
  <c r="A2591" i="1"/>
  <c r="B2591" i="1"/>
  <c r="G2591" i="1"/>
  <c r="H2591" i="1"/>
  <c r="J2591" i="1"/>
  <c r="A2592" i="1"/>
  <c r="B2592" i="1"/>
  <c r="G2592" i="1"/>
  <c r="H2592" i="1"/>
  <c r="J2592" i="1"/>
  <c r="A2593" i="1"/>
  <c r="B2593" i="1"/>
  <c r="G2593" i="1"/>
  <c r="H2593" i="1"/>
  <c r="J2593" i="1"/>
  <c r="A2594" i="1"/>
  <c r="B2594" i="1"/>
  <c r="G2594" i="1"/>
  <c r="H2594" i="1"/>
  <c r="J2594" i="1"/>
  <c r="A2595" i="1"/>
  <c r="B2595" i="1"/>
  <c r="G2595" i="1"/>
  <c r="H2595" i="1"/>
  <c r="J2595" i="1"/>
  <c r="A2596" i="1"/>
  <c r="B2596" i="1"/>
  <c r="G2596" i="1"/>
  <c r="H2596" i="1"/>
  <c r="J2596" i="1"/>
  <c r="A2597" i="1"/>
  <c r="B2597" i="1"/>
  <c r="G2597" i="1"/>
  <c r="H2597" i="1"/>
  <c r="J2597" i="1"/>
  <c r="A2598" i="1"/>
  <c r="B2598" i="1"/>
  <c r="G2598" i="1"/>
  <c r="H2598" i="1"/>
  <c r="J2598" i="1"/>
  <c r="A2599" i="1"/>
  <c r="B2599" i="1"/>
  <c r="G2599" i="1"/>
  <c r="H2599" i="1"/>
  <c r="J2599" i="1"/>
  <c r="A2600" i="1"/>
  <c r="B2600" i="1"/>
  <c r="G2600" i="1"/>
  <c r="H2600" i="1"/>
  <c r="J2600" i="1"/>
  <c r="A2601" i="1"/>
  <c r="B2601" i="1"/>
  <c r="G2601" i="1"/>
  <c r="H2601" i="1"/>
  <c r="J2601" i="1"/>
  <c r="A2602" i="1"/>
  <c r="B2602" i="1"/>
  <c r="G2602" i="1"/>
  <c r="H2602" i="1"/>
  <c r="J2602" i="1"/>
  <c r="A2603" i="1"/>
  <c r="B2603" i="1"/>
  <c r="G2603" i="1"/>
  <c r="H2603" i="1"/>
  <c r="J2603" i="1"/>
  <c r="A2604" i="1"/>
  <c r="B2604" i="1"/>
  <c r="G2604" i="1"/>
  <c r="H2604" i="1"/>
  <c r="J2604" i="1"/>
  <c r="A2605" i="1"/>
  <c r="B2605" i="1"/>
  <c r="G2605" i="1"/>
  <c r="H2605" i="1"/>
  <c r="J2605" i="1"/>
  <c r="A2606" i="1"/>
  <c r="B2606" i="1"/>
  <c r="G2606" i="1"/>
  <c r="H2606" i="1"/>
  <c r="J2606" i="1"/>
  <c r="A2607" i="1"/>
  <c r="B2607" i="1"/>
  <c r="G2607" i="1"/>
  <c r="H2607" i="1"/>
  <c r="J2607" i="1"/>
  <c r="A2608" i="1"/>
  <c r="B2608" i="1"/>
  <c r="G2608" i="1"/>
  <c r="H2608" i="1"/>
  <c r="J2608" i="1"/>
  <c r="A2609" i="1"/>
  <c r="B2609" i="1"/>
  <c r="G2609" i="1"/>
  <c r="H2609" i="1"/>
  <c r="J2609" i="1"/>
  <c r="A2610" i="1"/>
  <c r="B2610" i="1"/>
  <c r="G2610" i="1"/>
  <c r="H2610" i="1"/>
  <c r="J2610" i="1"/>
  <c r="A2611" i="1"/>
  <c r="B2611" i="1"/>
  <c r="G2611" i="1"/>
  <c r="H2611" i="1"/>
  <c r="J2611" i="1"/>
  <c r="A2612" i="1"/>
  <c r="B2612" i="1"/>
  <c r="G2612" i="1"/>
  <c r="H2612" i="1"/>
  <c r="J2612" i="1"/>
  <c r="A2613" i="1"/>
  <c r="B2613" i="1"/>
  <c r="G2613" i="1"/>
  <c r="H2613" i="1"/>
  <c r="J2613" i="1"/>
  <c r="A2614" i="1"/>
  <c r="B2614" i="1"/>
  <c r="G2614" i="1"/>
  <c r="H2614" i="1"/>
  <c r="J2614" i="1"/>
  <c r="A2615" i="1"/>
  <c r="B2615" i="1"/>
  <c r="G2615" i="1"/>
  <c r="H2615" i="1"/>
  <c r="J2615" i="1"/>
  <c r="A2616" i="1"/>
  <c r="B2616" i="1"/>
  <c r="G2616" i="1"/>
  <c r="H2616" i="1"/>
  <c r="J2616" i="1"/>
  <c r="A2617" i="1"/>
  <c r="B2617" i="1"/>
  <c r="G2617" i="1"/>
  <c r="H2617" i="1"/>
  <c r="J2617" i="1"/>
  <c r="A2618" i="1"/>
  <c r="B2618" i="1"/>
  <c r="G2618" i="1"/>
  <c r="H2618" i="1"/>
  <c r="J2618" i="1"/>
  <c r="A2619" i="1"/>
  <c r="B2619" i="1"/>
  <c r="G2619" i="1"/>
  <c r="H2619" i="1"/>
  <c r="J2619" i="1"/>
  <c r="A2620" i="1"/>
  <c r="B2620" i="1"/>
  <c r="G2620" i="1"/>
  <c r="H2620" i="1"/>
  <c r="J2620" i="1"/>
  <c r="A2621" i="1"/>
  <c r="B2621" i="1"/>
  <c r="G2621" i="1"/>
  <c r="H2621" i="1"/>
  <c r="J2621" i="1"/>
  <c r="A2622" i="1"/>
  <c r="B2622" i="1"/>
  <c r="G2622" i="1"/>
  <c r="H2622" i="1"/>
  <c r="J2622" i="1"/>
  <c r="A2623" i="1"/>
  <c r="B2623" i="1"/>
  <c r="G2623" i="1"/>
  <c r="H2623" i="1"/>
  <c r="J2623" i="1"/>
  <c r="A2624" i="1"/>
  <c r="B2624" i="1"/>
  <c r="G2624" i="1"/>
  <c r="H2624" i="1"/>
  <c r="J2624" i="1"/>
  <c r="A2625" i="1"/>
  <c r="B2625" i="1"/>
  <c r="G2625" i="1"/>
  <c r="H2625" i="1"/>
  <c r="J2625" i="1"/>
  <c r="A2626" i="1"/>
  <c r="B2626" i="1"/>
  <c r="G2626" i="1"/>
  <c r="H2626" i="1"/>
  <c r="J2626" i="1"/>
  <c r="A2627" i="1"/>
  <c r="B2627" i="1"/>
  <c r="G2627" i="1"/>
  <c r="H2627" i="1"/>
  <c r="J2627" i="1"/>
  <c r="A2628" i="1"/>
  <c r="B2628" i="1"/>
  <c r="G2628" i="1"/>
  <c r="H2628" i="1"/>
  <c r="J2628" i="1"/>
  <c r="A2629" i="1"/>
  <c r="B2629" i="1"/>
  <c r="G2629" i="1"/>
  <c r="H2629" i="1"/>
  <c r="J2629" i="1"/>
  <c r="A2630" i="1"/>
  <c r="B2630" i="1"/>
  <c r="G2630" i="1"/>
  <c r="H2630" i="1"/>
  <c r="J2630" i="1"/>
  <c r="A2631" i="1"/>
  <c r="B2631" i="1"/>
  <c r="G2631" i="1"/>
  <c r="H2631" i="1"/>
  <c r="J2631" i="1"/>
  <c r="A2632" i="1"/>
  <c r="B2632" i="1"/>
  <c r="G2632" i="1"/>
  <c r="H2632" i="1"/>
  <c r="J2632" i="1"/>
  <c r="A2633" i="1"/>
  <c r="B2633" i="1"/>
  <c r="G2633" i="1"/>
  <c r="H2633" i="1"/>
  <c r="J2633" i="1"/>
  <c r="A2634" i="1"/>
  <c r="B2634" i="1"/>
  <c r="G2634" i="1"/>
  <c r="H2634" i="1"/>
  <c r="J2634" i="1"/>
  <c r="A2635" i="1"/>
  <c r="B2635" i="1"/>
  <c r="G2635" i="1"/>
  <c r="H2635" i="1"/>
  <c r="J2635" i="1"/>
  <c r="A2636" i="1"/>
  <c r="B2636" i="1"/>
  <c r="G2636" i="1"/>
  <c r="H2636" i="1"/>
  <c r="J2636" i="1"/>
  <c r="A2637" i="1"/>
  <c r="B2637" i="1"/>
  <c r="G2637" i="1"/>
  <c r="H2637" i="1"/>
  <c r="J2637" i="1"/>
  <c r="A2638" i="1"/>
  <c r="B2638" i="1"/>
  <c r="G2638" i="1"/>
  <c r="H2638" i="1"/>
  <c r="J2638" i="1"/>
  <c r="A2639" i="1"/>
  <c r="B2639" i="1"/>
  <c r="G2639" i="1"/>
  <c r="H2639" i="1"/>
  <c r="J2639" i="1"/>
  <c r="A2640" i="1"/>
  <c r="B2640" i="1"/>
  <c r="G2640" i="1"/>
  <c r="H2640" i="1"/>
  <c r="J2640" i="1"/>
  <c r="A2641" i="1"/>
  <c r="B2641" i="1"/>
  <c r="G2641" i="1"/>
  <c r="H2641" i="1"/>
  <c r="J2641" i="1"/>
  <c r="A2642" i="1"/>
  <c r="B2642" i="1"/>
  <c r="G2642" i="1"/>
  <c r="H2642" i="1"/>
  <c r="J2642" i="1"/>
  <c r="A2643" i="1"/>
  <c r="B2643" i="1"/>
  <c r="G2643" i="1"/>
  <c r="H2643" i="1"/>
  <c r="J2643" i="1"/>
  <c r="A2644" i="1"/>
  <c r="B2644" i="1"/>
  <c r="G2644" i="1"/>
  <c r="H2644" i="1"/>
  <c r="J2644" i="1"/>
  <c r="A2645" i="1"/>
  <c r="B2645" i="1"/>
  <c r="G2645" i="1"/>
  <c r="H2645" i="1"/>
  <c r="J2645" i="1"/>
  <c r="A2646" i="1"/>
  <c r="B2646" i="1"/>
  <c r="G2646" i="1"/>
  <c r="H2646" i="1"/>
  <c r="J2646" i="1"/>
  <c r="A2647" i="1"/>
  <c r="B2647" i="1"/>
  <c r="G2647" i="1"/>
  <c r="H2647" i="1"/>
  <c r="J2647" i="1"/>
  <c r="A2648" i="1"/>
  <c r="B2648" i="1"/>
  <c r="G2648" i="1"/>
  <c r="H2648" i="1"/>
  <c r="J2648" i="1"/>
  <c r="A2649" i="1"/>
  <c r="B2649" i="1"/>
  <c r="G2649" i="1"/>
  <c r="H2649" i="1"/>
  <c r="J2649" i="1"/>
  <c r="A2650" i="1"/>
  <c r="B2650" i="1"/>
  <c r="G2650" i="1"/>
  <c r="H2650" i="1"/>
  <c r="J2650" i="1"/>
  <c r="A2651" i="1"/>
  <c r="B2651" i="1"/>
  <c r="G2651" i="1"/>
  <c r="H2651" i="1"/>
  <c r="J2651" i="1"/>
  <c r="A2652" i="1"/>
  <c r="B2652" i="1"/>
  <c r="G2652" i="1"/>
  <c r="H2652" i="1"/>
  <c r="J2652" i="1"/>
  <c r="A2653" i="1"/>
  <c r="B2653" i="1"/>
  <c r="G2653" i="1"/>
  <c r="H2653" i="1"/>
  <c r="J2653" i="1"/>
  <c r="A2654" i="1"/>
  <c r="B2654" i="1"/>
  <c r="G2654" i="1"/>
  <c r="H2654" i="1"/>
  <c r="J2654" i="1"/>
  <c r="A2655" i="1"/>
  <c r="B2655" i="1"/>
  <c r="G2655" i="1"/>
  <c r="H2655" i="1"/>
  <c r="J2655" i="1"/>
  <c r="A2656" i="1"/>
  <c r="B2656" i="1"/>
  <c r="G2656" i="1"/>
  <c r="H2656" i="1"/>
  <c r="J2656" i="1"/>
  <c r="A2657" i="1"/>
  <c r="B2657" i="1"/>
  <c r="G2657" i="1"/>
  <c r="H2657" i="1"/>
  <c r="J2657" i="1"/>
  <c r="A2658" i="1"/>
  <c r="B2658" i="1"/>
  <c r="G2658" i="1"/>
  <c r="H2658" i="1"/>
  <c r="J2658" i="1"/>
  <c r="A2659" i="1"/>
  <c r="B2659" i="1"/>
  <c r="G2659" i="1"/>
  <c r="H2659" i="1"/>
  <c r="J2659" i="1"/>
  <c r="A2660" i="1"/>
  <c r="B2660" i="1"/>
  <c r="G2660" i="1"/>
  <c r="H2660" i="1"/>
  <c r="J2660" i="1"/>
  <c r="A2661" i="1"/>
  <c r="B2661" i="1"/>
  <c r="G2661" i="1"/>
  <c r="H2661" i="1"/>
  <c r="J2661" i="1"/>
  <c r="A2662" i="1"/>
  <c r="B2662" i="1"/>
  <c r="G2662" i="1"/>
  <c r="H2662" i="1"/>
  <c r="J2662" i="1"/>
  <c r="A2663" i="1"/>
  <c r="B2663" i="1"/>
  <c r="G2663" i="1"/>
  <c r="H2663" i="1"/>
  <c r="J2663" i="1"/>
  <c r="A2664" i="1"/>
  <c r="B2664" i="1"/>
  <c r="G2664" i="1"/>
  <c r="H2664" i="1"/>
  <c r="J2664" i="1"/>
  <c r="A2665" i="1"/>
  <c r="B2665" i="1"/>
  <c r="G2665" i="1"/>
  <c r="H2665" i="1"/>
  <c r="J2665" i="1"/>
  <c r="A2666" i="1"/>
  <c r="B2666" i="1"/>
  <c r="G2666" i="1"/>
  <c r="H2666" i="1"/>
  <c r="J2666" i="1"/>
  <c r="A2667" i="1"/>
  <c r="B2667" i="1"/>
  <c r="G2667" i="1"/>
  <c r="H2667" i="1"/>
  <c r="J2667" i="1"/>
  <c r="A2668" i="1"/>
  <c r="B2668" i="1"/>
  <c r="G2668" i="1"/>
  <c r="H2668" i="1"/>
  <c r="J2668" i="1"/>
  <c r="A2669" i="1"/>
  <c r="B2669" i="1"/>
  <c r="G2669" i="1"/>
  <c r="H2669" i="1"/>
  <c r="J2669" i="1"/>
  <c r="A2670" i="1"/>
  <c r="B2670" i="1"/>
  <c r="G2670" i="1"/>
  <c r="H2670" i="1"/>
  <c r="J2670" i="1"/>
  <c r="A2671" i="1"/>
  <c r="B2671" i="1"/>
  <c r="G2671" i="1"/>
  <c r="H2671" i="1"/>
  <c r="J2671" i="1"/>
  <c r="A2672" i="1"/>
  <c r="B2672" i="1"/>
  <c r="G2672" i="1"/>
  <c r="H2672" i="1"/>
  <c r="J2672" i="1"/>
  <c r="A2673" i="1"/>
  <c r="B2673" i="1"/>
  <c r="G2673" i="1"/>
  <c r="H2673" i="1"/>
  <c r="J2673" i="1"/>
  <c r="A2674" i="1"/>
  <c r="B2674" i="1"/>
  <c r="G2674" i="1"/>
  <c r="H2674" i="1"/>
  <c r="J2674" i="1"/>
  <c r="A2675" i="1"/>
  <c r="B2675" i="1"/>
  <c r="G2675" i="1"/>
  <c r="H2675" i="1"/>
  <c r="J2675" i="1"/>
  <c r="A2676" i="1"/>
  <c r="B2676" i="1"/>
  <c r="G2676" i="1"/>
  <c r="H2676" i="1"/>
  <c r="J2676" i="1"/>
  <c r="A2677" i="1"/>
  <c r="B2677" i="1"/>
  <c r="G2677" i="1"/>
  <c r="H2677" i="1"/>
  <c r="J2677" i="1"/>
  <c r="A2678" i="1"/>
  <c r="B2678" i="1"/>
  <c r="G2678" i="1"/>
  <c r="H2678" i="1"/>
  <c r="J2678" i="1"/>
  <c r="A2679" i="1"/>
  <c r="B2679" i="1"/>
  <c r="G2679" i="1"/>
  <c r="H2679" i="1"/>
  <c r="J2679" i="1"/>
  <c r="A2680" i="1"/>
  <c r="B2680" i="1"/>
  <c r="G2680" i="1"/>
  <c r="H2680" i="1"/>
  <c r="J2680" i="1"/>
  <c r="A2681" i="1"/>
  <c r="B2681" i="1"/>
  <c r="G2681" i="1"/>
  <c r="H2681" i="1"/>
  <c r="J2681" i="1"/>
  <c r="A2682" i="1"/>
  <c r="B2682" i="1"/>
  <c r="G2682" i="1"/>
  <c r="H2682" i="1"/>
  <c r="J2682" i="1"/>
  <c r="A2683" i="1"/>
  <c r="B2683" i="1"/>
  <c r="G2683" i="1"/>
  <c r="H2683" i="1"/>
  <c r="J2683" i="1"/>
  <c r="A2684" i="1"/>
  <c r="B2684" i="1"/>
  <c r="G2684" i="1"/>
  <c r="H2684" i="1"/>
  <c r="J2684" i="1"/>
  <c r="A2685" i="1"/>
  <c r="B2685" i="1"/>
  <c r="G2685" i="1"/>
  <c r="H2685" i="1"/>
  <c r="J2685" i="1"/>
  <c r="A2686" i="1"/>
  <c r="B2686" i="1"/>
  <c r="G2686" i="1"/>
  <c r="H2686" i="1"/>
  <c r="J2686" i="1"/>
  <c r="A2687" i="1"/>
  <c r="B2687" i="1"/>
  <c r="G2687" i="1"/>
  <c r="H2687" i="1"/>
  <c r="J2687" i="1"/>
  <c r="A2688" i="1"/>
  <c r="B2688" i="1"/>
  <c r="G2688" i="1"/>
  <c r="H2688" i="1"/>
  <c r="J2688" i="1"/>
  <c r="A2689" i="1"/>
  <c r="B2689" i="1"/>
  <c r="G2689" i="1"/>
  <c r="H2689" i="1"/>
  <c r="J2689" i="1"/>
  <c r="A2690" i="1"/>
  <c r="B2690" i="1"/>
  <c r="G2690" i="1"/>
  <c r="H2690" i="1"/>
  <c r="J2690" i="1"/>
  <c r="A2691" i="1"/>
  <c r="B2691" i="1"/>
  <c r="G2691" i="1"/>
  <c r="H2691" i="1"/>
  <c r="J2691" i="1"/>
  <c r="A2692" i="1"/>
  <c r="B2692" i="1"/>
  <c r="G2692" i="1"/>
  <c r="H2692" i="1"/>
  <c r="J2692" i="1"/>
  <c r="A2693" i="1"/>
  <c r="B2693" i="1"/>
  <c r="G2693" i="1"/>
  <c r="H2693" i="1"/>
  <c r="J2693" i="1"/>
  <c r="A2694" i="1"/>
  <c r="B2694" i="1"/>
  <c r="G2694" i="1"/>
  <c r="H2694" i="1"/>
  <c r="J2694" i="1"/>
  <c r="A2695" i="1"/>
  <c r="B2695" i="1"/>
  <c r="G2695" i="1"/>
  <c r="H2695" i="1"/>
  <c r="J2695" i="1"/>
  <c r="A2696" i="1"/>
  <c r="B2696" i="1"/>
  <c r="G2696" i="1"/>
  <c r="H2696" i="1"/>
  <c r="J2696" i="1"/>
  <c r="A2697" i="1"/>
  <c r="B2697" i="1"/>
  <c r="G2697" i="1"/>
  <c r="H2697" i="1"/>
  <c r="J2697" i="1"/>
  <c r="A2698" i="1"/>
  <c r="B2698" i="1"/>
  <c r="G2698" i="1"/>
  <c r="H2698" i="1"/>
  <c r="J2698" i="1"/>
  <c r="A2699" i="1"/>
  <c r="B2699" i="1"/>
  <c r="G2699" i="1"/>
  <c r="H2699" i="1"/>
  <c r="J2699" i="1"/>
  <c r="A2700" i="1"/>
  <c r="B2700" i="1"/>
  <c r="G2700" i="1"/>
  <c r="H2700" i="1"/>
  <c r="J2700" i="1"/>
  <c r="A2701" i="1"/>
  <c r="B2701" i="1"/>
  <c r="G2701" i="1"/>
  <c r="H2701" i="1"/>
  <c r="J2701" i="1"/>
  <c r="A2702" i="1"/>
  <c r="B2702" i="1"/>
  <c r="G2702" i="1"/>
  <c r="H2702" i="1"/>
  <c r="J2702" i="1"/>
  <c r="A2703" i="1"/>
  <c r="B2703" i="1"/>
  <c r="G2703" i="1"/>
  <c r="H2703" i="1"/>
  <c r="J2703" i="1"/>
  <c r="A2704" i="1"/>
  <c r="B2704" i="1"/>
  <c r="G2704" i="1"/>
  <c r="H2704" i="1"/>
  <c r="J2704" i="1"/>
  <c r="A2705" i="1"/>
  <c r="B2705" i="1"/>
  <c r="G2705" i="1"/>
  <c r="H2705" i="1"/>
  <c r="J2705" i="1"/>
  <c r="A2706" i="1"/>
  <c r="B2706" i="1"/>
  <c r="G2706" i="1"/>
  <c r="H2706" i="1"/>
  <c r="J2706" i="1"/>
  <c r="A2707" i="1"/>
  <c r="B2707" i="1"/>
  <c r="G2707" i="1"/>
  <c r="H2707" i="1"/>
  <c r="J2707" i="1"/>
  <c r="A2708" i="1"/>
  <c r="B2708" i="1"/>
  <c r="G2708" i="1"/>
  <c r="H2708" i="1"/>
  <c r="J2708" i="1"/>
  <c r="A2709" i="1"/>
  <c r="B2709" i="1"/>
  <c r="G2709" i="1"/>
  <c r="H2709" i="1"/>
  <c r="J2709" i="1"/>
  <c r="A2710" i="1"/>
  <c r="B2710" i="1"/>
  <c r="G2710" i="1"/>
  <c r="H2710" i="1"/>
  <c r="J2710" i="1"/>
  <c r="A2711" i="1"/>
  <c r="B2711" i="1"/>
  <c r="G2711" i="1"/>
  <c r="H2711" i="1"/>
  <c r="J2711" i="1"/>
  <c r="A2712" i="1"/>
  <c r="B2712" i="1"/>
  <c r="G2712" i="1"/>
  <c r="H2712" i="1"/>
  <c r="J2712" i="1"/>
  <c r="A2713" i="1"/>
  <c r="B2713" i="1"/>
  <c r="G2713" i="1"/>
  <c r="H2713" i="1"/>
  <c r="J2713" i="1"/>
  <c r="A2714" i="1"/>
  <c r="B2714" i="1"/>
  <c r="G2714" i="1"/>
  <c r="H2714" i="1"/>
  <c r="J2714" i="1"/>
  <c r="A2715" i="1"/>
  <c r="B2715" i="1"/>
  <c r="G2715" i="1"/>
  <c r="H2715" i="1"/>
  <c r="J2715" i="1"/>
  <c r="A2716" i="1"/>
  <c r="B2716" i="1"/>
  <c r="G2716" i="1"/>
  <c r="H2716" i="1"/>
  <c r="J2716" i="1"/>
  <c r="A2717" i="1"/>
  <c r="B2717" i="1"/>
  <c r="G2717" i="1"/>
  <c r="H2717" i="1"/>
  <c r="J2717" i="1"/>
  <c r="A2718" i="1"/>
  <c r="B2718" i="1"/>
  <c r="G2718" i="1"/>
  <c r="H2718" i="1"/>
  <c r="J2718" i="1"/>
  <c r="A2719" i="1"/>
  <c r="B2719" i="1"/>
  <c r="G2719" i="1"/>
  <c r="H2719" i="1"/>
  <c r="J2719" i="1"/>
  <c r="A2720" i="1"/>
  <c r="B2720" i="1"/>
  <c r="G2720" i="1"/>
  <c r="H2720" i="1"/>
  <c r="J2720" i="1"/>
  <c r="A2721" i="1"/>
  <c r="B2721" i="1"/>
  <c r="G2721" i="1"/>
  <c r="H2721" i="1"/>
  <c r="J2721" i="1"/>
  <c r="A2722" i="1"/>
  <c r="B2722" i="1"/>
  <c r="G2722" i="1"/>
  <c r="H2722" i="1"/>
  <c r="J2722" i="1"/>
  <c r="A2723" i="1"/>
  <c r="B2723" i="1"/>
  <c r="G2723" i="1"/>
  <c r="H2723" i="1"/>
  <c r="J2723" i="1"/>
  <c r="A2724" i="1"/>
  <c r="B2724" i="1"/>
  <c r="G2724" i="1"/>
  <c r="H2724" i="1"/>
  <c r="J2724" i="1"/>
  <c r="A2725" i="1"/>
  <c r="B2725" i="1"/>
  <c r="G2725" i="1"/>
  <c r="H2725" i="1"/>
  <c r="J2725" i="1"/>
  <c r="A2726" i="1"/>
  <c r="B2726" i="1"/>
  <c r="G2726" i="1"/>
  <c r="H2726" i="1"/>
  <c r="J2726" i="1"/>
  <c r="A2727" i="1"/>
  <c r="B2727" i="1"/>
  <c r="G2727" i="1"/>
  <c r="H2727" i="1"/>
  <c r="J2727" i="1"/>
  <c r="A2728" i="1"/>
  <c r="B2728" i="1"/>
  <c r="G2728" i="1"/>
  <c r="H2728" i="1"/>
  <c r="J2728" i="1"/>
  <c r="A2729" i="1"/>
  <c r="B2729" i="1"/>
  <c r="G2729" i="1"/>
  <c r="H2729" i="1"/>
  <c r="J2729" i="1"/>
  <c r="A2730" i="1"/>
  <c r="B2730" i="1"/>
  <c r="G2730" i="1"/>
  <c r="H2730" i="1"/>
  <c r="J2730" i="1"/>
  <c r="A2731" i="1"/>
  <c r="B2731" i="1"/>
  <c r="G2731" i="1"/>
  <c r="H2731" i="1"/>
  <c r="J2731" i="1"/>
  <c r="A2732" i="1"/>
  <c r="B2732" i="1"/>
  <c r="G2732" i="1"/>
  <c r="H2732" i="1"/>
  <c r="J2732" i="1"/>
  <c r="A2733" i="1"/>
  <c r="B2733" i="1"/>
  <c r="G2733" i="1"/>
  <c r="H2733" i="1"/>
  <c r="J2733" i="1"/>
  <c r="A2734" i="1"/>
  <c r="B2734" i="1"/>
  <c r="G2734" i="1"/>
  <c r="H2734" i="1"/>
  <c r="J2734" i="1"/>
  <c r="A2735" i="1"/>
  <c r="B2735" i="1"/>
  <c r="G2735" i="1"/>
  <c r="H2735" i="1"/>
  <c r="J2735" i="1"/>
  <c r="A2736" i="1"/>
  <c r="B2736" i="1"/>
  <c r="G2736" i="1"/>
  <c r="H2736" i="1"/>
  <c r="J2736" i="1"/>
  <c r="A2737" i="1"/>
  <c r="B2737" i="1"/>
  <c r="G2737" i="1"/>
  <c r="H2737" i="1"/>
  <c r="J2737" i="1"/>
  <c r="A2738" i="1"/>
  <c r="B2738" i="1"/>
  <c r="G2738" i="1"/>
  <c r="H2738" i="1"/>
  <c r="J2738" i="1"/>
  <c r="A2739" i="1"/>
  <c r="B2739" i="1"/>
  <c r="G2739" i="1"/>
  <c r="H2739" i="1"/>
  <c r="J2739" i="1"/>
  <c r="A2740" i="1"/>
  <c r="B2740" i="1"/>
  <c r="G2740" i="1"/>
  <c r="H2740" i="1"/>
  <c r="J2740" i="1"/>
  <c r="A2741" i="1"/>
  <c r="B2741" i="1"/>
  <c r="G2741" i="1"/>
  <c r="H2741" i="1"/>
  <c r="J2741" i="1"/>
  <c r="A2742" i="1"/>
  <c r="B2742" i="1"/>
  <c r="G2742" i="1"/>
  <c r="H2742" i="1"/>
  <c r="J2742" i="1"/>
  <c r="A2743" i="1"/>
  <c r="B2743" i="1"/>
  <c r="G2743" i="1"/>
  <c r="H2743" i="1"/>
  <c r="J2743" i="1"/>
  <c r="A2744" i="1"/>
  <c r="B2744" i="1"/>
  <c r="G2744" i="1"/>
  <c r="H2744" i="1"/>
  <c r="J2744" i="1"/>
  <c r="A2745" i="1"/>
  <c r="B2745" i="1"/>
  <c r="G2745" i="1"/>
  <c r="H2745" i="1"/>
  <c r="J2745" i="1"/>
  <c r="A2746" i="1"/>
  <c r="B2746" i="1"/>
  <c r="G2746" i="1"/>
  <c r="H2746" i="1"/>
  <c r="J2746" i="1"/>
  <c r="A2747" i="1"/>
  <c r="B2747" i="1"/>
  <c r="G2747" i="1"/>
  <c r="H2747" i="1"/>
  <c r="J2747" i="1"/>
  <c r="A2748" i="1"/>
  <c r="B2748" i="1"/>
  <c r="G2748" i="1"/>
  <c r="H2748" i="1"/>
  <c r="J2748" i="1"/>
  <c r="A2749" i="1"/>
  <c r="B2749" i="1"/>
  <c r="G2749" i="1"/>
  <c r="H2749" i="1"/>
  <c r="J2749" i="1"/>
  <c r="A2750" i="1"/>
  <c r="B2750" i="1"/>
  <c r="G2750" i="1"/>
  <c r="H2750" i="1"/>
  <c r="J2750" i="1"/>
  <c r="A2751" i="1"/>
  <c r="B2751" i="1"/>
  <c r="G2751" i="1"/>
  <c r="H2751" i="1"/>
  <c r="J2751" i="1"/>
  <c r="A2752" i="1"/>
  <c r="B2752" i="1"/>
  <c r="G2752" i="1"/>
  <c r="H2752" i="1"/>
  <c r="J2752" i="1"/>
  <c r="A2753" i="1"/>
  <c r="B2753" i="1"/>
  <c r="G2753" i="1"/>
  <c r="H2753" i="1"/>
  <c r="J2753" i="1"/>
  <c r="A2754" i="1"/>
  <c r="B2754" i="1"/>
  <c r="G2754" i="1"/>
  <c r="H2754" i="1"/>
  <c r="J2754" i="1"/>
  <c r="A2755" i="1"/>
  <c r="B2755" i="1"/>
  <c r="G2755" i="1"/>
  <c r="H2755" i="1"/>
  <c r="J2755" i="1"/>
  <c r="A2756" i="1"/>
  <c r="B2756" i="1"/>
  <c r="G2756" i="1"/>
  <c r="H2756" i="1"/>
  <c r="J2756" i="1"/>
  <c r="A2757" i="1"/>
  <c r="B2757" i="1"/>
  <c r="G2757" i="1"/>
  <c r="H2757" i="1"/>
  <c r="J2757" i="1"/>
  <c r="A2758" i="1"/>
  <c r="B2758" i="1"/>
  <c r="G2758" i="1"/>
  <c r="H2758" i="1"/>
  <c r="J2758" i="1"/>
  <c r="A2759" i="1"/>
  <c r="B2759" i="1"/>
  <c r="G2759" i="1"/>
  <c r="H2759" i="1"/>
  <c r="J2759" i="1"/>
  <c r="A2760" i="1"/>
  <c r="B2760" i="1"/>
  <c r="G2760" i="1"/>
  <c r="H2760" i="1"/>
  <c r="J2760" i="1"/>
  <c r="A2761" i="1"/>
  <c r="B2761" i="1"/>
  <c r="G2761" i="1"/>
  <c r="H2761" i="1"/>
  <c r="J2761" i="1"/>
  <c r="A2762" i="1"/>
  <c r="B2762" i="1"/>
  <c r="G2762" i="1"/>
  <c r="H2762" i="1"/>
  <c r="J2762" i="1"/>
  <c r="A2763" i="1"/>
  <c r="B2763" i="1"/>
  <c r="G2763" i="1"/>
  <c r="H2763" i="1"/>
  <c r="J2763" i="1"/>
  <c r="A2764" i="1"/>
  <c r="B2764" i="1"/>
  <c r="G2764" i="1"/>
  <c r="H2764" i="1"/>
  <c r="J2764" i="1"/>
  <c r="A2765" i="1"/>
  <c r="B2765" i="1"/>
  <c r="G2765" i="1"/>
  <c r="H2765" i="1"/>
  <c r="J2765" i="1"/>
  <c r="A2766" i="1"/>
  <c r="B2766" i="1"/>
  <c r="G2766" i="1"/>
  <c r="H2766" i="1"/>
  <c r="J2766" i="1"/>
  <c r="A2767" i="1"/>
  <c r="B2767" i="1"/>
  <c r="G2767" i="1"/>
  <c r="H2767" i="1"/>
  <c r="J2767" i="1"/>
  <c r="A2768" i="1"/>
  <c r="B2768" i="1"/>
  <c r="G2768" i="1"/>
  <c r="H2768" i="1"/>
  <c r="J2768" i="1"/>
  <c r="A2769" i="1"/>
  <c r="B2769" i="1"/>
  <c r="G2769" i="1"/>
  <c r="H2769" i="1"/>
  <c r="J2769" i="1"/>
  <c r="A2770" i="1"/>
  <c r="B2770" i="1"/>
  <c r="G2770" i="1"/>
  <c r="H2770" i="1"/>
  <c r="J2770" i="1"/>
  <c r="A2771" i="1"/>
  <c r="B2771" i="1"/>
  <c r="G2771" i="1"/>
  <c r="H2771" i="1"/>
  <c r="J2771" i="1"/>
  <c r="A2772" i="1"/>
  <c r="B2772" i="1"/>
  <c r="G2772" i="1"/>
  <c r="H2772" i="1"/>
  <c r="J2772" i="1"/>
  <c r="A2773" i="1"/>
  <c r="B2773" i="1"/>
  <c r="G2773" i="1"/>
  <c r="H2773" i="1"/>
  <c r="J2773" i="1"/>
  <c r="A2774" i="1"/>
  <c r="B2774" i="1"/>
  <c r="G2774" i="1"/>
  <c r="H2774" i="1"/>
  <c r="J2774" i="1"/>
  <c r="A2775" i="1"/>
  <c r="B2775" i="1"/>
  <c r="G2775" i="1"/>
  <c r="H2775" i="1"/>
  <c r="J2775" i="1"/>
  <c r="A2776" i="1"/>
  <c r="B2776" i="1"/>
  <c r="G2776" i="1"/>
  <c r="H2776" i="1"/>
  <c r="J2776" i="1"/>
  <c r="A2777" i="1"/>
  <c r="B2777" i="1"/>
  <c r="G2777" i="1"/>
  <c r="H2777" i="1"/>
  <c r="J2777" i="1"/>
  <c r="A2778" i="1"/>
  <c r="B2778" i="1"/>
  <c r="G2778" i="1"/>
  <c r="H2778" i="1"/>
  <c r="J2778" i="1"/>
  <c r="A2779" i="1"/>
  <c r="B2779" i="1"/>
  <c r="G2779" i="1"/>
  <c r="H2779" i="1"/>
  <c r="J2779" i="1"/>
  <c r="A2780" i="1"/>
  <c r="B2780" i="1"/>
  <c r="G2780" i="1"/>
  <c r="H2780" i="1"/>
  <c r="J2780" i="1"/>
  <c r="A2781" i="1"/>
  <c r="B2781" i="1"/>
  <c r="G2781" i="1"/>
  <c r="H2781" i="1"/>
  <c r="J2781" i="1"/>
  <c r="A2782" i="1"/>
  <c r="B2782" i="1"/>
  <c r="G2782" i="1"/>
  <c r="H2782" i="1"/>
  <c r="J2782" i="1"/>
  <c r="A2783" i="1"/>
  <c r="B2783" i="1"/>
  <c r="G2783" i="1"/>
  <c r="H2783" i="1"/>
  <c r="J2783" i="1"/>
  <c r="A2784" i="1"/>
  <c r="B2784" i="1"/>
  <c r="G2784" i="1"/>
  <c r="H2784" i="1"/>
  <c r="J2784" i="1"/>
  <c r="A2785" i="1"/>
  <c r="B2785" i="1"/>
  <c r="G2785" i="1"/>
  <c r="H2785" i="1"/>
  <c r="J2785" i="1"/>
  <c r="A2786" i="1"/>
  <c r="B2786" i="1"/>
  <c r="G2786" i="1"/>
  <c r="H2786" i="1"/>
  <c r="J2786" i="1"/>
  <c r="A2787" i="1"/>
  <c r="B2787" i="1"/>
  <c r="G2787" i="1"/>
  <c r="H2787" i="1"/>
  <c r="J2787" i="1"/>
  <c r="A2788" i="1"/>
  <c r="B2788" i="1"/>
  <c r="G2788" i="1"/>
  <c r="H2788" i="1"/>
  <c r="J2788" i="1"/>
  <c r="A2789" i="1"/>
  <c r="B2789" i="1"/>
  <c r="G2789" i="1"/>
  <c r="H2789" i="1"/>
  <c r="J2789" i="1"/>
  <c r="A2790" i="1"/>
  <c r="B2790" i="1"/>
  <c r="G2790" i="1"/>
  <c r="H2790" i="1"/>
  <c r="J2790" i="1"/>
  <c r="A2791" i="1"/>
  <c r="B2791" i="1"/>
  <c r="G2791" i="1"/>
  <c r="H2791" i="1"/>
  <c r="J2791" i="1"/>
  <c r="A2792" i="1"/>
  <c r="B2792" i="1"/>
  <c r="G2792" i="1"/>
  <c r="H2792" i="1"/>
  <c r="J2792" i="1"/>
  <c r="A2793" i="1"/>
  <c r="B2793" i="1"/>
  <c r="G2793" i="1"/>
  <c r="H2793" i="1"/>
  <c r="J2793" i="1"/>
  <c r="A2794" i="1"/>
  <c r="B2794" i="1"/>
  <c r="G2794" i="1"/>
  <c r="H2794" i="1"/>
  <c r="J2794" i="1"/>
  <c r="A2795" i="1"/>
  <c r="B2795" i="1"/>
  <c r="G2795" i="1"/>
  <c r="H2795" i="1"/>
  <c r="J2795" i="1"/>
  <c r="A2796" i="1"/>
  <c r="B2796" i="1"/>
  <c r="G2796" i="1"/>
  <c r="H2796" i="1"/>
  <c r="J2796" i="1"/>
  <c r="A2797" i="1"/>
  <c r="B2797" i="1"/>
  <c r="G2797" i="1"/>
  <c r="H2797" i="1"/>
  <c r="J2797" i="1"/>
  <c r="A2798" i="1"/>
  <c r="B2798" i="1"/>
  <c r="G2798" i="1"/>
  <c r="H2798" i="1"/>
  <c r="J2798" i="1"/>
  <c r="A2799" i="1"/>
  <c r="B2799" i="1"/>
  <c r="G2799" i="1"/>
  <c r="H2799" i="1"/>
  <c r="J2799" i="1"/>
  <c r="A2800" i="1"/>
  <c r="B2800" i="1"/>
  <c r="G2800" i="1"/>
  <c r="H2800" i="1"/>
  <c r="J2800" i="1"/>
  <c r="A2801" i="1"/>
  <c r="B2801" i="1"/>
  <c r="G2801" i="1"/>
  <c r="H2801" i="1"/>
  <c r="J2801" i="1"/>
  <c r="A2802" i="1"/>
  <c r="B2802" i="1"/>
  <c r="G2802" i="1"/>
  <c r="H2802" i="1"/>
  <c r="J2802" i="1"/>
  <c r="A2803" i="1"/>
  <c r="B2803" i="1"/>
  <c r="G2803" i="1"/>
  <c r="H2803" i="1"/>
  <c r="J2803" i="1"/>
  <c r="A2804" i="1"/>
  <c r="B2804" i="1"/>
  <c r="G2804" i="1"/>
  <c r="H2804" i="1"/>
  <c r="J2804" i="1"/>
  <c r="A2805" i="1"/>
  <c r="B2805" i="1"/>
  <c r="G2805" i="1"/>
  <c r="H2805" i="1"/>
  <c r="J2805" i="1"/>
  <c r="A2806" i="1"/>
  <c r="B2806" i="1"/>
  <c r="G2806" i="1"/>
  <c r="H2806" i="1"/>
  <c r="J2806" i="1"/>
  <c r="A2807" i="1"/>
  <c r="B2807" i="1"/>
  <c r="G2807" i="1"/>
  <c r="H2807" i="1"/>
  <c r="J2807" i="1"/>
  <c r="A2808" i="1"/>
  <c r="B2808" i="1"/>
  <c r="G2808" i="1"/>
  <c r="H2808" i="1"/>
  <c r="J2808" i="1"/>
  <c r="A2809" i="1"/>
  <c r="B2809" i="1"/>
  <c r="G2809" i="1"/>
  <c r="H2809" i="1"/>
  <c r="J2809" i="1"/>
  <c r="A2810" i="1"/>
  <c r="B2810" i="1"/>
  <c r="G2810" i="1"/>
  <c r="H2810" i="1"/>
  <c r="J2810" i="1"/>
  <c r="A2811" i="1"/>
  <c r="B2811" i="1"/>
  <c r="G2811" i="1"/>
  <c r="H2811" i="1"/>
  <c r="J2811" i="1"/>
  <c r="A2812" i="1"/>
  <c r="B2812" i="1"/>
  <c r="G2812" i="1"/>
  <c r="H2812" i="1"/>
  <c r="J2812" i="1"/>
  <c r="A2813" i="1"/>
  <c r="B2813" i="1"/>
  <c r="G2813" i="1"/>
  <c r="H2813" i="1"/>
  <c r="J2813" i="1"/>
  <c r="A2814" i="1"/>
  <c r="B2814" i="1"/>
  <c r="G2814" i="1"/>
  <c r="H2814" i="1"/>
  <c r="J2814" i="1"/>
  <c r="A2815" i="1"/>
  <c r="B2815" i="1"/>
  <c r="G2815" i="1"/>
  <c r="H2815" i="1"/>
  <c r="J2815" i="1"/>
  <c r="A2816" i="1"/>
  <c r="B2816" i="1"/>
  <c r="G2816" i="1"/>
  <c r="H2816" i="1"/>
  <c r="J2816" i="1"/>
  <c r="A2817" i="1"/>
  <c r="B2817" i="1"/>
  <c r="G2817" i="1"/>
  <c r="H2817" i="1"/>
  <c r="J2817" i="1"/>
  <c r="A2818" i="1"/>
  <c r="B2818" i="1"/>
  <c r="G2818" i="1"/>
  <c r="H2818" i="1"/>
  <c r="J2818" i="1"/>
  <c r="A2819" i="1"/>
  <c r="B2819" i="1"/>
  <c r="G2819" i="1"/>
  <c r="H2819" i="1"/>
  <c r="J2819" i="1"/>
  <c r="A2820" i="1"/>
  <c r="B2820" i="1"/>
  <c r="G2820" i="1"/>
  <c r="H2820" i="1"/>
  <c r="J2820" i="1"/>
  <c r="A2821" i="1"/>
  <c r="B2821" i="1"/>
  <c r="G2821" i="1"/>
  <c r="H2821" i="1"/>
  <c r="J2821" i="1"/>
  <c r="A2822" i="1"/>
  <c r="B2822" i="1"/>
  <c r="G2822" i="1"/>
  <c r="H2822" i="1"/>
  <c r="J2822" i="1"/>
  <c r="A2823" i="1"/>
  <c r="B2823" i="1"/>
  <c r="G2823" i="1"/>
  <c r="H2823" i="1"/>
  <c r="J2823" i="1"/>
  <c r="A2824" i="1"/>
  <c r="B2824" i="1"/>
  <c r="G2824" i="1"/>
  <c r="H2824" i="1"/>
  <c r="J2824" i="1"/>
  <c r="A2825" i="1"/>
  <c r="B2825" i="1"/>
  <c r="G2825" i="1"/>
  <c r="H2825" i="1"/>
  <c r="J2825" i="1"/>
  <c r="A2826" i="1"/>
  <c r="B2826" i="1"/>
  <c r="G2826" i="1"/>
  <c r="H2826" i="1"/>
  <c r="J2826" i="1"/>
  <c r="A2827" i="1"/>
  <c r="B2827" i="1"/>
  <c r="G2827" i="1"/>
  <c r="H2827" i="1"/>
  <c r="J2827" i="1"/>
  <c r="A2828" i="1"/>
  <c r="B2828" i="1"/>
  <c r="G2828" i="1"/>
  <c r="H2828" i="1"/>
  <c r="J2828" i="1"/>
  <c r="A2829" i="1"/>
  <c r="B2829" i="1"/>
  <c r="G2829" i="1"/>
  <c r="H2829" i="1"/>
  <c r="J2829" i="1"/>
  <c r="A2830" i="1"/>
  <c r="B2830" i="1"/>
  <c r="G2830" i="1"/>
  <c r="H2830" i="1"/>
  <c r="J2830" i="1"/>
  <c r="A2831" i="1"/>
  <c r="B2831" i="1"/>
  <c r="G2831" i="1"/>
  <c r="H2831" i="1"/>
  <c r="J2831" i="1"/>
  <c r="A2832" i="1"/>
  <c r="B2832" i="1"/>
  <c r="G2832" i="1"/>
  <c r="H2832" i="1"/>
  <c r="J2832" i="1"/>
  <c r="A2833" i="1"/>
  <c r="B2833" i="1"/>
  <c r="G2833" i="1"/>
  <c r="H2833" i="1"/>
  <c r="J2833" i="1"/>
  <c r="A2834" i="1"/>
  <c r="B2834" i="1"/>
  <c r="G2834" i="1"/>
  <c r="H2834" i="1"/>
  <c r="J2834" i="1"/>
  <c r="A2835" i="1"/>
  <c r="B2835" i="1"/>
  <c r="G2835" i="1"/>
  <c r="H2835" i="1"/>
  <c r="J2835" i="1"/>
  <c r="A2836" i="1"/>
  <c r="B2836" i="1"/>
  <c r="G2836" i="1"/>
  <c r="H2836" i="1"/>
  <c r="J2836" i="1"/>
  <c r="A2837" i="1"/>
  <c r="B2837" i="1"/>
  <c r="G2837" i="1"/>
  <c r="H2837" i="1"/>
  <c r="J2837" i="1"/>
  <c r="A2838" i="1"/>
  <c r="B2838" i="1"/>
  <c r="G2838" i="1"/>
  <c r="H2838" i="1"/>
  <c r="J2838" i="1"/>
  <c r="A2839" i="1"/>
  <c r="B2839" i="1"/>
  <c r="G2839" i="1"/>
  <c r="H2839" i="1"/>
  <c r="J2839" i="1"/>
  <c r="A2840" i="1"/>
  <c r="B2840" i="1"/>
  <c r="G2840" i="1"/>
  <c r="H2840" i="1"/>
  <c r="J2840" i="1"/>
  <c r="A2841" i="1"/>
  <c r="B2841" i="1"/>
  <c r="G2841" i="1"/>
  <c r="H2841" i="1"/>
  <c r="J2841" i="1"/>
  <c r="A2842" i="1"/>
  <c r="B2842" i="1"/>
  <c r="G2842" i="1"/>
  <c r="H2842" i="1"/>
  <c r="J2842" i="1"/>
  <c r="A2843" i="1"/>
  <c r="B2843" i="1"/>
  <c r="G2843" i="1"/>
  <c r="H2843" i="1"/>
  <c r="J2843" i="1"/>
  <c r="A2844" i="1"/>
  <c r="B2844" i="1"/>
  <c r="G2844" i="1"/>
  <c r="H2844" i="1"/>
  <c r="J2844" i="1"/>
  <c r="A2845" i="1"/>
  <c r="B2845" i="1"/>
  <c r="G2845" i="1"/>
  <c r="H2845" i="1"/>
  <c r="J2845" i="1"/>
  <c r="A2846" i="1"/>
  <c r="B2846" i="1"/>
  <c r="G2846" i="1"/>
  <c r="H2846" i="1"/>
  <c r="J2846" i="1"/>
  <c r="A2847" i="1"/>
  <c r="B2847" i="1"/>
  <c r="G2847" i="1"/>
  <c r="H2847" i="1"/>
  <c r="J2847" i="1"/>
  <c r="A2848" i="1"/>
  <c r="B2848" i="1"/>
  <c r="G2848" i="1"/>
  <c r="H2848" i="1"/>
  <c r="J2848" i="1"/>
  <c r="A2849" i="1"/>
  <c r="B2849" i="1"/>
  <c r="G2849" i="1"/>
  <c r="H2849" i="1"/>
  <c r="J2849" i="1"/>
  <c r="A2850" i="1"/>
  <c r="B2850" i="1"/>
  <c r="G2850" i="1"/>
  <c r="H2850" i="1"/>
  <c r="J2850" i="1"/>
  <c r="A2851" i="1"/>
  <c r="B2851" i="1"/>
  <c r="G2851" i="1"/>
  <c r="H2851" i="1"/>
  <c r="J2851" i="1"/>
  <c r="A2852" i="1"/>
  <c r="B2852" i="1"/>
  <c r="G2852" i="1"/>
  <c r="H2852" i="1"/>
  <c r="J2852" i="1"/>
  <c r="A2853" i="1"/>
  <c r="B2853" i="1"/>
  <c r="G2853" i="1"/>
  <c r="H2853" i="1"/>
  <c r="J2853" i="1"/>
  <c r="A2854" i="1"/>
  <c r="B2854" i="1"/>
  <c r="G2854" i="1"/>
  <c r="H2854" i="1"/>
  <c r="J2854" i="1"/>
  <c r="A2855" i="1"/>
  <c r="B2855" i="1"/>
  <c r="G2855" i="1"/>
  <c r="H2855" i="1"/>
  <c r="J2855" i="1"/>
  <c r="A2856" i="1"/>
  <c r="B2856" i="1"/>
  <c r="G2856" i="1"/>
  <c r="H2856" i="1"/>
  <c r="J2856" i="1"/>
  <c r="A2857" i="1"/>
  <c r="B2857" i="1"/>
  <c r="G2857" i="1"/>
  <c r="H2857" i="1"/>
  <c r="J2857" i="1"/>
  <c r="A2858" i="1"/>
  <c r="B2858" i="1"/>
  <c r="G2858" i="1"/>
  <c r="H2858" i="1"/>
  <c r="J2858" i="1"/>
  <c r="A2859" i="1"/>
  <c r="B2859" i="1"/>
  <c r="G2859" i="1"/>
  <c r="H2859" i="1"/>
  <c r="J2859" i="1"/>
  <c r="A2860" i="1"/>
  <c r="B2860" i="1"/>
  <c r="G2860" i="1"/>
  <c r="H2860" i="1"/>
  <c r="J2860" i="1"/>
  <c r="A2861" i="1"/>
  <c r="B2861" i="1"/>
  <c r="G2861" i="1"/>
  <c r="H2861" i="1"/>
  <c r="J2861" i="1"/>
  <c r="A2862" i="1"/>
  <c r="B2862" i="1"/>
  <c r="G2862" i="1"/>
  <c r="H2862" i="1"/>
  <c r="J2862" i="1"/>
  <c r="A2863" i="1"/>
  <c r="B2863" i="1"/>
  <c r="G2863" i="1"/>
  <c r="H2863" i="1"/>
  <c r="J2863" i="1"/>
  <c r="A2864" i="1"/>
  <c r="B2864" i="1"/>
  <c r="G2864" i="1"/>
  <c r="H2864" i="1"/>
  <c r="J2864" i="1"/>
  <c r="A2865" i="1"/>
  <c r="B2865" i="1"/>
  <c r="G2865" i="1"/>
  <c r="H2865" i="1"/>
  <c r="J2865" i="1"/>
  <c r="A2866" i="1"/>
  <c r="B2866" i="1"/>
  <c r="G2866" i="1"/>
  <c r="H2866" i="1"/>
  <c r="J2866" i="1"/>
  <c r="A2867" i="1"/>
  <c r="B2867" i="1"/>
  <c r="G2867" i="1"/>
  <c r="H2867" i="1"/>
  <c r="J2867" i="1"/>
  <c r="A2868" i="1"/>
  <c r="B2868" i="1"/>
  <c r="G2868" i="1"/>
  <c r="H2868" i="1"/>
  <c r="J2868" i="1"/>
  <c r="A2869" i="1"/>
  <c r="B2869" i="1"/>
  <c r="G2869" i="1"/>
  <c r="H2869" i="1"/>
  <c r="J2869" i="1"/>
  <c r="A2870" i="1"/>
  <c r="B2870" i="1"/>
  <c r="G2870" i="1"/>
  <c r="H2870" i="1"/>
  <c r="J2870" i="1"/>
  <c r="A2871" i="1"/>
  <c r="B2871" i="1"/>
  <c r="G2871" i="1"/>
  <c r="H2871" i="1"/>
  <c r="J2871" i="1"/>
  <c r="A2872" i="1"/>
  <c r="B2872" i="1"/>
  <c r="G2872" i="1"/>
  <c r="H2872" i="1"/>
  <c r="J2872" i="1"/>
  <c r="A2873" i="1"/>
  <c r="B2873" i="1"/>
  <c r="G2873" i="1"/>
  <c r="H2873" i="1"/>
  <c r="J2873" i="1"/>
  <c r="A2874" i="1"/>
  <c r="B2874" i="1"/>
  <c r="G2874" i="1"/>
  <c r="H2874" i="1"/>
  <c r="J2874" i="1"/>
  <c r="A2875" i="1"/>
  <c r="B2875" i="1"/>
  <c r="G2875" i="1"/>
  <c r="H2875" i="1"/>
  <c r="J2875" i="1"/>
  <c r="A2876" i="1"/>
  <c r="B2876" i="1"/>
  <c r="G2876" i="1"/>
  <c r="H2876" i="1"/>
  <c r="J2876" i="1"/>
  <c r="A2877" i="1"/>
  <c r="B2877" i="1"/>
  <c r="G2877" i="1"/>
  <c r="H2877" i="1"/>
  <c r="J2877" i="1"/>
  <c r="A2878" i="1"/>
  <c r="B2878" i="1"/>
  <c r="G2878" i="1"/>
  <c r="H2878" i="1"/>
  <c r="J2878" i="1"/>
  <c r="A2879" i="1"/>
  <c r="B2879" i="1"/>
  <c r="G2879" i="1"/>
  <c r="H2879" i="1"/>
  <c r="J2879" i="1"/>
  <c r="A2880" i="1"/>
  <c r="B2880" i="1"/>
  <c r="G2880" i="1"/>
  <c r="H2880" i="1"/>
  <c r="J2880" i="1"/>
  <c r="A2881" i="1"/>
  <c r="B2881" i="1"/>
  <c r="G2881" i="1"/>
  <c r="H2881" i="1"/>
  <c r="J2881" i="1"/>
  <c r="A2882" i="1"/>
  <c r="B2882" i="1"/>
  <c r="G2882" i="1"/>
  <c r="H2882" i="1"/>
  <c r="J2882" i="1"/>
  <c r="A2883" i="1"/>
  <c r="B2883" i="1"/>
  <c r="G2883" i="1"/>
  <c r="H2883" i="1"/>
  <c r="J2883" i="1"/>
  <c r="A2884" i="1"/>
  <c r="B2884" i="1"/>
  <c r="G2884" i="1"/>
  <c r="H2884" i="1"/>
  <c r="J2884" i="1"/>
  <c r="A2885" i="1"/>
  <c r="B2885" i="1"/>
  <c r="G2885" i="1"/>
  <c r="H2885" i="1"/>
  <c r="J2885" i="1"/>
  <c r="A2886" i="1"/>
  <c r="B2886" i="1"/>
  <c r="G2886" i="1"/>
  <c r="H2886" i="1"/>
  <c r="J2886" i="1"/>
  <c r="A2887" i="1"/>
  <c r="B2887" i="1"/>
  <c r="G2887" i="1"/>
  <c r="H2887" i="1"/>
  <c r="J2887" i="1"/>
  <c r="A2888" i="1"/>
  <c r="B2888" i="1"/>
  <c r="G2888" i="1"/>
  <c r="H2888" i="1"/>
  <c r="J2888" i="1"/>
  <c r="A2889" i="1"/>
  <c r="B2889" i="1"/>
  <c r="G2889" i="1"/>
  <c r="H2889" i="1"/>
  <c r="J2889" i="1"/>
  <c r="A2890" i="1"/>
  <c r="B2890" i="1"/>
  <c r="G2890" i="1"/>
  <c r="H2890" i="1"/>
  <c r="J2890" i="1"/>
  <c r="A2891" i="1"/>
  <c r="B2891" i="1"/>
  <c r="G2891" i="1"/>
  <c r="H2891" i="1"/>
  <c r="J2891" i="1"/>
  <c r="A2892" i="1"/>
  <c r="B2892" i="1"/>
  <c r="G2892" i="1"/>
  <c r="H2892" i="1"/>
  <c r="J2892" i="1"/>
  <c r="A2893" i="1"/>
  <c r="B2893" i="1"/>
  <c r="G2893" i="1"/>
  <c r="H2893" i="1"/>
  <c r="J2893" i="1"/>
  <c r="A2894" i="1"/>
  <c r="B2894" i="1"/>
  <c r="G2894" i="1"/>
  <c r="H2894" i="1"/>
  <c r="J2894" i="1"/>
  <c r="A2895" i="1"/>
  <c r="B2895" i="1"/>
  <c r="G2895" i="1"/>
  <c r="H2895" i="1"/>
  <c r="J2895" i="1"/>
  <c r="A2896" i="1"/>
  <c r="B2896" i="1"/>
  <c r="G2896" i="1"/>
  <c r="H2896" i="1"/>
  <c r="J2896" i="1"/>
  <c r="A2897" i="1"/>
  <c r="B2897" i="1"/>
  <c r="G2897" i="1"/>
  <c r="H2897" i="1"/>
  <c r="J2897" i="1"/>
  <c r="A2898" i="1"/>
  <c r="B2898" i="1"/>
  <c r="G2898" i="1"/>
  <c r="H2898" i="1"/>
  <c r="J2898" i="1"/>
  <c r="A2899" i="1"/>
  <c r="B2899" i="1"/>
  <c r="G2899" i="1"/>
  <c r="H2899" i="1"/>
  <c r="J2899" i="1"/>
  <c r="A2900" i="1"/>
  <c r="B2900" i="1"/>
  <c r="G2900" i="1"/>
  <c r="H2900" i="1"/>
  <c r="J2900" i="1"/>
  <c r="A2901" i="1"/>
  <c r="B2901" i="1"/>
  <c r="G2901" i="1"/>
  <c r="H2901" i="1"/>
  <c r="J2901" i="1"/>
  <c r="A2902" i="1"/>
  <c r="B2902" i="1"/>
  <c r="G2902" i="1"/>
  <c r="H2902" i="1"/>
  <c r="J2902" i="1"/>
  <c r="A2903" i="1"/>
  <c r="B2903" i="1"/>
  <c r="G2903" i="1"/>
  <c r="H2903" i="1"/>
  <c r="J2903" i="1"/>
  <c r="A2904" i="1"/>
  <c r="B2904" i="1"/>
  <c r="G2904" i="1"/>
  <c r="H2904" i="1"/>
  <c r="J2904" i="1"/>
  <c r="A2905" i="1"/>
  <c r="B2905" i="1"/>
  <c r="G2905" i="1"/>
  <c r="H2905" i="1"/>
  <c r="J2905" i="1"/>
  <c r="A2906" i="1"/>
  <c r="B2906" i="1"/>
  <c r="G2906" i="1"/>
  <c r="H2906" i="1"/>
  <c r="J2906" i="1"/>
  <c r="A2907" i="1"/>
  <c r="B2907" i="1"/>
  <c r="G2907" i="1"/>
  <c r="H2907" i="1"/>
  <c r="J2907" i="1"/>
  <c r="A2908" i="1"/>
  <c r="B2908" i="1"/>
  <c r="G2908" i="1"/>
  <c r="H2908" i="1"/>
  <c r="J2908" i="1"/>
  <c r="A2909" i="1"/>
  <c r="B2909" i="1"/>
  <c r="G2909" i="1"/>
  <c r="H2909" i="1"/>
  <c r="J2909" i="1"/>
  <c r="A2910" i="1"/>
  <c r="B2910" i="1"/>
  <c r="G2910" i="1"/>
  <c r="H2910" i="1"/>
  <c r="J2910" i="1"/>
  <c r="A2911" i="1"/>
  <c r="B2911" i="1"/>
  <c r="G2911" i="1"/>
  <c r="H2911" i="1"/>
  <c r="J2911" i="1"/>
  <c r="A2912" i="1"/>
  <c r="B2912" i="1"/>
  <c r="G2912" i="1"/>
  <c r="H2912" i="1"/>
  <c r="J2912" i="1"/>
  <c r="A2913" i="1"/>
  <c r="B2913" i="1"/>
  <c r="G2913" i="1"/>
  <c r="H2913" i="1"/>
  <c r="J2913" i="1"/>
  <c r="A2914" i="1"/>
  <c r="B2914" i="1"/>
  <c r="G2914" i="1"/>
  <c r="H2914" i="1"/>
  <c r="J2914" i="1"/>
  <c r="A2915" i="1"/>
  <c r="B2915" i="1"/>
  <c r="G2915" i="1"/>
  <c r="H2915" i="1"/>
  <c r="J2915" i="1"/>
  <c r="A2916" i="1"/>
  <c r="B2916" i="1"/>
  <c r="G2916" i="1"/>
  <c r="H2916" i="1"/>
  <c r="J2916" i="1"/>
  <c r="A2917" i="1"/>
  <c r="B2917" i="1"/>
  <c r="G2917" i="1"/>
  <c r="H2917" i="1"/>
  <c r="J2917" i="1"/>
  <c r="A2918" i="1"/>
  <c r="B2918" i="1"/>
  <c r="G2918" i="1"/>
  <c r="H2918" i="1"/>
  <c r="J2918" i="1"/>
  <c r="A2919" i="1"/>
  <c r="B2919" i="1"/>
  <c r="G2919" i="1"/>
  <c r="H2919" i="1"/>
  <c r="J2919" i="1"/>
  <c r="A2920" i="1"/>
  <c r="B2920" i="1"/>
  <c r="G2920" i="1"/>
  <c r="H2920" i="1"/>
  <c r="J2920" i="1"/>
  <c r="A2921" i="1"/>
  <c r="B2921" i="1"/>
  <c r="G2921" i="1"/>
  <c r="H2921" i="1"/>
  <c r="J2921" i="1"/>
  <c r="A2922" i="1"/>
  <c r="B2922" i="1"/>
  <c r="G2922" i="1"/>
  <c r="H2922" i="1"/>
  <c r="J2922" i="1"/>
  <c r="A2923" i="1"/>
  <c r="B2923" i="1"/>
  <c r="G2923" i="1"/>
  <c r="H2923" i="1"/>
  <c r="J2923" i="1"/>
  <c r="A2924" i="1"/>
  <c r="B2924" i="1"/>
  <c r="G2924" i="1"/>
  <c r="H2924" i="1"/>
  <c r="J2924" i="1"/>
  <c r="A2925" i="1"/>
  <c r="B2925" i="1"/>
  <c r="G2925" i="1"/>
  <c r="H2925" i="1"/>
  <c r="J2925" i="1"/>
  <c r="A2926" i="1"/>
  <c r="B2926" i="1"/>
  <c r="G2926" i="1"/>
  <c r="H2926" i="1"/>
  <c r="J2926" i="1"/>
  <c r="A2927" i="1"/>
  <c r="B2927" i="1"/>
  <c r="G2927" i="1"/>
  <c r="H2927" i="1"/>
  <c r="J2927" i="1"/>
  <c r="A2928" i="1"/>
  <c r="B2928" i="1"/>
  <c r="G2928" i="1"/>
  <c r="H2928" i="1"/>
  <c r="J2928" i="1"/>
  <c r="A2929" i="1"/>
  <c r="B2929" i="1"/>
  <c r="G2929" i="1"/>
  <c r="H2929" i="1"/>
  <c r="J2929" i="1"/>
  <c r="A2930" i="1"/>
  <c r="B2930" i="1"/>
  <c r="G2930" i="1"/>
  <c r="H2930" i="1"/>
  <c r="J2930" i="1"/>
  <c r="A2931" i="1"/>
  <c r="B2931" i="1"/>
  <c r="G2931" i="1"/>
  <c r="H2931" i="1"/>
  <c r="J2931" i="1"/>
  <c r="A2932" i="1"/>
  <c r="B2932" i="1"/>
  <c r="G2932" i="1"/>
  <c r="H2932" i="1"/>
  <c r="J2932" i="1"/>
  <c r="A2933" i="1"/>
  <c r="B2933" i="1"/>
  <c r="G2933" i="1"/>
  <c r="H2933" i="1"/>
  <c r="J2933" i="1"/>
  <c r="A2934" i="1"/>
  <c r="B2934" i="1"/>
  <c r="G2934" i="1"/>
  <c r="H2934" i="1"/>
  <c r="J2934" i="1"/>
  <c r="A2935" i="1"/>
  <c r="B2935" i="1"/>
  <c r="G2935" i="1"/>
  <c r="H2935" i="1"/>
  <c r="J2935" i="1"/>
  <c r="A2936" i="1"/>
  <c r="B2936" i="1"/>
  <c r="G2936" i="1"/>
  <c r="H2936" i="1"/>
  <c r="J2936" i="1"/>
  <c r="A2937" i="1"/>
  <c r="B2937" i="1"/>
  <c r="G2937" i="1"/>
  <c r="H2937" i="1"/>
  <c r="J2937" i="1"/>
  <c r="A2938" i="1"/>
  <c r="B2938" i="1"/>
  <c r="G2938" i="1"/>
  <c r="H2938" i="1"/>
  <c r="J2938" i="1"/>
  <c r="A2939" i="1"/>
  <c r="B2939" i="1"/>
  <c r="G2939" i="1"/>
  <c r="H2939" i="1"/>
  <c r="J2939" i="1"/>
  <c r="A2940" i="1"/>
  <c r="B2940" i="1"/>
  <c r="G2940" i="1"/>
  <c r="H2940" i="1"/>
  <c r="J2940" i="1"/>
  <c r="A2941" i="1"/>
  <c r="B2941" i="1"/>
  <c r="G2941" i="1"/>
  <c r="H2941" i="1"/>
  <c r="J2941" i="1"/>
  <c r="A2942" i="1"/>
  <c r="B2942" i="1"/>
  <c r="G2942" i="1"/>
  <c r="H2942" i="1"/>
  <c r="J2942" i="1"/>
  <c r="A2943" i="1"/>
  <c r="B2943" i="1"/>
  <c r="G2943" i="1"/>
  <c r="H2943" i="1"/>
  <c r="J2943" i="1"/>
  <c r="A2944" i="1"/>
  <c r="B2944" i="1"/>
  <c r="G2944" i="1"/>
  <c r="H2944" i="1"/>
  <c r="J2944" i="1"/>
  <c r="A2945" i="1"/>
  <c r="B2945" i="1"/>
  <c r="G2945" i="1"/>
  <c r="H2945" i="1"/>
  <c r="J2945" i="1"/>
  <c r="A2946" i="1"/>
  <c r="B2946" i="1"/>
  <c r="G2946" i="1"/>
  <c r="H2946" i="1"/>
  <c r="J2946" i="1"/>
  <c r="A2947" i="1"/>
  <c r="B2947" i="1"/>
  <c r="G2947" i="1"/>
  <c r="H2947" i="1"/>
  <c r="J2947" i="1"/>
  <c r="A2948" i="1"/>
  <c r="B2948" i="1"/>
  <c r="G2948" i="1"/>
  <c r="H2948" i="1"/>
  <c r="J2948" i="1"/>
  <c r="A2949" i="1"/>
  <c r="B2949" i="1"/>
  <c r="G2949" i="1"/>
  <c r="H2949" i="1"/>
  <c r="J2949" i="1"/>
  <c r="A2950" i="1"/>
  <c r="B2950" i="1"/>
  <c r="G2950" i="1"/>
  <c r="H2950" i="1"/>
  <c r="J2950" i="1"/>
  <c r="A2951" i="1"/>
  <c r="B2951" i="1"/>
  <c r="G2951" i="1"/>
  <c r="H2951" i="1"/>
  <c r="J2951" i="1"/>
  <c r="A2952" i="1"/>
  <c r="B2952" i="1"/>
  <c r="G2952" i="1"/>
  <c r="H2952" i="1"/>
  <c r="J2952" i="1"/>
  <c r="A2953" i="1"/>
  <c r="B2953" i="1"/>
  <c r="G2953" i="1"/>
  <c r="H2953" i="1"/>
  <c r="J2953" i="1"/>
  <c r="A2954" i="1"/>
  <c r="B2954" i="1"/>
  <c r="G2954" i="1"/>
  <c r="H2954" i="1"/>
  <c r="J2954" i="1"/>
  <c r="A2955" i="1"/>
  <c r="B2955" i="1"/>
  <c r="G2955" i="1"/>
  <c r="H2955" i="1"/>
  <c r="J2955" i="1"/>
  <c r="A2956" i="1"/>
  <c r="B2956" i="1"/>
  <c r="G2956" i="1"/>
  <c r="H2956" i="1"/>
  <c r="J2956" i="1"/>
  <c r="A2957" i="1"/>
  <c r="B2957" i="1"/>
  <c r="G2957" i="1"/>
  <c r="H2957" i="1"/>
  <c r="J2957" i="1"/>
  <c r="A2958" i="1"/>
  <c r="B2958" i="1"/>
  <c r="G2958" i="1"/>
  <c r="H2958" i="1"/>
  <c r="J2958" i="1"/>
  <c r="A2959" i="1"/>
  <c r="B2959" i="1"/>
  <c r="G2959" i="1"/>
  <c r="H2959" i="1"/>
  <c r="J2959" i="1"/>
  <c r="A2960" i="1"/>
  <c r="B2960" i="1"/>
  <c r="G2960" i="1"/>
  <c r="H2960" i="1"/>
  <c r="J2960" i="1"/>
  <c r="A2961" i="1"/>
  <c r="B2961" i="1"/>
  <c r="G2961" i="1"/>
  <c r="H2961" i="1"/>
  <c r="J2961" i="1"/>
  <c r="A2962" i="1"/>
  <c r="B2962" i="1"/>
  <c r="G2962" i="1"/>
  <c r="H2962" i="1"/>
  <c r="J2962" i="1"/>
  <c r="A2963" i="1"/>
  <c r="B2963" i="1"/>
  <c r="G2963" i="1"/>
  <c r="H2963" i="1"/>
  <c r="J2963" i="1"/>
  <c r="A2964" i="1"/>
  <c r="B2964" i="1"/>
  <c r="G2964" i="1"/>
  <c r="H2964" i="1"/>
  <c r="J2964" i="1"/>
  <c r="A2965" i="1"/>
  <c r="B2965" i="1"/>
  <c r="G2965" i="1"/>
  <c r="H2965" i="1"/>
  <c r="J2965" i="1"/>
  <c r="A2966" i="1"/>
  <c r="B2966" i="1"/>
  <c r="G2966" i="1"/>
  <c r="H2966" i="1"/>
  <c r="J2966" i="1"/>
  <c r="A2967" i="1"/>
  <c r="B2967" i="1"/>
  <c r="G2967" i="1"/>
  <c r="H2967" i="1"/>
  <c r="J2967" i="1"/>
  <c r="A2968" i="1"/>
  <c r="B2968" i="1"/>
  <c r="G2968" i="1"/>
  <c r="H2968" i="1"/>
  <c r="J2968" i="1"/>
  <c r="A2969" i="1"/>
  <c r="B2969" i="1"/>
  <c r="G2969" i="1"/>
  <c r="H2969" i="1"/>
  <c r="J2969" i="1"/>
  <c r="A2970" i="1"/>
  <c r="B2970" i="1"/>
  <c r="G2970" i="1"/>
  <c r="H2970" i="1"/>
  <c r="J2970" i="1"/>
  <c r="A2971" i="1"/>
  <c r="B2971" i="1"/>
  <c r="G2971" i="1"/>
  <c r="H2971" i="1"/>
  <c r="J2971" i="1"/>
  <c r="A2972" i="1"/>
  <c r="B2972" i="1"/>
  <c r="G2972" i="1"/>
  <c r="H2972" i="1"/>
  <c r="J2972" i="1"/>
  <c r="A2973" i="1"/>
  <c r="B2973" i="1"/>
  <c r="G2973" i="1"/>
  <c r="H2973" i="1"/>
  <c r="J2973" i="1"/>
  <c r="A2974" i="1"/>
  <c r="B2974" i="1"/>
  <c r="G2974" i="1"/>
  <c r="H2974" i="1"/>
  <c r="J2974" i="1"/>
  <c r="A2975" i="1"/>
  <c r="B2975" i="1"/>
  <c r="G2975" i="1"/>
  <c r="H2975" i="1"/>
  <c r="J2975" i="1"/>
  <c r="A2976" i="1"/>
  <c r="B2976" i="1"/>
  <c r="G2976" i="1"/>
  <c r="H2976" i="1"/>
  <c r="J2976" i="1"/>
  <c r="A2977" i="1"/>
  <c r="B2977" i="1"/>
  <c r="G2977" i="1"/>
  <c r="H2977" i="1"/>
  <c r="J2977" i="1"/>
  <c r="A2978" i="1"/>
  <c r="B2978" i="1"/>
  <c r="G2978" i="1"/>
  <c r="H2978" i="1"/>
  <c r="J2978" i="1"/>
  <c r="A2979" i="1"/>
  <c r="B2979" i="1"/>
  <c r="G2979" i="1"/>
  <c r="H2979" i="1"/>
  <c r="J2979" i="1"/>
  <c r="A2980" i="1"/>
  <c r="B2980" i="1"/>
  <c r="G2980" i="1"/>
  <c r="H2980" i="1"/>
  <c r="J2980" i="1"/>
  <c r="A2981" i="1"/>
  <c r="B2981" i="1"/>
  <c r="G2981" i="1"/>
  <c r="H2981" i="1"/>
  <c r="J2981" i="1"/>
  <c r="A2982" i="1"/>
  <c r="B2982" i="1"/>
  <c r="G2982" i="1"/>
  <c r="H2982" i="1"/>
  <c r="J2982" i="1"/>
  <c r="A2983" i="1"/>
  <c r="B2983" i="1"/>
  <c r="G2983" i="1"/>
  <c r="H2983" i="1"/>
  <c r="J2983" i="1"/>
  <c r="A2984" i="1"/>
  <c r="B2984" i="1"/>
  <c r="G2984" i="1"/>
  <c r="H2984" i="1"/>
  <c r="J2984" i="1"/>
  <c r="A2985" i="1"/>
  <c r="B2985" i="1"/>
  <c r="G2985" i="1"/>
  <c r="H2985" i="1"/>
  <c r="J2985" i="1"/>
  <c r="A2986" i="1"/>
  <c r="B2986" i="1"/>
  <c r="G2986" i="1"/>
  <c r="H2986" i="1"/>
  <c r="J2986" i="1"/>
  <c r="A2987" i="1"/>
  <c r="B2987" i="1"/>
  <c r="G2987" i="1"/>
  <c r="H2987" i="1"/>
  <c r="J2987" i="1"/>
  <c r="A2988" i="1"/>
  <c r="B2988" i="1"/>
  <c r="G2988" i="1"/>
  <c r="H2988" i="1"/>
  <c r="J2988" i="1"/>
  <c r="A2989" i="1"/>
  <c r="B2989" i="1"/>
  <c r="G2989" i="1"/>
  <c r="H2989" i="1"/>
  <c r="J2989" i="1"/>
  <c r="A2990" i="1"/>
  <c r="B2990" i="1"/>
  <c r="G2990" i="1"/>
  <c r="H2990" i="1"/>
  <c r="J2990" i="1"/>
  <c r="A2991" i="1"/>
  <c r="B2991" i="1"/>
  <c r="G2991" i="1"/>
  <c r="H2991" i="1"/>
  <c r="J2991" i="1"/>
  <c r="A2992" i="1"/>
  <c r="B2992" i="1"/>
  <c r="G2992" i="1"/>
  <c r="H2992" i="1"/>
  <c r="J2992" i="1"/>
  <c r="A2993" i="1"/>
  <c r="B2993" i="1"/>
  <c r="G2993" i="1"/>
  <c r="H2993" i="1"/>
  <c r="J2993" i="1"/>
  <c r="A2994" i="1"/>
  <c r="B2994" i="1"/>
  <c r="G2994" i="1"/>
  <c r="H2994" i="1"/>
  <c r="J2994" i="1"/>
  <c r="A2995" i="1"/>
  <c r="B2995" i="1"/>
  <c r="G2995" i="1"/>
  <c r="H2995" i="1"/>
  <c r="J2995" i="1"/>
  <c r="A2996" i="1"/>
  <c r="B2996" i="1"/>
  <c r="G2996" i="1"/>
  <c r="H2996" i="1"/>
  <c r="J2996" i="1"/>
  <c r="A2997" i="1"/>
  <c r="B2997" i="1"/>
  <c r="G2997" i="1"/>
  <c r="H2997" i="1"/>
  <c r="J2997" i="1"/>
  <c r="A2998" i="1"/>
  <c r="B2998" i="1"/>
  <c r="G2998" i="1"/>
  <c r="H2998" i="1"/>
  <c r="J2998" i="1"/>
  <c r="A2999" i="1"/>
  <c r="B2999" i="1"/>
  <c r="G2999" i="1"/>
  <c r="H2999" i="1"/>
  <c r="J2999" i="1"/>
  <c r="A3000" i="1"/>
  <c r="B3000" i="1"/>
  <c r="G3000" i="1"/>
  <c r="H3000" i="1"/>
  <c r="J3000" i="1"/>
  <c r="A3001" i="1"/>
  <c r="B3001" i="1"/>
  <c r="G3001" i="1"/>
  <c r="H3001" i="1"/>
  <c r="J3001" i="1"/>
  <c r="A3002" i="1"/>
  <c r="B3002" i="1"/>
  <c r="G3002" i="1"/>
  <c r="H3002" i="1"/>
  <c r="J3002" i="1"/>
  <c r="A3003" i="1"/>
  <c r="B3003" i="1"/>
  <c r="G3003" i="1"/>
  <c r="H3003" i="1"/>
  <c r="J3003" i="1"/>
  <c r="A3004" i="1"/>
  <c r="B3004" i="1"/>
  <c r="G3004" i="1"/>
  <c r="H3004" i="1"/>
  <c r="J3004" i="1"/>
  <c r="A3005" i="1"/>
  <c r="B3005" i="1"/>
  <c r="G3005" i="1"/>
  <c r="H3005" i="1"/>
  <c r="J3005" i="1"/>
  <c r="A3006" i="1"/>
  <c r="B3006" i="1"/>
  <c r="G3006" i="1"/>
  <c r="H3006" i="1"/>
  <c r="J3006" i="1"/>
  <c r="A3007" i="1"/>
  <c r="B3007" i="1"/>
  <c r="G3007" i="1"/>
  <c r="H3007" i="1"/>
  <c r="J3007" i="1"/>
  <c r="A3008" i="1"/>
  <c r="B3008" i="1"/>
  <c r="G3008" i="1"/>
  <c r="H3008" i="1"/>
  <c r="J3008" i="1"/>
  <c r="A3009" i="1"/>
  <c r="B3009" i="1"/>
  <c r="G3009" i="1"/>
  <c r="H3009" i="1"/>
  <c r="J3009" i="1"/>
  <c r="A3010" i="1"/>
  <c r="B3010" i="1"/>
  <c r="G3010" i="1"/>
  <c r="H3010" i="1"/>
  <c r="J3010" i="1"/>
  <c r="A3011" i="1"/>
  <c r="B3011" i="1"/>
  <c r="G3011" i="1"/>
  <c r="H3011" i="1"/>
  <c r="J3011" i="1"/>
  <c r="A3012" i="1"/>
  <c r="B3012" i="1"/>
  <c r="G3012" i="1"/>
  <c r="H3012" i="1"/>
  <c r="J3012" i="1"/>
  <c r="A3013" i="1"/>
  <c r="B3013" i="1"/>
  <c r="G3013" i="1"/>
  <c r="H3013" i="1"/>
  <c r="J3013" i="1"/>
  <c r="A3014" i="1"/>
  <c r="B3014" i="1"/>
  <c r="G3014" i="1"/>
  <c r="H3014" i="1"/>
  <c r="J3014" i="1"/>
  <c r="A3015" i="1"/>
  <c r="B3015" i="1"/>
  <c r="G3015" i="1"/>
  <c r="H3015" i="1"/>
  <c r="J3015" i="1"/>
  <c r="A3016" i="1"/>
  <c r="B3016" i="1"/>
  <c r="G3016" i="1"/>
  <c r="H3016" i="1"/>
  <c r="J3016" i="1"/>
  <c r="A3017" i="1"/>
  <c r="B3017" i="1"/>
  <c r="G3017" i="1"/>
  <c r="H3017" i="1"/>
  <c r="J3017" i="1"/>
  <c r="A3018" i="1"/>
  <c r="B3018" i="1"/>
  <c r="G3018" i="1"/>
  <c r="H3018" i="1"/>
  <c r="J3018" i="1"/>
  <c r="A3019" i="1"/>
  <c r="B3019" i="1"/>
  <c r="G3019" i="1"/>
  <c r="H3019" i="1"/>
  <c r="J3019" i="1"/>
  <c r="A3020" i="1"/>
  <c r="B3020" i="1"/>
  <c r="G3020" i="1"/>
  <c r="H3020" i="1"/>
  <c r="J3020" i="1"/>
  <c r="A3021" i="1"/>
  <c r="B3021" i="1"/>
  <c r="G3021" i="1"/>
  <c r="H3021" i="1"/>
  <c r="J3021" i="1"/>
  <c r="A3022" i="1"/>
  <c r="B3022" i="1"/>
  <c r="G3022" i="1"/>
  <c r="H3022" i="1"/>
  <c r="J3022" i="1"/>
  <c r="A3023" i="1"/>
  <c r="B3023" i="1"/>
  <c r="G3023" i="1"/>
  <c r="H3023" i="1"/>
  <c r="J3023" i="1"/>
  <c r="A3024" i="1"/>
  <c r="B3024" i="1"/>
  <c r="G3024" i="1"/>
  <c r="H3024" i="1"/>
  <c r="J3024" i="1"/>
  <c r="A3025" i="1"/>
  <c r="B3025" i="1"/>
  <c r="G3025" i="1"/>
  <c r="H3025" i="1"/>
  <c r="J3025" i="1"/>
  <c r="A3026" i="1"/>
  <c r="B3026" i="1"/>
  <c r="G3026" i="1"/>
  <c r="H3026" i="1"/>
  <c r="A3027" i="1"/>
  <c r="B3027" i="1"/>
  <c r="G3027" i="1"/>
  <c r="H3027" i="1"/>
  <c r="J3027" i="1"/>
  <c r="A3028" i="1"/>
  <c r="B3028" i="1"/>
  <c r="G3028" i="1"/>
  <c r="H3028" i="1"/>
  <c r="J3028" i="1"/>
  <c r="A3029" i="1"/>
  <c r="B3029" i="1"/>
  <c r="G3029" i="1"/>
  <c r="H3029" i="1"/>
  <c r="J3029" i="1"/>
  <c r="A3030" i="1"/>
  <c r="B3030" i="1"/>
  <c r="G3030" i="1"/>
  <c r="H3030" i="1"/>
  <c r="J3030" i="1"/>
  <c r="A3031" i="1"/>
  <c r="B3031" i="1"/>
  <c r="G3031" i="1"/>
  <c r="H3031" i="1"/>
  <c r="J3031" i="1"/>
  <c r="A3032" i="1"/>
  <c r="B3032" i="1"/>
  <c r="G3032" i="1"/>
  <c r="H3032" i="1"/>
  <c r="J3032" i="1"/>
  <c r="A3033" i="1"/>
  <c r="B3033" i="1"/>
  <c r="G3033" i="1"/>
  <c r="H3033" i="1"/>
  <c r="J3033" i="1"/>
  <c r="A3034" i="1"/>
  <c r="B3034" i="1"/>
  <c r="G3034" i="1"/>
  <c r="H3034" i="1"/>
  <c r="J3034" i="1"/>
  <c r="A3035" i="1"/>
  <c r="B3035" i="1"/>
  <c r="G3035" i="1"/>
  <c r="H3035" i="1"/>
  <c r="J3035" i="1"/>
  <c r="A3036" i="1"/>
  <c r="B3036" i="1"/>
  <c r="G3036" i="1"/>
  <c r="H3036" i="1"/>
  <c r="J3036" i="1"/>
  <c r="A3037" i="1"/>
  <c r="B3037" i="1"/>
  <c r="G3037" i="1"/>
  <c r="H3037" i="1"/>
  <c r="J3037" i="1"/>
  <c r="A3038" i="1"/>
  <c r="B3038" i="1"/>
  <c r="G3038" i="1"/>
  <c r="H3038" i="1"/>
  <c r="J3038" i="1"/>
  <c r="A3039" i="1"/>
  <c r="B3039" i="1"/>
  <c r="G3039" i="1"/>
  <c r="H3039" i="1"/>
  <c r="J3039" i="1"/>
  <c r="A3040" i="1"/>
  <c r="B3040" i="1"/>
  <c r="G3040" i="1"/>
  <c r="H3040" i="1"/>
  <c r="J3040" i="1"/>
  <c r="A3041" i="1"/>
  <c r="B3041" i="1"/>
  <c r="G3041" i="1"/>
  <c r="H3041" i="1"/>
  <c r="J3041" i="1"/>
  <c r="A3042" i="1"/>
  <c r="B3042" i="1"/>
  <c r="G3042" i="1"/>
  <c r="H3042" i="1"/>
  <c r="J3042" i="1"/>
  <c r="A3043" i="1"/>
  <c r="B3043" i="1"/>
  <c r="G3043" i="1"/>
  <c r="H3043" i="1"/>
  <c r="J3043" i="1"/>
  <c r="A3044" i="1"/>
  <c r="B3044" i="1"/>
  <c r="G3044" i="1"/>
  <c r="H3044" i="1"/>
  <c r="J3044" i="1"/>
  <c r="A3045" i="1"/>
  <c r="B3045" i="1"/>
  <c r="G3045" i="1"/>
  <c r="H3045" i="1"/>
  <c r="J3045" i="1"/>
  <c r="A3046" i="1"/>
  <c r="B3046" i="1"/>
  <c r="G3046" i="1"/>
  <c r="H3046" i="1"/>
  <c r="J3046" i="1"/>
  <c r="A3047" i="1"/>
  <c r="B3047" i="1"/>
  <c r="G3047" i="1"/>
  <c r="H3047" i="1"/>
  <c r="J3047" i="1"/>
  <c r="A3048" i="1"/>
  <c r="B3048" i="1"/>
  <c r="G3048" i="1"/>
  <c r="H3048" i="1"/>
  <c r="J3048" i="1"/>
  <c r="A3049" i="1"/>
  <c r="B3049" i="1"/>
  <c r="G3049" i="1"/>
  <c r="H3049" i="1"/>
  <c r="J3049" i="1"/>
  <c r="A3050" i="1"/>
  <c r="B3050" i="1"/>
  <c r="G3050" i="1"/>
  <c r="H3050" i="1"/>
  <c r="J3050" i="1"/>
  <c r="A3051" i="1"/>
  <c r="B3051" i="1"/>
  <c r="G3051" i="1"/>
  <c r="H3051" i="1"/>
  <c r="J3051" i="1"/>
  <c r="A3052" i="1"/>
  <c r="B3052" i="1"/>
  <c r="G3052" i="1"/>
  <c r="H3052" i="1"/>
  <c r="J3052" i="1"/>
  <c r="A3053" i="1"/>
  <c r="B3053" i="1"/>
  <c r="G3053" i="1"/>
  <c r="H3053" i="1"/>
  <c r="J3053" i="1"/>
  <c r="A3054" i="1"/>
  <c r="B3054" i="1"/>
  <c r="G3054" i="1"/>
  <c r="H3054" i="1"/>
  <c r="J3054" i="1"/>
  <c r="A3055" i="1"/>
  <c r="B3055" i="1"/>
  <c r="G3055" i="1"/>
  <c r="H3055" i="1"/>
  <c r="J3055" i="1"/>
  <c r="A3056" i="1"/>
  <c r="B3056" i="1"/>
  <c r="G3056" i="1"/>
  <c r="H3056" i="1"/>
  <c r="J3056" i="1"/>
  <c r="A3057" i="1"/>
  <c r="B3057" i="1"/>
  <c r="G3057" i="1"/>
  <c r="H3057" i="1"/>
  <c r="J3057" i="1"/>
  <c r="A3058" i="1"/>
  <c r="B3058" i="1"/>
  <c r="G3058" i="1"/>
  <c r="H3058" i="1"/>
  <c r="J3058" i="1"/>
  <c r="A3059" i="1"/>
  <c r="B3059" i="1"/>
  <c r="G3059" i="1"/>
  <c r="H3059" i="1"/>
  <c r="J3059" i="1"/>
  <c r="A3060" i="1"/>
  <c r="B3060" i="1"/>
  <c r="G3060" i="1"/>
  <c r="H3060" i="1"/>
  <c r="J3060" i="1"/>
  <c r="A3061" i="1"/>
  <c r="B3061" i="1"/>
  <c r="G3061" i="1"/>
  <c r="H3061" i="1"/>
  <c r="J3061" i="1"/>
  <c r="A3062" i="1"/>
  <c r="B3062" i="1"/>
  <c r="G3062" i="1"/>
  <c r="H3062" i="1"/>
  <c r="J3062" i="1"/>
  <c r="A3063" i="1"/>
  <c r="B3063" i="1"/>
  <c r="G3063" i="1"/>
  <c r="H3063" i="1"/>
  <c r="J3063" i="1"/>
  <c r="A3064" i="1"/>
  <c r="B3064" i="1"/>
  <c r="G3064" i="1"/>
  <c r="H3064" i="1"/>
  <c r="J3064" i="1"/>
  <c r="A3065" i="1"/>
  <c r="B3065" i="1"/>
  <c r="G3065" i="1"/>
  <c r="H3065" i="1"/>
  <c r="J3065" i="1"/>
  <c r="A3066" i="1"/>
  <c r="B3066" i="1"/>
  <c r="G3066" i="1"/>
  <c r="H3066" i="1"/>
  <c r="J3066" i="1"/>
  <c r="A3067" i="1"/>
  <c r="B3067" i="1"/>
  <c r="G3067" i="1"/>
  <c r="H3067" i="1"/>
  <c r="J3067" i="1"/>
  <c r="A3068" i="1"/>
  <c r="B3068" i="1"/>
  <c r="G3068" i="1"/>
  <c r="H3068" i="1"/>
  <c r="J3068" i="1"/>
  <c r="A3069" i="1"/>
  <c r="B3069" i="1"/>
  <c r="G3069" i="1"/>
  <c r="H3069" i="1"/>
  <c r="J3069" i="1"/>
  <c r="A3070" i="1"/>
  <c r="B3070" i="1"/>
  <c r="G3070" i="1"/>
  <c r="H3070" i="1"/>
  <c r="J3070" i="1"/>
  <c r="A3071" i="1"/>
  <c r="B3071" i="1"/>
  <c r="G3071" i="1"/>
  <c r="H3071" i="1"/>
  <c r="J3071" i="1"/>
  <c r="A3072" i="1"/>
  <c r="B3072" i="1"/>
  <c r="G3072" i="1"/>
  <c r="H3072" i="1"/>
  <c r="J3072" i="1"/>
  <c r="A3073" i="1"/>
  <c r="B3073" i="1"/>
  <c r="G3073" i="1"/>
  <c r="H3073" i="1"/>
  <c r="J3073" i="1"/>
  <c r="A3074" i="1"/>
  <c r="B3074" i="1"/>
  <c r="G3074" i="1"/>
  <c r="H3074" i="1"/>
  <c r="J3074" i="1"/>
  <c r="A3075" i="1"/>
  <c r="B3075" i="1"/>
  <c r="G3075" i="1"/>
  <c r="H3075" i="1"/>
  <c r="J3075" i="1"/>
  <c r="A3076" i="1"/>
  <c r="B3076" i="1"/>
  <c r="G3076" i="1"/>
  <c r="H3076" i="1"/>
  <c r="J3076" i="1"/>
  <c r="A3077" i="1"/>
  <c r="B3077" i="1"/>
  <c r="G3077" i="1"/>
  <c r="H3077" i="1"/>
  <c r="J3077" i="1"/>
  <c r="A3078" i="1"/>
  <c r="B3078" i="1"/>
  <c r="G3078" i="1"/>
  <c r="H3078" i="1"/>
  <c r="J3078" i="1"/>
  <c r="A3079" i="1"/>
  <c r="B3079" i="1"/>
  <c r="G3079" i="1"/>
  <c r="H3079" i="1"/>
  <c r="J3079" i="1"/>
  <c r="A3080" i="1"/>
  <c r="B3080" i="1"/>
  <c r="G3080" i="1"/>
  <c r="H3080" i="1"/>
  <c r="J3080" i="1"/>
  <c r="A3081" i="1"/>
  <c r="B3081" i="1"/>
  <c r="G3081" i="1"/>
  <c r="H3081" i="1"/>
  <c r="J3081" i="1"/>
  <c r="A3082" i="1"/>
  <c r="B3082" i="1"/>
  <c r="G3082" i="1"/>
  <c r="H3082" i="1"/>
  <c r="J3082" i="1"/>
  <c r="A3083" i="1"/>
  <c r="B3083" i="1"/>
  <c r="G3083" i="1"/>
  <c r="H3083" i="1"/>
  <c r="J3083" i="1"/>
  <c r="A3084" i="1"/>
  <c r="B3084" i="1"/>
  <c r="G3084" i="1"/>
  <c r="H3084" i="1"/>
  <c r="J3084" i="1"/>
  <c r="A3085" i="1"/>
  <c r="B3085" i="1"/>
  <c r="G3085" i="1"/>
  <c r="H3085" i="1"/>
  <c r="J3085" i="1"/>
  <c r="A3086" i="1"/>
  <c r="B3086" i="1"/>
  <c r="G3086" i="1"/>
  <c r="H3086" i="1"/>
  <c r="J3086" i="1"/>
  <c r="A3087" i="1"/>
  <c r="B3087" i="1"/>
  <c r="G3087" i="1"/>
  <c r="H3087" i="1"/>
  <c r="J3087" i="1"/>
  <c r="A3088" i="1"/>
  <c r="B3088" i="1"/>
  <c r="G3088" i="1"/>
  <c r="H3088" i="1"/>
  <c r="J3088" i="1"/>
  <c r="A3089" i="1"/>
  <c r="B3089" i="1"/>
  <c r="G3089" i="1"/>
  <c r="H3089" i="1"/>
  <c r="J3089" i="1"/>
  <c r="A3090" i="1"/>
  <c r="B3090" i="1"/>
  <c r="G3090" i="1"/>
  <c r="H3090" i="1"/>
  <c r="J3090" i="1"/>
  <c r="A3091" i="1"/>
  <c r="B3091" i="1"/>
  <c r="G3091" i="1"/>
  <c r="H3091" i="1"/>
  <c r="J3091" i="1"/>
  <c r="A3092" i="1"/>
  <c r="B3092" i="1"/>
  <c r="G3092" i="1"/>
  <c r="H3092" i="1"/>
  <c r="J3092" i="1"/>
  <c r="A3093" i="1"/>
  <c r="B3093" i="1"/>
  <c r="G3093" i="1"/>
  <c r="H3093" i="1"/>
  <c r="J3093" i="1"/>
  <c r="A3094" i="1"/>
  <c r="B3094" i="1"/>
  <c r="G3094" i="1"/>
  <c r="H3094" i="1"/>
  <c r="J3094" i="1"/>
  <c r="A3095" i="1"/>
  <c r="B3095" i="1"/>
  <c r="G3095" i="1"/>
  <c r="H3095" i="1"/>
  <c r="J3095" i="1"/>
  <c r="A3096" i="1"/>
  <c r="B3096" i="1"/>
  <c r="G3096" i="1"/>
  <c r="H3096" i="1"/>
  <c r="J3096" i="1"/>
  <c r="A3097" i="1"/>
  <c r="B3097" i="1"/>
  <c r="G3097" i="1"/>
  <c r="H3097" i="1"/>
  <c r="J3097" i="1"/>
  <c r="A3098" i="1"/>
  <c r="B3098" i="1"/>
  <c r="G3098" i="1"/>
  <c r="H3098" i="1"/>
  <c r="J3098" i="1"/>
  <c r="A3099" i="1"/>
  <c r="B3099" i="1"/>
  <c r="G3099" i="1"/>
  <c r="H3099" i="1"/>
  <c r="J3099" i="1"/>
  <c r="A3100" i="1"/>
  <c r="B3100" i="1"/>
  <c r="G3100" i="1"/>
  <c r="H3100" i="1"/>
  <c r="J3100" i="1"/>
</calcChain>
</file>

<file path=xl/sharedStrings.xml><?xml version="1.0" encoding="utf-8"?>
<sst xmlns="http://schemas.openxmlformats.org/spreadsheetml/2006/main" count="774" uniqueCount="551">
  <si>
    <t>Vendor Set</t>
  </si>
  <si>
    <t xml:space="preserve">Vendor # </t>
  </si>
  <si>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</si>
  <si>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</si>
  <si>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</si>
  <si>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</si>
  <si>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</si>
  <si>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</si>
  <si>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</si>
  <si>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</si>
  <si>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304 CONSTRUCTION LLC</t>
  </si>
  <si>
    <t>973 MATERIALS  LLC</t>
  </si>
  <si>
    <t>ALLSHRED INC</t>
  </si>
  <si>
    <t>ARNOLD OIL COMPANY OF AUSTIN LP</t>
  </si>
  <si>
    <t>TIMOTHY HALL</t>
  </si>
  <si>
    <t>AAA SHEET METAL PRODUCTS.INC</t>
  </si>
  <si>
    <t>BILL HUDDLESTON</t>
  </si>
  <si>
    <t>ADAM ROWINS</t>
  </si>
  <si>
    <t>ADENA LEWIS</t>
  </si>
  <si>
    <t>ADVANCED GRAPHIX INC</t>
  </si>
  <si>
    <t>ALAMO AREA CRIME PREVENTION ASSOCIATION</t>
  </si>
  <si>
    <t>ALAMO DOOR SYSTEMS</t>
  </si>
  <si>
    <t>ALAMO  GROUP (TX)  INC</t>
  </si>
  <si>
    <t>ALBERT NEAL PFEIFFER</t>
  </si>
  <si>
    <t>S &amp; D PLUMBING-GIDDINGS LLC</t>
  </si>
  <si>
    <t>AMC SOLUTIONS</t>
  </si>
  <si>
    <t>AMERICAN HEALTH SERVICE SALES CORP</t>
  </si>
  <si>
    <t>AMERISOURCEBERGEN</t>
  </si>
  <si>
    <t>ANDERSON &amp; ANDERSON LAW FIRM PC</t>
  </si>
  <si>
    <t>ANTHONY RAMIREZ</t>
  </si>
  <si>
    <t>C APPLEMAN ENT INC</t>
  </si>
  <si>
    <t>APRIL KUCK</t>
  </si>
  <si>
    <t>AQUA BEVERAGE COMPANY/OZARKA</t>
  </si>
  <si>
    <t>AQUA WATER SUPPLY</t>
  </si>
  <si>
    <t>ARA IMAGING / ST.DAVIDS IMAGING LP</t>
  </si>
  <si>
    <t>METROPLEX CONTROL SYSTEMS INC</t>
  </si>
  <si>
    <t>ARSENAL ADVERTISING LLC</t>
  </si>
  <si>
    <t>ASCO</t>
  </si>
  <si>
    <t>ASSOCIATES IN GENERAL SURGERY</t>
  </si>
  <si>
    <t>AT &amp; T</t>
  </si>
  <si>
    <t>AT&amp;T</t>
  </si>
  <si>
    <t>AT&amp;T MOBILITY</t>
  </si>
  <si>
    <t>AT&amp;T MOBILITY-W&amp;M</t>
  </si>
  <si>
    <t>ATCO INTERNATIONAL</t>
  </si>
  <si>
    <t>AUBAINE SUPPLY COMPANY  INC</t>
  </si>
  <si>
    <t>GRAND JUNCTION NEWSPAPERS  INC</t>
  </si>
  <si>
    <t>AUSTIN CITY BUSINESS JOURNALS</t>
  </si>
  <si>
    <t>AUSTIN GASTROENTERLOGY</t>
  </si>
  <si>
    <t>AUSTIN RADIOLOGICAL ASSOC</t>
  </si>
  <si>
    <t>AUSTIN REBUILDERS INC</t>
  </si>
  <si>
    <t>AUSTIN SOUTHWEST ORTHOPAEDIC GROUP</t>
  </si>
  <si>
    <t>AUSTIN WOOD RECYCLING  LTD</t>
  </si>
  <si>
    <t>JIM ATTRA INC</t>
  </si>
  <si>
    <t>BASIC IDIQ  INC.</t>
  </si>
  <si>
    <t>BASTROP AIR CONDITIONING &amp; HEATING</t>
  </si>
  <si>
    <t>DEBORAH D. SPARKMAN</t>
  </si>
  <si>
    <t>BASTROP AUTO WORKS</t>
  </si>
  <si>
    <t>BASTROP CHAMBER OF COMMERCE</t>
  </si>
  <si>
    <t>BASTROP CNTY SHERIFF'S DEPT</t>
  </si>
  <si>
    <t>="11</t>
  </si>
  <si>
    <t>465 7/5/17"</t>
  </si>
  <si>
    <t>751"</t>
  </si>
  <si>
    <t>753"</t>
  </si>
  <si>
    <t>945"</t>
  </si>
  <si>
    <t>="12</t>
  </si>
  <si>
    <t>178"</t>
  </si>
  <si>
    <t>208"</t>
  </si>
  <si>
    <t>238"</t>
  </si>
  <si>
    <t>628"</t>
  </si>
  <si>
    <t>DANIEL L HEPKER</t>
  </si>
  <si>
    <t>BASTROP COUNTY PROBATION DEPT</t>
  </si>
  <si>
    <t>BASTROP ECONOMIC DEVELOPMENT CORP</t>
  </si>
  <si>
    <t>BASTROP MEDICAL CLINIC</t>
  </si>
  <si>
    <t>BASTROP OUTDOOR</t>
  </si>
  <si>
    <t>BASTROP PROVIDENCE FUNERAL HOME</t>
  </si>
  <si>
    <t>BASTROP RETAIL PARTNERS LP</t>
  </si>
  <si>
    <t>BASTROP TREE SERVICE  INC</t>
  </si>
  <si>
    <t>BASTROP VET. HOSPITAL  INC.</t>
  </si>
  <si>
    <t>DAVID H OUTON</t>
  </si>
  <si>
    <t>BEN E KEITH CO.</t>
  </si>
  <si>
    <t>BENJAMIN FOODS  LLC</t>
  </si>
  <si>
    <t>MULTI SERVICE CORP</t>
  </si>
  <si>
    <t>BEXAR COUNTY</t>
  </si>
  <si>
    <t>BEXAR COUNTY SHERIFF</t>
  </si>
  <si>
    <t>BICKERSTAFF HEATH DELGADO ACOSTA LL</t>
  </si>
  <si>
    <t>BIG WRENCH ROAD SERVICE INC</t>
  </si>
  <si>
    <t>BIMBO FOODS INC</t>
  </si>
  <si>
    <t>BLAS J COY JR</t>
  </si>
  <si>
    <t>BLUEBONNET ELECTRIC COOP</t>
  </si>
  <si>
    <t>BLUEBONNET TRAILS MHMR</t>
  </si>
  <si>
    <t>BOB BARKER COMPANY  INC.</t>
  </si>
  <si>
    <t>BOBBY BROWN</t>
  </si>
  <si>
    <t>BONNIE HELLUMS</t>
  </si>
  <si>
    <t>BRAUNTEX MATERIALS INC</t>
  </si>
  <si>
    <t>BRENDA RETZLAFF</t>
  </si>
  <si>
    <t>BRIAN GARVEL</t>
  </si>
  <si>
    <t>LAW OFFICE OF BRYAN W. MCDANIEL  P.C.</t>
  </si>
  <si>
    <t>CHRISTOPHER BRYCE HELMCAMP</t>
  </si>
  <si>
    <t>BUCKEYE INTERNATIONAL INC</t>
  </si>
  <si>
    <t>BUREAU OF VITAL STATISTICS</t>
  </si>
  <si>
    <t>CAMPBELL PET COMPANY</t>
  </si>
  <si>
    <t>CAPITOL ANESTHESIOLOGY ASSOC</t>
  </si>
  <si>
    <t>CAPITOL BEARING OF AUSTIN</t>
  </si>
  <si>
    <t>TIB-THE INDEPENDENT BANKERS BANK</t>
  </si>
  <si>
    <t>CARRIER CORPORATION</t>
  </si>
  <si>
    <t>MARRIOTT HOTEL SERVICES INC</t>
  </si>
  <si>
    <t>CDW GOVERNMENT INC</t>
  </si>
  <si>
    <t>CEDAR PARK HEALTH SYSTEMS  LP</t>
  </si>
  <si>
    <t>CENTERPOINT ENERGY</t>
  </si>
  <si>
    <t>CENTEX MATERIALS LLC</t>
  </si>
  <si>
    <t>CENTRAL TEXAS AUTOPSY</t>
  </si>
  <si>
    <t>CHARLES W CARVER</t>
  </si>
  <si>
    <t>CHARM-TEX</t>
  </si>
  <si>
    <t>CHRIS MATT DILLON</t>
  </si>
  <si>
    <t>CHRISTINA BLUE</t>
  </si>
  <si>
    <t>CHRISTOPHER SCOTT CUMMINGS</t>
  </si>
  <si>
    <t>CINDYE WOLFORD</t>
  </si>
  <si>
    <t>CINTAS</t>
  </si>
  <si>
    <t>CINTAS CORPORATION</t>
  </si>
  <si>
    <t>CINTAS CORPORATION #86</t>
  </si>
  <si>
    <t>CITY OF BASTROP</t>
  </si>
  <si>
    <t>CITY OF SMITHVILLE</t>
  </si>
  <si>
    <t>CLEGG INDUSTRIES INC.</t>
  </si>
  <si>
    <t>CLINICAL PATHOLOGY LABORATORIES INC</t>
  </si>
  <si>
    <t>CNA SURETY</t>
  </si>
  <si>
    <t>COLLIN COUNTY SHERIFF</t>
  </si>
  <si>
    <t>COMAL COUNTY SHERIFF</t>
  </si>
  <si>
    <t>COMMUNITY COFFEE COMPANY LLC</t>
  </si>
  <si>
    <t>CONTECH ENGINEERED SOLUTIONS INC</t>
  </si>
  <si>
    <t>OSCAR MENDEZ ARTEAGA</t>
  </si>
  <si>
    <t>COOPER EQUIPMENT CO.</t>
  </si>
  <si>
    <t>CORYELL COUNTY SHERIFF</t>
  </si>
  <si>
    <t>COTHRON SECURITY SOLUTIONS LLC</t>
  </si>
  <si>
    <t>COUFAL-PRATER EQUIPMENT LTD</t>
  </si>
  <si>
    <t>COVERT CHEVROLET-OLDS</t>
  </si>
  <si>
    <t>CRESSIDA EVELYN KWOLEK  PH. D.</t>
  </si>
  <si>
    <t>CRYSTAL DEAR</t>
  </si>
  <si>
    <t>MUNICIPAL SERVICES BUREAU</t>
  </si>
  <si>
    <t>CUNA MUTUAL</t>
  </si>
  <si>
    <t>CUSTOM PRODUCTS CORPORATION</t>
  </si>
  <si>
    <t>DAHILL</t>
  </si>
  <si>
    <t>DAHILL INDUSTRIES  INC</t>
  </si>
  <si>
    <t>DALLAS COUNTY CONSTABLE PCT 1</t>
  </si>
  <si>
    <t>DANETTE PEREZ</t>
  </si>
  <si>
    <t>DAVID B BROOKS</t>
  </si>
  <si>
    <t>DAVID M COLLINS</t>
  </si>
  <si>
    <t>DELL</t>
  </si>
  <si>
    <t>SETON FAMILY OF HOSPITALS</t>
  </si>
  <si>
    <t>DELL FINANCIAL SERVICES LLC</t>
  </si>
  <si>
    <t>DENTON COUNTY CONSTABLE PCT 3</t>
  </si>
  <si>
    <t>DENTRUST DENTAL TX PC</t>
  </si>
  <si>
    <t>DIAGNOSTICS DIRECT INC</t>
  </si>
  <si>
    <t>DICKENS LOCKSMITH INC</t>
  </si>
  <si>
    <t>DEPARTMENT OF INFORMATION RESOURCES</t>
  </si>
  <si>
    <t>DISCOUNT DOOR &amp; METAL  LLC</t>
  </si>
  <si>
    <t>="4" FLAG HINGE-QTY 3/PCT#3"</t>
  </si>
  <si>
    <t>DONNIE STARK</t>
  </si>
  <si>
    <t>DUNNE &amp; JUAREZ L.L.C.</t>
  </si>
  <si>
    <t>ECOLAB INC</t>
  </si>
  <si>
    <t>BLACKLANDS PUBLICATIONS INC</t>
  </si>
  <si>
    <t>RALPH DAVID GLASS</t>
  </si>
  <si>
    <t>CITY OF ELGIN UTILITIES</t>
  </si>
  <si>
    <t>ELLIOTT ELECTRIC SUPPLY INC</t>
  </si>
  <si>
    <t>EMERGENCY PHYSICIANS OF CENTRAL TX PA</t>
  </si>
  <si>
    <t>ERGON ASPHALT &amp; EMULSIONS INC</t>
  </si>
  <si>
    <t>EWALD KUBOTA  INC.</t>
  </si>
  <si>
    <t>FACILITY SOLUTIONS GROUP INC</t>
  </si>
  <si>
    <t>BASTROP COUNTY WOMEN'S SHELTER</t>
  </si>
  <si>
    <t>FAMILY CRISIS CENTER</t>
  </si>
  <si>
    <t>FAMILY HEALTH CENTER OF BASTROP PLLC</t>
  </si>
  <si>
    <t>FEDERAL EXPRESS</t>
  </si>
  <si>
    <t>FERGUSON ENTERPRISES INC</t>
  </si>
  <si>
    <t>FLEET COR TECHNOLOGIES INC</t>
  </si>
  <si>
    <t>FLEETPRIDE</t>
  </si>
  <si>
    <t>FORREST L. SANDERSON</t>
  </si>
  <si>
    <t>FPC FINANCIAL f.s.b.</t>
  </si>
  <si>
    <t>FRED PRYOR SEMINARS</t>
  </si>
  <si>
    <t>AUSTIN TRUCK &amp; EQUIP LTD</t>
  </si>
  <si>
    <t>EUGENE W BRIGGS JR</t>
  </si>
  <si>
    <t>G &amp; K SERVICES</t>
  </si>
  <si>
    <t>GARMENTS TO GO  INC</t>
  </si>
  <si>
    <t>GERMANIA INSURANCE</t>
  </si>
  <si>
    <t>085 7/20/17"</t>
  </si>
  <si>
    <t>GIPSON PENDERGRASS PEOPLE'S MORTUARY LLC</t>
  </si>
  <si>
    <t>C&amp;JMP INC</t>
  </si>
  <si>
    <t>GRACE BARTSCH</t>
  </si>
  <si>
    <t>GRAINGER INC</t>
  </si>
  <si>
    <t>GREGG COUNTY SHERIFF</t>
  </si>
  <si>
    <t>544"</t>
  </si>
  <si>
    <t>GULF COAST PAPER CO. INC.</t>
  </si>
  <si>
    <t>HALFF ASSOCIATES</t>
  </si>
  <si>
    <t>HANSON EQUIPMENT COMPANY</t>
  </si>
  <si>
    <t>HARDIN COUNTY CONSTABLE PCT 5</t>
  </si>
  <si>
    <t>ST DAVID'S HEALTHCARE PARTNERSHIP</t>
  </si>
  <si>
    <t>HENGST PRINTING &amp; SUPPLIES</t>
  </si>
  <si>
    <t>HERSHCAP BACKHOE &amp; DITCHING INC</t>
  </si>
  <si>
    <t>="10</t>
  </si>
  <si>
    <t>658 7/13/17"</t>
  </si>
  <si>
    <t>BASCOM L HODGES JR</t>
  </si>
  <si>
    <t>HODGSON G ECKEL</t>
  </si>
  <si>
    <t>DAYBREAK HOSPITALITY LLC</t>
  </si>
  <si>
    <t>BAYFRONT MARINA INVESTMENTS LP</t>
  </si>
  <si>
    <t>HOLLY SCHULZ  CSR  RPR</t>
  </si>
  <si>
    <t>BD HOLT CO</t>
  </si>
  <si>
    <t>CITIBANK (SOUTH DAKOTA)N.A./THE HOME DEPOT</t>
  </si>
  <si>
    <t>HORIZON TELEPHON SYSTEMS  INC.</t>
  </si>
  <si>
    <t>HUDSON ENERGY CORP</t>
  </si>
  <si>
    <t>HYDRAULIC HOUSE INC</t>
  </si>
  <si>
    <t>INDIGENT HEALTHCARE SOLUTIONS</t>
  </si>
  <si>
    <t>INDUSTRIAL AIR OF SOUTH TEXAS</t>
  </si>
  <si>
    <t>IRON MOUNTAIN RECORDS MGMT INC</t>
  </si>
  <si>
    <t>TRIPLE J JACKPOT</t>
  </si>
  <si>
    <t>JAMES D.SQUIER</t>
  </si>
  <si>
    <t>JENKINS &amp; JENKINS LLP</t>
  </si>
  <si>
    <t>JERRY HOFROCK</t>
  </si>
  <si>
    <t>="14</t>
  </si>
  <si>
    <t>505 7/24/17"</t>
  </si>
  <si>
    <t>505 7/6/17"</t>
  </si>
  <si>
    <t>JOHN C KUHN</t>
  </si>
  <si>
    <t>JORDAN MC DONALD</t>
  </si>
  <si>
    <t>JUSTIN MATTHEW FOHN</t>
  </si>
  <si>
    <t>KAREN STARKS</t>
  </si>
  <si>
    <t>="8</t>
  </si>
  <si>
    <t>898 7/28/17"</t>
  </si>
  <si>
    <t>KATHY REEVES</t>
  </si>
  <si>
    <t>393 7/17/17"</t>
  </si>
  <si>
    <t>KENS BODY SHOP LLC</t>
  </si>
  <si>
    <t>KENT BROUSSARD TOWER RENTAL INC</t>
  </si>
  <si>
    <t>KEVIN UNGER</t>
  </si>
  <si>
    <t>KIMCO SERVICES  INC</t>
  </si>
  <si>
    <t>KLEIBER FORD TRACTOR  INC.</t>
  </si>
  <si>
    <t>LA GRANGE FORD</t>
  </si>
  <si>
    <t>LABATT INSTITUTIONAL SUPPLY CO</t>
  </si>
  <si>
    <t>LAUREN CONCRETE INC</t>
  </si>
  <si>
    <t>LAURENCE DUNNE  II</t>
  </si>
  <si>
    <t>J. MARQUE MOORE</t>
  </si>
  <si>
    <t>LUCIO LEAL</t>
  </si>
  <si>
    <t>LEE COUNTY WATER SUPPLY CORP</t>
  </si>
  <si>
    <t>LEIGH ANN LEWIS</t>
  </si>
  <si>
    <t>LEXISNEXIS RISK DATA MGMT INC</t>
  </si>
  <si>
    <t>LIBERTY TIRE RECYCLING</t>
  </si>
  <si>
    <t>LIFELINE TRAINING DBA CALIBRE PRESS</t>
  </si>
  <si>
    <t>LINDA HARMON-TAX ASSESSOR</t>
  </si>
  <si>
    <t>LISA M. MIMS</t>
  </si>
  <si>
    <t>LLANO COUNTY SHERIFF</t>
  </si>
  <si>
    <t>LONE STAR CIRCLE OF CARE</t>
  </si>
  <si>
    <t>UNITED KWB COLLABORATIONS LLC</t>
  </si>
  <si>
    <t>LONGHORN EMERGENCY MEDICAL ASSOC PA</t>
  </si>
  <si>
    <t>LONGHORN INTERNATIONAL TRUCKS LTD</t>
  </si>
  <si>
    <t>SCOTT BRYANT</t>
  </si>
  <si>
    <t>LOWE'S</t>
  </si>
  <si>
    <t>LYDIA A KERNS</t>
  </si>
  <si>
    <t>MANATRON</t>
  </si>
  <si>
    <t>MARGARET A RAIFORD</t>
  </si>
  <si>
    <t>MARIA CELESTE COSTLEY</t>
  </si>
  <si>
    <t>MARK A RUMPLE</t>
  </si>
  <si>
    <t>MARK T MALONE M.D. P.A</t>
  </si>
  <si>
    <t>JOHN W GASPARINI INC</t>
  </si>
  <si>
    <t>MARY BETH SCOTT</t>
  </si>
  <si>
    <t>MATHESON TRI-GAS INC</t>
  </si>
  <si>
    <t>ROGER C MATHIS</t>
  </si>
  <si>
    <t>MAURICE C. COOK</t>
  </si>
  <si>
    <t>McCOY'S BUILDING SUPPLY CENTER</t>
  </si>
  <si>
    <t>McCREARY  VESELKA  BRAGG &amp; ALLEN P</t>
  </si>
  <si>
    <t>010 6/8/17"</t>
  </si>
  <si>
    <t>010 6/21/17"</t>
  </si>
  <si>
    <t>360"</t>
  </si>
  <si>
    <t>MEDIMPACT HEALTHCARE SYSTEMS INC</t>
  </si>
  <si>
    <t>MEDINA COUNTY SHERIFF</t>
  </si>
  <si>
    <t>MELISSA A MEADOR</t>
  </si>
  <si>
    <t>MIKE FORSTNER'S WATERLIFE</t>
  </si>
  <si>
    <t>MILLER UNIFORMS &amp; EMBLEMS</t>
  </si>
  <si>
    <t>JUSTIN MARK GERHARDT</t>
  </si>
  <si>
    <t>STEPHANIE REBER GOERTZ</t>
  </si>
  <si>
    <t>JOSHUA DEAN NIXON</t>
  </si>
  <si>
    <t>RICHARD BRENT CARLISLE</t>
  </si>
  <si>
    <t>POLLYE ANITA HOFSTEDT</t>
  </si>
  <si>
    <t>SOLEDAD SIERRA</t>
  </si>
  <si>
    <t>HAROLD DEE FLOYD</t>
  </si>
  <si>
    <t>RANDY DALE GELTMEIER</t>
  </si>
  <si>
    <t>JEFFREY DONALD HARRIS</t>
  </si>
  <si>
    <t>CHARLES WALTER FERS</t>
  </si>
  <si>
    <t>NORA EASTERWOOD SCHLUETER</t>
  </si>
  <si>
    <t>JOHN THOMAS ZINKER</t>
  </si>
  <si>
    <t>MOORE MEDICAL LLC</t>
  </si>
  <si>
    <t>MOTOROLA INC</t>
  </si>
  <si>
    <t>NALCO COMPANY LLC</t>
  </si>
  <si>
    <t>NATIONAL FOOD GROUP INC</t>
  </si>
  <si>
    <t>HORIZONS SOUTHWEST MANAGEMENT LP</t>
  </si>
  <si>
    <t>JOHN NIXON</t>
  </si>
  <si>
    <t>ST DAVID'S HEATHCARE PARTNERSHIP</t>
  </si>
  <si>
    <t>O'CONNOR'S</t>
  </si>
  <si>
    <t>O'REILLY AUTOMOTIVE  INC.</t>
  </si>
  <si>
    <t>SOUTHERN FOODS GROUP LP</t>
  </si>
  <si>
    <t>OFFICE DEPOT</t>
  </si>
  <si>
    <t>ON SITE SERVICES</t>
  </si>
  <si>
    <t>P.O.U. PARTNERS LLC</t>
  </si>
  <si>
    <t>ROGER C OSBORN</t>
  </si>
  <si>
    <t>OSKAR NISIMBLAT</t>
  </si>
  <si>
    <t>OPERATIONAL SUPPORT SERVICES INC</t>
  </si>
  <si>
    <t>DURASERV CORP</t>
  </si>
  <si>
    <t>PAIGE TRACTORS INC</t>
  </si>
  <si>
    <t>="21" FOAM FILL ASSY/PCT#2"</t>
  </si>
  <si>
    <t>SL PARKER PARTNERSHIP LLC</t>
  </si>
  <si>
    <t>PATTERSON  VETERINARY SUPPLY INC</t>
  </si>
  <si>
    <t>PAUL GRANADO</t>
  </si>
  <si>
    <t>PAULINE CROWLEY</t>
  </si>
  <si>
    <t>PETHEALTH SERVICES(USA) INC.</t>
  </si>
  <si>
    <t>PHILIP R DUCLOUX</t>
  </si>
  <si>
    <t>PITNEY BOWES GLOBAL FINANCIAL SERVICES</t>
  </si>
  <si>
    <t>PM WILSON &amp; ASSOCIATES PLLC</t>
  </si>
  <si>
    <t>POSTMASTER</t>
  </si>
  <si>
    <t>PRAXAIR DISTRIBUTION  INC.</t>
  </si>
  <si>
    <t>QUEST DIAGNOSTICS</t>
  </si>
  <si>
    <t>QUILL CORPORATION</t>
  </si>
  <si>
    <t>FREEDMAN TRUCK SERVICE INC</t>
  </si>
  <si>
    <t>R.J. THOMAS MANUFACTURING COMPANY  INC.</t>
  </si>
  <si>
    <t>RACHEL A BAUER</t>
  </si>
  <si>
    <t>RANDY WILHELM</t>
  </si>
  <si>
    <t>NESTLE WATERS N AMERICA INC</t>
  </si>
  <si>
    <t>REPUBLIC SERVICES INC BFI WASTE SERVICE</t>
  </si>
  <si>
    <t>REYNOLDS &amp; KEINARTH</t>
  </si>
  <si>
    <t>EDDY RILEY</t>
  </si>
  <si>
    <t>RIATA FORD</t>
  </si>
  <si>
    <t>RICOH</t>
  </si>
  <si>
    <t>RICOH USA INC</t>
  </si>
  <si>
    <t>RICOH AMERICAS CORP</t>
  </si>
  <si>
    <t>JOEL RIVERA -PEDRAZA</t>
  </si>
  <si>
    <t>RUNKLE ENTERPRISES</t>
  </si>
  <si>
    <t>ROADRUNNER RADIOLOGY EQUIP LLC</t>
  </si>
  <si>
    <t>ROBERT CARL STEUBING</t>
  </si>
  <si>
    <t>ROBERT E CANTU M.D. P.A.</t>
  </si>
  <si>
    <t>ROBERT MADDEN INDUSTRIES LTD</t>
  </si>
  <si>
    <t>ROCKY ROAD PRINTING</t>
  </si>
  <si>
    <t>RODGER KRUEGER</t>
  </si>
  <si>
    <t>ROGER STOPPELBERG</t>
  </si>
  <si>
    <t>ROGERS CUSTOM AUTOMOTIVE</t>
  </si>
  <si>
    <t>ROMCO EQUIPMENT CO.</t>
  </si>
  <si>
    <t>RON DUTY</t>
  </si>
  <si>
    <t>="4" PIPE/PCT#2"</t>
  </si>
  <si>
    <t>ROSE PIETSCH COUNTY CLERK</t>
  </si>
  <si>
    <t>ROSENDO CANTU</t>
  </si>
  <si>
    <t>ROUND ROCK SURGERY CENTER LLC</t>
  </si>
  <si>
    <t>RYAN ROHE</t>
  </si>
  <si>
    <t>RZ &amp; ASSOCIATES INC</t>
  </si>
  <si>
    <t>SAMES BASTROP FORD INC</t>
  </si>
  <si>
    <t>SAMMY LERMA III MD</t>
  </si>
  <si>
    <t>SAN LUIS RESORT  SPA &amp; CONVENTION CENTER</t>
  </si>
  <si>
    <t>SARAH LOUCKS  DISTRICT CLERK</t>
  </si>
  <si>
    <t>481"</t>
  </si>
  <si>
    <t>SECOND ADM. JUDICIAL REGION OF TEXA</t>
  </si>
  <si>
    <t>SECRETARY OF STATE</t>
  </si>
  <si>
    <t>SECURUS TECHNOLOGIES INC</t>
  </si>
  <si>
    <t>SETON MEDICAL CENTER</t>
  </si>
  <si>
    <t>SHARON WENSKE</t>
  </si>
  <si>
    <t>FERRELLGAS  LP</t>
  </si>
  <si>
    <t>SHI GOVERNMENT SOLUTIONS INC.</t>
  </si>
  <si>
    <t>SHOPPA'S FARM SUPPLY</t>
  </si>
  <si>
    <t>SIGNATURE SMILES</t>
  </si>
  <si>
    <t>ROBERT M SMITH JR</t>
  </si>
  <si>
    <t>SMITHVILLE  FIRE DEPT</t>
  </si>
  <si>
    <t>SMITHVILLE AUTO PARTS  INC</t>
  </si>
  <si>
    <t>SOUTHERN TIRE MART LLC</t>
  </si>
  <si>
    <t>SOUTHWEST TEXAS EQUIPMENT DIST INC</t>
  </si>
  <si>
    <t>DS WATERS OF AMERICA INC</t>
  </si>
  <si>
    <t>SPOK INC</t>
  </si>
  <si>
    <t>ST.DAVID'S HEALTHCARE PARTNERSHIP</t>
  </si>
  <si>
    <t>ST.DAVIDS HEART &amp; VASCULAR  PLLC</t>
  </si>
  <si>
    <t>STAPLES ADVANTAGE</t>
  </si>
  <si>
    <t>STERICYCLE  INC.</t>
  </si>
  <si>
    <t>STEVE GRANADO</t>
  </si>
  <si>
    <t>STEVEN A LONG</t>
  </si>
  <si>
    <t>STOP STICK  LTD</t>
  </si>
  <si>
    <t>STURDYBILT BLDGS  LLC</t>
  </si>
  <si>
    <t>MATTHEW LEE SULLINS</t>
  </si>
  <si>
    <t>TEXAS ASSOCIATION OF ASSESSING OFFICERS</t>
  </si>
  <si>
    <t>TAB PRODUCTS CO LLC</t>
  </si>
  <si>
    <t>TAVCO SERVICES INC</t>
  </si>
  <si>
    <t>TAYLOR IRON MACHINE WORKS INC.</t>
  </si>
  <si>
    <t>TX COMM ON LAW ENFORCEMENT</t>
  </si>
  <si>
    <t>TDCAA</t>
  </si>
  <si>
    <t>TEJAS ELEVATOR COMPANY</t>
  </si>
  <si>
    <t>TERENCE W MEADOWS</t>
  </si>
  <si>
    <t>TERRACON CONSULTANTS INC</t>
  </si>
  <si>
    <t>JOHN J FIETSAM INC</t>
  </si>
  <si>
    <t>TEX-CON OIL CO</t>
  </si>
  <si>
    <t>TEXAN EYE  P.A.</t>
  </si>
  <si>
    <t>TEXAS AGGREGATES  LLC</t>
  </si>
  <si>
    <t>TEXAS AMERICAN TITLE COMPANY - INDEPENDENCE TITLE</t>
  </si>
  <si>
    <t>TEXAS ASSOCIATES INSURORS AGENCY</t>
  </si>
  <si>
    <t>TEXAS BLACKLAND HARDWARE</t>
  </si>
  <si>
    <t>TEXAS CRUSHED STONE CO.</t>
  </si>
  <si>
    <t>TEXAS DEPT OF PUBLIC SAFETY</t>
  </si>
  <si>
    <t>="15</t>
  </si>
  <si>
    <t>925 7/19/17"</t>
  </si>
  <si>
    <t>TEXAS ECONOMIC DEVELOPMENT COUNCIL</t>
  </si>
  <si>
    <t>TEXAS FLOODPLAIN MANAGEMENT ASSOCIATION</t>
  </si>
  <si>
    <t>TEXAS INDEPENDENCE TRAIL</t>
  </si>
  <si>
    <t>TEXAS PARKS &amp; WILDLIFE FUNDS</t>
  </si>
  <si>
    <t>WILLIAM G GILCHRIST III</t>
  </si>
  <si>
    <t>TEXAS RETINA INSTITUTE</t>
  </si>
  <si>
    <t>JEFFREY TOUSSAINT</t>
  </si>
  <si>
    <t>JAMES ANDREW CASEY</t>
  </si>
  <si>
    <t>THE EXPO GROUP  INC.</t>
  </si>
  <si>
    <t>RICHARD NELSON MOORE</t>
  </si>
  <si>
    <t>THE PORTER COMPANY</t>
  </si>
  <si>
    <t>TIM SPARKMAN</t>
  </si>
  <si>
    <t>TWE-ADVANCE/NEWHOUSE PARTNERSHIP</t>
  </si>
  <si>
    <t>TIMOTHY C STALCUP</t>
  </si>
  <si>
    <t>TELVA D KESLER</t>
  </si>
  <si>
    <t>TRAVIS CO CONSTABLE  PCT 5</t>
  </si>
  <si>
    <t>699"</t>
  </si>
  <si>
    <t>TRAVIS COUNTY TREASURER</t>
  </si>
  <si>
    <t>TREADMAXX TIRE DISTRIBUTORS  INC.</t>
  </si>
  <si>
    <t>TRI-COUNTY PRACTICE ASSOCIATION</t>
  </si>
  <si>
    <t>TRIPLE S FUELS</t>
  </si>
  <si>
    <t>TRACTOR SUPPLY CREDIT PLAN</t>
  </si>
  <si>
    <t>TULL FARLEY</t>
  </si>
  <si>
    <t>HOWARD L COFFMAN</t>
  </si>
  <si>
    <t>TX DEPT OF MOTOR VEHICLES</t>
  </si>
  <si>
    <t>TEXAS DEPARTMENT OF TRANSPORTATION</t>
  </si>
  <si>
    <t>UNITED REFRIGERATION INC</t>
  </si>
  <si>
    <t>UNITED STATES TREASURY</t>
  </si>
  <si>
    <t>UPS</t>
  </si>
  <si>
    <t>VIRGINIA PIPER</t>
  </si>
  <si>
    <t>DEPARTMENT OF STATE HEALTH SERVICES</t>
  </si>
  <si>
    <t>VITALOGY PA</t>
  </si>
  <si>
    <t>VULCAN  INC.</t>
  </si>
  <si>
    <t>="30"x30" Reflective"</t>
  </si>
  <si>
    <t>WAGEWORKS INC  FSA/HSA</t>
  </si>
  <si>
    <t>WALLER COUNTY ASPHALT INC</t>
  </si>
  <si>
    <t>WALMART COMMUNITY BRC</t>
  </si>
  <si>
    <t>WASTE MANAGEMENT OF TEXAS INC</t>
  </si>
  <si>
    <t>PROGRESSIVE WASTE SOLUTIONS OF TX. INC.</t>
  </si>
  <si>
    <t>WC PLAZA HOTELS  LLC</t>
  </si>
  <si>
    <t>COBRA EQUIPMENT RENTALS</t>
  </si>
  <si>
    <t>RONALD C. CARTER</t>
  </si>
  <si>
    <t>WEI-ANN LIN  MD PA</t>
  </si>
  <si>
    <t>WEST PUBLISHING CORPORATION</t>
  </si>
  <si>
    <t>MAO PHARMACY INC</t>
  </si>
  <si>
    <t>WILLIAMSON CNTY CONSTABLE # 2</t>
  </si>
  <si>
    <t>XEROX CORPORATION</t>
  </si>
  <si>
    <t>ACUITY SPECIALTY PRODUCTS INC</t>
  </si>
  <si>
    <t>WILLIAM E. SUMNER</t>
  </si>
  <si>
    <t>AAA FIRE/SAFETY EQUIP CO INC</t>
  </si>
  <si>
    <t>ASHLEY DOBOS</t>
  </si>
  <si>
    <t>BASTROP INDEPENDENT SCHOOL DISTRICT</t>
  </si>
  <si>
    <t>BASTROP TIRE &amp; AUTOMOTIVE LLC</t>
  </si>
  <si>
    <t>BROADDUS &amp; ASSOCIATES</t>
  </si>
  <si>
    <t>CATINA L. HIGHTOWER</t>
  </si>
  <si>
    <t>CITY OF ELGIN</t>
  </si>
  <si>
    <t>DYEZZ SURVELLANCE AND SECURITY  INC.</t>
  </si>
  <si>
    <t>FECON</t>
  </si>
  <si>
    <t>JOHN HESTER</t>
  </si>
  <si>
    <t>LANGFORD COMMUNITY MGMT INC</t>
  </si>
  <si>
    <t>MIDTEX MATERIALS</t>
  </si>
  <si>
    <t>MUSTANG MACHINERY COMPANY LTD</t>
  </si>
  <si>
    <t>OLDCASTLE MATERIALS TEXAS INC</t>
  </si>
  <si>
    <t>PAULINE SPURLOCK</t>
  </si>
  <si>
    <t>SPEED FAB-CRETE CORPORATION</t>
  </si>
  <si>
    <t>TEXAS STATE UNIVERSITY</t>
  </si>
  <si>
    <t>THE BANK OF NEW YORK MELLON</t>
  </si>
  <si>
    <t>WJC CONSTRUCTION LLC</t>
  </si>
  <si>
    <t>ALLSTATE-AMERICAN HERITAGE LIFE INS CO</t>
  </si>
  <si>
    <t>BASTROP ASSN OF SHERIFFS EMPLOYEES</t>
  </si>
  <si>
    <t>BASTROP CNTY ADULT PROBATION</t>
  </si>
  <si>
    <t>COLONIAL LIFE &amp; ACCIDENT INS. CO.</t>
  </si>
  <si>
    <t>DEBORAH B LANGEHENNIG</t>
  </si>
  <si>
    <t>GUARDIAN</t>
  </si>
  <si>
    <t>INTERNAL REVENUE SERVICE - ACS SUPPORT</t>
  </si>
  <si>
    <t>IRS-PAYROLL TAXES</t>
  </si>
  <si>
    <t>MICHIGAN STATE DISBURSEMENT UNIT(MiSDU)</t>
  </si>
  <si>
    <t>MONUMENTAL LIFE INS CO</t>
  </si>
  <si>
    <t>GERALD FLORES OLIVO</t>
  </si>
  <si>
    <t>TAC HEALTH BENEFITS POOL</t>
  </si>
  <si>
    <t>TEXAS ATTY.GENERAL'S OFFICE</t>
  </si>
  <si>
    <t>TEXAS CNTY &amp; DIST RETIREMENT SYS</t>
  </si>
  <si>
    <t>TEXAS LEGAL PROTECTION PLAN INC</t>
  </si>
  <si>
    <t>TG STUDENT LOAN</t>
  </si>
  <si>
    <t>U.S. DEPT OF EDUCATION - FINANCIAL  ASST</t>
  </si>
  <si>
    <t>VERITY NATIONAL GROUP</t>
  </si>
  <si>
    <t>ACCLAIM RESOURCE PARTNERS</t>
  </si>
  <si>
    <t>ANDREA HAIRE</t>
  </si>
  <si>
    <t>ATTORNEY GENERAL OF TEXAS</t>
  </si>
  <si>
    <t>BRANDY RODRIGUEZ</t>
  </si>
  <si>
    <t>BRAZOS VALLEY SCHOOL CREDIT UN</t>
  </si>
  <si>
    <t>BROOKSHIRE BROTHERS LTD</t>
  </si>
  <si>
    <t>BUC-EES</t>
  </si>
  <si>
    <t>BURLESON COUNTY TREASURER</t>
  </si>
  <si>
    <t>BURTON STATE BANK</t>
  </si>
  <si>
    <t>CENTER DRIVE IN III</t>
  </si>
  <si>
    <t>CENTER DRIVE INN</t>
  </si>
  <si>
    <t>CITI SECURITY AND INVESTIGATIV</t>
  </si>
  <si>
    <t>CITIZENS STATE BANK</t>
  </si>
  <si>
    <t>CLARA LITTLES</t>
  </si>
  <si>
    <t>DANTE CRENSHAW</t>
  </si>
  <si>
    <t>DAVID EASLEY  JR.</t>
  </si>
  <si>
    <t>DAVID HAILE</t>
  </si>
  <si>
    <t>DEBORAH TATUM</t>
  </si>
  <si>
    <t>EARL L. JOHNSON</t>
  </si>
  <si>
    <t>FIRST NATIONAL BANK OF GIDDING</t>
  </si>
  <si>
    <t>GOOD LIFE RANCH  LLC</t>
  </si>
  <si>
    <t>HHSC ARTS (MAIL CODE 1470)</t>
  </si>
  <si>
    <t>ISIAH FRANKLIN</t>
  </si>
  <si>
    <t>JAMES BATES</t>
  </si>
  <si>
    <t>JB HUNT</t>
  </si>
  <si>
    <t>JERRY EDMOND FAMILY WORSHIP CE</t>
  </si>
  <si>
    <t>KATHRYN SERRA</t>
  </si>
  <si>
    <t>KEVIN EDWARDS</t>
  </si>
  <si>
    <t>LUIS OROSTIETA  JR.</t>
  </si>
  <si>
    <t>MIKE GUTHRIE</t>
  </si>
  <si>
    <t>MIKE HORNE</t>
  </si>
  <si>
    <t>MURPHY USA</t>
  </si>
  <si>
    <t>PALAIS ROYAL</t>
  </si>
  <si>
    <t>PATRICIA BARNETT</t>
  </si>
  <si>
    <t>RAMONA CASTILLO</t>
  </si>
  <si>
    <t>RICHARD FIELDING CLARKE</t>
  </si>
  <si>
    <t>SHERWIN SIEGMUND</t>
  </si>
  <si>
    <t>SMITHVILLE HOUSING AUTHORITY</t>
  </si>
  <si>
    <t>SOMERVILLE ISD</t>
  </si>
  <si>
    <t>SPEEDY STOP CORPORATE</t>
  </si>
  <si>
    <t>STATE FARM</t>
  </si>
  <si>
    <t>STATE FARM LLOYD</t>
  </si>
  <si>
    <t>STEVEN WAYNE MEDACK</t>
  </si>
  <si>
    <t>STRIPES</t>
  </si>
  <si>
    <t>SYLVIA DELEON</t>
  </si>
  <si>
    <t>TAYLOR PAWN</t>
  </si>
  <si>
    <t>TEXAS DPS  RESTITUTION ACCOUNT</t>
  </si>
  <si>
    <t>TEXAS MUNICIPAL LEAGUE</t>
  </si>
  <si>
    <t>TOOTSIE'S</t>
  </si>
  <si>
    <t>TRACY JOSEPH ISELT</t>
  </si>
  <si>
    <t>TUYET THI TRAN</t>
  </si>
  <si>
    <t>TX ASSOC OF COUNTIES RISK MANA</t>
  </si>
  <si>
    <t>USAA GENERAL INDEMNITY COMPANY</t>
  </si>
  <si>
    <t>WAL-MART RESTITUTION RECOVERY</t>
  </si>
  <si>
    <t>WASHINGTON COUNTY EMS</t>
  </si>
  <si>
    <t>MADD - EAST TEXAS  ATTN</t>
  </si>
  <si>
    <t>BLUEBONNET AREA CRIMESTOPPERS</t>
  </si>
  <si>
    <t>BASTROP COUNTY TREASURER</t>
  </si>
  <si>
    <t>BURLESON COUNTY DISTRICT CLERK</t>
  </si>
  <si>
    <t>WASHINGTON COUNTY DISTRICT CLE</t>
  </si>
  <si>
    <t>WASHINGTON COUNTY TREASURER</t>
  </si>
  <si>
    <t>BASTROP COUNTY CLERK</t>
  </si>
  <si>
    <t>BASTROP COUNTY DISTRICT CLERK</t>
  </si>
  <si>
    <t>WASHINGTON CO CRIMESTOPPERS</t>
  </si>
  <si>
    <t>ANTONIO HERNANDEZ GARCIA</t>
  </si>
  <si>
    <t>BURLESON DISTRICT ATTORNEY</t>
  </si>
  <si>
    <t>WASHINGTON COUNTY CLERK</t>
  </si>
  <si>
    <t>JAN S JONES</t>
  </si>
  <si>
    <t>FOCUSING FAMILIES</t>
  </si>
  <si>
    <t>OSMAR VALERIO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</si>
</sst>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00"/>
  <sheetViews>
    <sheetView tabSelected="1" workbookViewId="0">
      <selection activeCell="I22" sqref="I22"/>
    </sheetView>
  </sheetViews>
  <sheetFormatPr defaultRowHeight="14.4" x14ac:dyDescent="0.3"/>
  <cols>
    <col min="1" max="1" width="9.88671875" bestFit="1" customWidth="1"/>
    <col min="2" max="2" width="8.77734375" bestFit="1" customWidth="1"/>
    <col min="3" max="3" width="49.88671875" bestFit="1" customWidth="1"/>
    <col min="4" max="4" width="7.33203125" bestFit="1" customWidth="1"/>
    <col min="5" max="5" width="12.77734375" style="2" bestFit="1" customWidth="1"/>
    <col min="6" max="6" width="10.5546875" bestFit="1" customWidth="1"/>
    <col min="7" max="7" width="20.109375" bestFit="1" customWidth="1"/>
    <col min="8" max="8" width="32.88671875" bestFit="1" customWidth="1"/>
    <col min="9" max="9" width="28.6640625" style="2" bestFit="1" customWidth="1"/>
    <col min="10" max="10" width="33.21875" bestFit="1" customWidth="1"/>
    <col min="11" max="11" width="7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</row>
    <row r="2" spans="1:10" x14ac:dyDescent="0.3">
      <c r="A2" t="str">
        <f>"01"</f>
        <v>01</v>
      </c>
      <c r="B2" t="str">
        <f>"001960"</f>
        <v>001960</v>
      </c>
      <c r="C2" t="s">
        <v>10</v>
      </c>
      <c r="D2">
        <v>72174</v>
      </c>
      <c r="E2" s="2">
        <v>27900</v>
      </c>
      <c r="F2" s="1">
        <v>42976</v>
      </c>
      <c r="G2" t="str">
        <f>"17-1009-01"</f>
        <v>17-1009-01</v>
      </c>
      <c r="H2" t="str">
        <f>"Inv#17-1009-01 Concrete"</f>
        <v>Inv#17-1009-01 Concrete</v>
      </c>
      <c r="I2" s="2">
        <v>27900</v>
      </c>
      <c r="J2" t="str">
        <f>"INv#17-1009-01 Concrete"</f>
        <v>INv#17-1009-01 Concrete</v>
      </c>
    </row>
    <row r="3" spans="1:10" x14ac:dyDescent="0.3">
      <c r="A3" t="str">
        <f>"01"</f>
        <v>01</v>
      </c>
      <c r="B3" t="str">
        <f>"000598"</f>
        <v>000598</v>
      </c>
      <c r="C3" t="s">
        <v>11</v>
      </c>
      <c r="D3">
        <v>71899</v>
      </c>
      <c r="E3" s="2">
        <v>250</v>
      </c>
      <c r="F3" s="1">
        <v>42961</v>
      </c>
      <c r="G3" t="str">
        <f>"9725-004-94142"</f>
        <v>9725-004-94142</v>
      </c>
      <c r="H3" t="str">
        <f>"ACCT#9725-004/WOOD REC/PCT#1"</f>
        <v>ACCT#9725-004/WOOD REC/PCT#1</v>
      </c>
      <c r="I3" s="2">
        <v>250</v>
      </c>
      <c r="J3" t="str">
        <f>"ACCT#9725-004/WOOD REC/PCT#1"</f>
        <v>ACCT#9725-004/WOOD REC/PCT#1</v>
      </c>
    </row>
    <row r="4" spans="1:10" x14ac:dyDescent="0.3">
      <c r="A4" t="str">
        <f>"01"</f>
        <v>01</v>
      </c>
      <c r="B4" t="str">
        <f>"004643"</f>
        <v>004643</v>
      </c>
      <c r="C4" t="s">
        <v>12</v>
      </c>
      <c r="D4">
        <v>72175</v>
      </c>
      <c r="E4" s="2">
        <v>112</v>
      </c>
      <c r="F4" s="1">
        <v>42976</v>
      </c>
      <c r="G4" t="str">
        <f>"717617"</f>
        <v>717617</v>
      </c>
      <c r="H4" t="str">
        <f>"ADDITIONAL PAPER/TAX OFFICE"</f>
        <v>ADDITIONAL PAPER/TAX OFFICE</v>
      </c>
      <c r="I4" s="2">
        <v>56</v>
      </c>
      <c r="J4" t="str">
        <f>"ADDITIONAL PAPER/TAX OFFICE"</f>
        <v>ADDITIONAL PAPER/TAX OFFICE</v>
      </c>
    </row>
    <row r="5" spans="1:10" x14ac:dyDescent="0.3">
      <c r="A5" t="str">
        <f>""</f>
        <v/>
      </c>
      <c r="B5" t="str">
        <f>""</f>
        <v/>
      </c>
      <c r="G5" t="str">
        <f>"717624"</f>
        <v>717624</v>
      </c>
      <c r="H5" t="str">
        <f>"INV 717624"</f>
        <v>INV 717624</v>
      </c>
      <c r="I5" s="2">
        <v>56</v>
      </c>
      <c r="J5" t="str">
        <f>"INV 717624"</f>
        <v>INV 717624</v>
      </c>
    </row>
    <row r="6" spans="1:10" x14ac:dyDescent="0.3">
      <c r="A6" t="str">
        <f t="shared" ref="A6:A12" si="0">"01"</f>
        <v>01</v>
      </c>
      <c r="B6" t="str">
        <f>"004643"</f>
        <v>004643</v>
      </c>
      <c r="C6" t="s">
        <v>12</v>
      </c>
      <c r="D6">
        <v>999999</v>
      </c>
      <c r="E6" s="2">
        <v>51.5</v>
      </c>
      <c r="F6" s="1">
        <v>42961</v>
      </c>
      <c r="G6" t="str">
        <f>"659412"</f>
        <v>659412</v>
      </c>
      <c r="H6" t="str">
        <f>"SHREDDING SVCS-TAX OFFICE"</f>
        <v>SHREDDING SVCS-TAX OFFICE</v>
      </c>
      <c r="I6" s="2">
        <v>51.5</v>
      </c>
      <c r="J6" t="str">
        <f>"SHREDDING SVCS-TAX OFFICE"</f>
        <v>SHREDDING SVCS-TAX OFFICE</v>
      </c>
    </row>
    <row r="7" spans="1:10" x14ac:dyDescent="0.3">
      <c r="A7" t="str">
        <f t="shared" si="0"/>
        <v>01</v>
      </c>
      <c r="B7" t="str">
        <f>"ALINE"</f>
        <v>ALINE</v>
      </c>
      <c r="C7" t="s">
        <v>13</v>
      </c>
      <c r="D7">
        <v>71900</v>
      </c>
      <c r="E7" s="2">
        <v>261.05</v>
      </c>
      <c r="F7" s="1">
        <v>42961</v>
      </c>
      <c r="G7" t="str">
        <f>"269419"</f>
        <v>269419</v>
      </c>
      <c r="H7" t="str">
        <f>"CUST#16500/AUTO PARTS/PCT#4"</f>
        <v>CUST#16500/AUTO PARTS/PCT#4</v>
      </c>
      <c r="I7" s="2">
        <v>261.05</v>
      </c>
      <c r="J7" t="str">
        <f>"CUST#16500/AUTO PARTS/PCT#4"</f>
        <v>CUST#16500/AUTO PARTS/PCT#4</v>
      </c>
    </row>
    <row r="8" spans="1:10" x14ac:dyDescent="0.3">
      <c r="A8" t="str">
        <f t="shared" si="0"/>
        <v>01</v>
      </c>
      <c r="B8" t="str">
        <f>"002048"</f>
        <v>002048</v>
      </c>
      <c r="C8" t="s">
        <v>14</v>
      </c>
      <c r="D8">
        <v>71901</v>
      </c>
      <c r="E8" s="2">
        <v>940.97</v>
      </c>
      <c r="F8" s="1">
        <v>42961</v>
      </c>
      <c r="G8" t="str">
        <f>"201708084150"</f>
        <v>201708084150</v>
      </c>
      <c r="H8" t="str">
        <f>"7/20/17-7/27/17  PCT#1"</f>
        <v>7/20/17-7/27/17  PCT#1</v>
      </c>
      <c r="I8" s="2">
        <v>940.97</v>
      </c>
      <c r="J8" t="str">
        <f>"7/20/17-7/27/17  PCT#1"</f>
        <v>7/20/17-7/27/17  PCT#1</v>
      </c>
    </row>
    <row r="9" spans="1:10" x14ac:dyDescent="0.3">
      <c r="A9" t="str">
        <f t="shared" si="0"/>
        <v>01</v>
      </c>
      <c r="B9" t="str">
        <f>"002048"</f>
        <v>002048</v>
      </c>
      <c r="C9" t="s">
        <v>14</v>
      </c>
      <c r="D9">
        <v>72176</v>
      </c>
      <c r="E9" s="2">
        <v>2569.31</v>
      </c>
      <c r="F9" s="1">
        <v>42976</v>
      </c>
      <c r="G9" t="str">
        <f>"201708224363"</f>
        <v>201708224363</v>
      </c>
      <c r="H9" t="str">
        <f>"8/8/17 - 8/21/17/PCT#1"</f>
        <v>8/8/17 - 8/21/17/PCT#1</v>
      </c>
      <c r="I9" s="2">
        <v>2569.31</v>
      </c>
      <c r="J9" t="str">
        <f>"8/8/17 - 8/21/17/PCT#1"</f>
        <v>8/8/17 - 8/21/17/PCT#1</v>
      </c>
    </row>
    <row r="10" spans="1:10" x14ac:dyDescent="0.3">
      <c r="A10" t="str">
        <f t="shared" si="0"/>
        <v>01</v>
      </c>
      <c r="B10" t="str">
        <f>"005056"</f>
        <v>005056</v>
      </c>
      <c r="C10" t="s">
        <v>15</v>
      </c>
      <c r="D10">
        <v>72177</v>
      </c>
      <c r="E10" s="2">
        <v>12721</v>
      </c>
      <c r="F10" s="1">
        <v>42976</v>
      </c>
      <c r="G10" t="str">
        <f>"1705095A"</f>
        <v>1705095A</v>
      </c>
      <c r="H10" t="str">
        <f>"Final Payment"</f>
        <v>Final Payment</v>
      </c>
      <c r="I10" s="2">
        <v>12721</v>
      </c>
      <c r="J10" t="str">
        <f>"Final Payment"</f>
        <v>Final Payment</v>
      </c>
    </row>
    <row r="11" spans="1:10" x14ac:dyDescent="0.3">
      <c r="A11" t="str">
        <f t="shared" si="0"/>
        <v>01</v>
      </c>
      <c r="B11" t="str">
        <f>"005174"</f>
        <v>005174</v>
      </c>
      <c r="C11" t="s">
        <v>16</v>
      </c>
      <c r="D11">
        <v>71902</v>
      </c>
      <c r="E11" s="2">
        <v>1500</v>
      </c>
      <c r="F11" s="1">
        <v>42961</v>
      </c>
      <c r="G11" t="str">
        <f>"1231"</f>
        <v>1231</v>
      </c>
      <c r="H11" t="str">
        <f>"CASE #15964-ALIEJO"</f>
        <v>CASE #15964-ALIEJO</v>
      </c>
      <c r="I11" s="2">
        <v>1500</v>
      </c>
      <c r="J11" t="str">
        <f>"CASE #15964-ALIEJO"</f>
        <v>CASE #15964-ALIEJO</v>
      </c>
    </row>
    <row r="12" spans="1:10" x14ac:dyDescent="0.3">
      <c r="A12" t="str">
        <f t="shared" si="0"/>
        <v>01</v>
      </c>
      <c r="B12" t="str">
        <f>"000954"</f>
        <v>000954</v>
      </c>
      <c r="C12" t="s">
        <v>17</v>
      </c>
      <c r="D12">
        <v>71903</v>
      </c>
      <c r="E12" s="2">
        <v>687.5</v>
      </c>
      <c r="F12" s="1">
        <v>42961</v>
      </c>
      <c r="G12" t="str">
        <f>"201708094196"</f>
        <v>201708094196</v>
      </c>
      <c r="H12" t="str">
        <f>"16-17709"</f>
        <v>16-17709</v>
      </c>
      <c r="I12" s="2">
        <v>197.5</v>
      </c>
      <c r="J12" t="str">
        <f>"16-17709"</f>
        <v>16-17709</v>
      </c>
    </row>
    <row r="13" spans="1:10" x14ac:dyDescent="0.3">
      <c r="A13" t="str">
        <f>""</f>
        <v/>
      </c>
      <c r="B13" t="str">
        <f>""</f>
        <v/>
      </c>
      <c r="G13" t="str">
        <f>"201708094197"</f>
        <v>201708094197</v>
      </c>
      <c r="H13" t="str">
        <f>"15-16990"</f>
        <v>15-16990</v>
      </c>
      <c r="I13" s="2">
        <v>100</v>
      </c>
      <c r="J13" t="str">
        <f>"15-16990"</f>
        <v>15-16990</v>
      </c>
    </row>
    <row r="14" spans="1:10" x14ac:dyDescent="0.3">
      <c r="A14" t="str">
        <f>""</f>
        <v/>
      </c>
      <c r="B14" t="str">
        <f>""</f>
        <v/>
      </c>
      <c r="G14" t="str">
        <f>"201708094198"</f>
        <v>201708094198</v>
      </c>
      <c r="H14" t="str">
        <f>"16-17760"</f>
        <v>16-17760</v>
      </c>
      <c r="I14" s="2">
        <v>67.5</v>
      </c>
      <c r="J14" t="str">
        <f>"16-17760"</f>
        <v>16-17760</v>
      </c>
    </row>
    <row r="15" spans="1:10" x14ac:dyDescent="0.3">
      <c r="A15" t="str">
        <f>""</f>
        <v/>
      </c>
      <c r="B15" t="str">
        <f>""</f>
        <v/>
      </c>
      <c r="G15" t="str">
        <f>"201708094199"</f>
        <v>201708094199</v>
      </c>
      <c r="H15" t="str">
        <f>"16-17687"</f>
        <v>16-17687</v>
      </c>
      <c r="I15" s="2">
        <v>115</v>
      </c>
      <c r="J15" t="str">
        <f>"16-17687"</f>
        <v>16-17687</v>
      </c>
    </row>
    <row r="16" spans="1:10" x14ac:dyDescent="0.3">
      <c r="A16" t="str">
        <f>""</f>
        <v/>
      </c>
      <c r="B16" t="str">
        <f>""</f>
        <v/>
      </c>
      <c r="G16" t="str">
        <f>"201708094200"</f>
        <v>201708094200</v>
      </c>
      <c r="H16" t="str">
        <f>"16-17913"</f>
        <v>16-17913</v>
      </c>
      <c r="I16" s="2">
        <v>107.5</v>
      </c>
      <c r="J16" t="str">
        <f>"16-17913"</f>
        <v>16-17913</v>
      </c>
    </row>
    <row r="17" spans="1:10" x14ac:dyDescent="0.3">
      <c r="A17" t="str">
        <f>""</f>
        <v/>
      </c>
      <c r="B17" t="str">
        <f>""</f>
        <v/>
      </c>
      <c r="G17" t="str">
        <f>"201708094201"</f>
        <v>201708094201</v>
      </c>
      <c r="H17" t="str">
        <f>"14-16917"</f>
        <v>14-16917</v>
      </c>
      <c r="I17" s="2">
        <v>100</v>
      </c>
      <c r="J17" t="str">
        <f>"14-16917"</f>
        <v>14-16917</v>
      </c>
    </row>
    <row r="18" spans="1:10" x14ac:dyDescent="0.3">
      <c r="A18" t="str">
        <f>"01"</f>
        <v>01</v>
      </c>
      <c r="B18" t="str">
        <f>"003117"</f>
        <v>003117</v>
      </c>
      <c r="C18" t="s">
        <v>18</v>
      </c>
      <c r="D18">
        <v>72178</v>
      </c>
      <c r="E18" s="2">
        <v>986.36</v>
      </c>
      <c r="F18" s="1">
        <v>42976</v>
      </c>
      <c r="G18" t="str">
        <f>"201708234372"</f>
        <v>201708234372</v>
      </c>
      <c r="H18" t="str">
        <f>"PER DIEM"</f>
        <v>PER DIEM</v>
      </c>
      <c r="I18" s="2">
        <v>70</v>
      </c>
      <c r="J18" t="str">
        <f>"PER DIEM"</f>
        <v>PER DIEM</v>
      </c>
    </row>
    <row r="19" spans="1:10" x14ac:dyDescent="0.3">
      <c r="A19" t="str">
        <f>""</f>
        <v/>
      </c>
      <c r="B19" t="str">
        <f>""</f>
        <v/>
      </c>
      <c r="G19" t="str">
        <f>"201708234375"</f>
        <v>201708234375</v>
      </c>
      <c r="H19" t="str">
        <f>"REIMBURSE-HOTEL/FOOD/REGISTRAT"</f>
        <v>REIMBURSE-HOTEL/FOOD/REGISTRAT</v>
      </c>
      <c r="I19" s="2">
        <v>916.36</v>
      </c>
      <c r="J19" t="str">
        <f>"REIMBURSE-HOTEL/FOOD/REGISTRAT"</f>
        <v>REIMBURSE-HOTEL/FOOD/REGISTRAT</v>
      </c>
    </row>
    <row r="20" spans="1:10" x14ac:dyDescent="0.3">
      <c r="A20" t="str">
        <f>"01"</f>
        <v>01</v>
      </c>
      <c r="B20" t="str">
        <f>"T6115"</f>
        <v>T6115</v>
      </c>
      <c r="C20" t="s">
        <v>19</v>
      </c>
      <c r="D20">
        <v>71904</v>
      </c>
      <c r="E20" s="2">
        <v>92</v>
      </c>
      <c r="F20" s="1">
        <v>42961</v>
      </c>
      <c r="G20" t="str">
        <f>"197490"</f>
        <v>197490</v>
      </c>
      <c r="H20" t="str">
        <f>"INV 197490"</f>
        <v>INV 197490</v>
      </c>
      <c r="I20" s="2">
        <v>92</v>
      </c>
      <c r="J20" t="str">
        <f>"INV 197490"</f>
        <v>INV 197490</v>
      </c>
    </row>
    <row r="21" spans="1:10" x14ac:dyDescent="0.3">
      <c r="A21" t="str">
        <f>"01"</f>
        <v>01</v>
      </c>
      <c r="B21" t="str">
        <f>"005185"</f>
        <v>005185</v>
      </c>
      <c r="C21" t="s">
        <v>20</v>
      </c>
      <c r="D21">
        <v>72165</v>
      </c>
      <c r="E21" s="2">
        <v>250</v>
      </c>
      <c r="F21" s="1">
        <v>42964</v>
      </c>
      <c r="G21" t="str">
        <f>"TRAINING-T STALCUP"</f>
        <v>TRAINING-T STALCUP</v>
      </c>
      <c r="H21" t="str">
        <f>"TRAINING"</f>
        <v>TRAINING</v>
      </c>
      <c r="I21" s="2">
        <v>250</v>
      </c>
      <c r="J21" t="str">
        <f>"TRAINING"</f>
        <v>TRAINING</v>
      </c>
    </row>
    <row r="22" spans="1:10" x14ac:dyDescent="0.3">
      <c r="A22" t="str">
        <f>"01"</f>
        <v>01</v>
      </c>
      <c r="B22" t="str">
        <f>"005169"</f>
        <v>005169</v>
      </c>
      <c r="C22" t="s">
        <v>21</v>
      </c>
      <c r="D22">
        <v>71905</v>
      </c>
      <c r="E22" s="2">
        <v>317.08</v>
      </c>
      <c r="F22" s="1">
        <v>42961</v>
      </c>
      <c r="G22" t="str">
        <f>"192999"</f>
        <v>192999</v>
      </c>
      <c r="H22" t="str">
        <f>"DOOR SERVICES/PCT#4"</f>
        <v>DOOR SERVICES/PCT#4</v>
      </c>
      <c r="I22" s="2">
        <v>317.08</v>
      </c>
      <c r="J22" t="str">
        <f>"DOOR SERVICES/PCT#4"</f>
        <v>DOOR SERVICES/PCT#4</v>
      </c>
    </row>
    <row r="23" spans="1:10" x14ac:dyDescent="0.3">
      <c r="A23" t="str">
        <f>"01"</f>
        <v>01</v>
      </c>
      <c r="B23" t="str">
        <f>"AG"</f>
        <v>AG</v>
      </c>
      <c r="C23" t="s">
        <v>22</v>
      </c>
      <c r="D23">
        <v>72179</v>
      </c>
      <c r="E23" s="2">
        <v>869.27</v>
      </c>
      <c r="F23" s="1">
        <v>42976</v>
      </c>
      <c r="G23" t="str">
        <f>"5874309"</f>
        <v>5874309</v>
      </c>
      <c r="H23" t="str">
        <f>"CUST#17295/PCT#4"</f>
        <v>CUST#17295/PCT#4</v>
      </c>
      <c r="I23" s="2">
        <v>532.75</v>
      </c>
      <c r="J23" t="str">
        <f>"CUST#17295/PCT#4"</f>
        <v>CUST#17295/PCT#4</v>
      </c>
    </row>
    <row r="24" spans="1:10" x14ac:dyDescent="0.3">
      <c r="A24" t="str">
        <f>""</f>
        <v/>
      </c>
      <c r="B24" t="str">
        <f>""</f>
        <v/>
      </c>
      <c r="G24" t="str">
        <f>"5899229"</f>
        <v>5899229</v>
      </c>
      <c r="H24" t="str">
        <f>"CUST#17295/SALES#4673610-S6/P1"</f>
        <v>CUST#17295/SALES#4673610-S6/P1</v>
      </c>
      <c r="I24" s="2">
        <v>336.52</v>
      </c>
      <c r="J24" t="str">
        <f>"CUST#17295/SALES#4673610-S6"</f>
        <v>CUST#17295/SALES#4673610-S6</v>
      </c>
    </row>
    <row r="25" spans="1:10" x14ac:dyDescent="0.3">
      <c r="A25" t="str">
        <f>"01"</f>
        <v>01</v>
      </c>
      <c r="B25" t="str">
        <f>"NPP"</f>
        <v>NPP</v>
      </c>
      <c r="C25" t="s">
        <v>23</v>
      </c>
      <c r="D25">
        <v>72180</v>
      </c>
      <c r="E25" s="2">
        <v>800</v>
      </c>
      <c r="F25" s="1">
        <v>42976</v>
      </c>
      <c r="G25" t="str">
        <f>"201708224340"</f>
        <v>201708224340</v>
      </c>
      <c r="H25" t="str">
        <f>"16261"</f>
        <v>16261</v>
      </c>
      <c r="I25" s="2">
        <v>800</v>
      </c>
      <c r="J25" t="str">
        <f>"16261"</f>
        <v>16261</v>
      </c>
    </row>
    <row r="26" spans="1:10" x14ac:dyDescent="0.3">
      <c r="A26" t="str">
        <f>"01"</f>
        <v>01</v>
      </c>
      <c r="B26" t="str">
        <f>"004642"</f>
        <v>004642</v>
      </c>
      <c r="C26" t="s">
        <v>24</v>
      </c>
      <c r="D26">
        <v>71906</v>
      </c>
      <c r="E26" s="2">
        <v>340</v>
      </c>
      <c r="F26" s="1">
        <v>42961</v>
      </c>
      <c r="G26" t="str">
        <f>"25477"</f>
        <v>25477</v>
      </c>
      <c r="H26" t="str">
        <f>"RENTAL (601 COOL WATER)"</f>
        <v>RENTAL (601 COOL WATER)</v>
      </c>
      <c r="I26" s="2">
        <v>340</v>
      </c>
      <c r="J26" t="str">
        <f>"RENTAL (601 COOL WATER)"</f>
        <v>RENTAL (601 COOL WATER)</v>
      </c>
    </row>
    <row r="27" spans="1:10" x14ac:dyDescent="0.3">
      <c r="A27" t="str">
        <f>"01"</f>
        <v>01</v>
      </c>
      <c r="B27" t="str">
        <f>"002599"</f>
        <v>002599</v>
      </c>
      <c r="C27" t="s">
        <v>25</v>
      </c>
      <c r="D27">
        <v>71907</v>
      </c>
      <c r="E27" s="2">
        <v>403.69</v>
      </c>
      <c r="F27" s="1">
        <v>42961</v>
      </c>
      <c r="G27" t="str">
        <f>"21953-1"</f>
        <v>21953-1</v>
      </c>
      <c r="H27" t="str">
        <f>"CUST#100031/PARTS/PCT#3"</f>
        <v>CUST#100031/PARTS/PCT#3</v>
      </c>
      <c r="I27" s="2">
        <v>269.94</v>
      </c>
      <c r="J27" t="str">
        <f>"CUST#100031/PARTS/PCT#3"</f>
        <v>CUST#100031/PARTS/PCT#3</v>
      </c>
    </row>
    <row r="28" spans="1:10" x14ac:dyDescent="0.3">
      <c r="A28" t="str">
        <f>""</f>
        <v/>
      </c>
      <c r="B28" t="str">
        <f>""</f>
        <v/>
      </c>
      <c r="G28" t="str">
        <f>"21953-2"</f>
        <v>21953-2</v>
      </c>
      <c r="H28" t="str">
        <f>"CUST#100031/PCT#3"</f>
        <v>CUST#100031/PCT#3</v>
      </c>
      <c r="I28" s="2">
        <v>133.75</v>
      </c>
      <c r="J28" t="str">
        <f>"CUST#100031/PCT#3"</f>
        <v>CUST#100031/PCT#3</v>
      </c>
    </row>
    <row r="29" spans="1:10" x14ac:dyDescent="0.3">
      <c r="A29" t="str">
        <f>"01"</f>
        <v>01</v>
      </c>
      <c r="B29" t="str">
        <f>"003253"</f>
        <v>003253</v>
      </c>
      <c r="C29" t="s">
        <v>26</v>
      </c>
      <c r="D29">
        <v>71908</v>
      </c>
      <c r="E29" s="2">
        <v>127</v>
      </c>
      <c r="F29" s="1">
        <v>42961</v>
      </c>
      <c r="G29" t="str">
        <f>"897966-1-1"</f>
        <v>897966-1-1</v>
      </c>
      <c r="H29" t="str">
        <f>"CUST#235716/PET CARRIERS/BCAS"</f>
        <v>CUST#235716/PET CARRIERS/BCAS</v>
      </c>
      <c r="I29" s="2">
        <v>127</v>
      </c>
      <c r="J29" t="str">
        <f>"CUST#235716/PET CARRIERS/BCAS"</f>
        <v>CUST#235716/PET CARRIERS/BCAS</v>
      </c>
    </row>
    <row r="30" spans="1:10" x14ac:dyDescent="0.3">
      <c r="A30" t="str">
        <f>"01"</f>
        <v>01</v>
      </c>
      <c r="B30" t="str">
        <f>"002148"</f>
        <v>002148</v>
      </c>
      <c r="C30" t="s">
        <v>27</v>
      </c>
      <c r="D30">
        <v>71909</v>
      </c>
      <c r="E30" s="2">
        <v>98.82</v>
      </c>
      <c r="F30" s="1">
        <v>42961</v>
      </c>
      <c r="G30" t="str">
        <f>"INV922882780/779"</f>
        <v>INV922882780/779</v>
      </c>
      <c r="H30" t="str">
        <f>"MEDICAL INV922882780/779"</f>
        <v>MEDICAL INV922882780/779</v>
      </c>
      <c r="I30" s="2">
        <v>98.82</v>
      </c>
      <c r="J30" t="str">
        <f>"MEDICAL INV922882780/779"</f>
        <v>MEDICAL INV922882780/779</v>
      </c>
    </row>
    <row r="31" spans="1:10" x14ac:dyDescent="0.3">
      <c r="A31" t="str">
        <f>""</f>
        <v/>
      </c>
      <c r="B31" t="str">
        <f>""</f>
        <v/>
      </c>
      <c r="G31" t="str">
        <f>""</f>
        <v/>
      </c>
      <c r="H31" t="str">
        <f>""</f>
        <v/>
      </c>
      <c r="J31" t="str">
        <f>"MEDICAL INV922882780/779"</f>
        <v>MEDICAL INV922882780/779</v>
      </c>
    </row>
    <row r="32" spans="1:10" x14ac:dyDescent="0.3">
      <c r="A32" t="str">
        <f>"01"</f>
        <v>01</v>
      </c>
      <c r="B32" t="str">
        <f>"002148"</f>
        <v>002148</v>
      </c>
      <c r="C32" t="s">
        <v>27</v>
      </c>
      <c r="D32">
        <v>72181</v>
      </c>
      <c r="E32" s="2">
        <v>107.84</v>
      </c>
      <c r="F32" s="1">
        <v>42976</v>
      </c>
      <c r="G32" t="str">
        <f>"923923432"</f>
        <v>923923432</v>
      </c>
      <c r="H32" t="str">
        <f>"INV 923923432"</f>
        <v>INV 923923432</v>
      </c>
      <c r="I32" s="2">
        <v>107.84</v>
      </c>
      <c r="J32" t="str">
        <f>"INV 923923432"</f>
        <v>INV 923923432</v>
      </c>
    </row>
    <row r="33" spans="1:10" x14ac:dyDescent="0.3">
      <c r="A33" t="str">
        <f>"01"</f>
        <v>01</v>
      </c>
      <c r="B33" t="str">
        <f>"T7520"</f>
        <v>T7520</v>
      </c>
      <c r="C33" t="s">
        <v>28</v>
      </c>
      <c r="D33">
        <v>71910</v>
      </c>
      <c r="E33" s="2">
        <v>14647.5</v>
      </c>
      <c r="F33" s="1">
        <v>42961</v>
      </c>
      <c r="G33" t="str">
        <f>"201707263866"</f>
        <v>201707263866</v>
      </c>
      <c r="H33" t="str">
        <f>"14 770/16 250/16 251"</f>
        <v>14 770/16 250/16 251</v>
      </c>
      <c r="I33" s="2">
        <v>800</v>
      </c>
      <c r="J33" t="str">
        <f>"14 770/16 250/16 251"</f>
        <v>14 770/16 250/16 251</v>
      </c>
    </row>
    <row r="34" spans="1:10" x14ac:dyDescent="0.3">
      <c r="A34" t="str">
        <f>""</f>
        <v/>
      </c>
      <c r="B34" t="str">
        <f>""</f>
        <v/>
      </c>
      <c r="G34" t="str">
        <f>"201707283888"</f>
        <v>201707283888</v>
      </c>
      <c r="H34" t="str">
        <f>"16-17765"</f>
        <v>16-17765</v>
      </c>
      <c r="I34" s="2">
        <v>1262.5</v>
      </c>
      <c r="J34" t="str">
        <f>"16-17765"</f>
        <v>16-17765</v>
      </c>
    </row>
    <row r="35" spans="1:10" x14ac:dyDescent="0.3">
      <c r="A35" t="str">
        <f>""</f>
        <v/>
      </c>
      <c r="B35" t="str">
        <f>""</f>
        <v/>
      </c>
      <c r="G35" t="str">
        <f>"201707283889"</f>
        <v>201707283889</v>
      </c>
      <c r="H35" t="str">
        <f>"17-18465"</f>
        <v>17-18465</v>
      </c>
      <c r="I35" s="2">
        <v>100</v>
      </c>
      <c r="J35" t="str">
        <f>"17-18465"</f>
        <v>17-18465</v>
      </c>
    </row>
    <row r="36" spans="1:10" x14ac:dyDescent="0.3">
      <c r="A36" t="str">
        <f>""</f>
        <v/>
      </c>
      <c r="B36" t="str">
        <f>""</f>
        <v/>
      </c>
      <c r="G36" t="str">
        <f>"201707283890"</f>
        <v>201707283890</v>
      </c>
      <c r="H36" t="str">
        <f>"17-18464"</f>
        <v>17-18464</v>
      </c>
      <c r="I36" s="2">
        <v>100</v>
      </c>
      <c r="J36" t="str">
        <f>"17-18464"</f>
        <v>17-18464</v>
      </c>
    </row>
    <row r="37" spans="1:10" x14ac:dyDescent="0.3">
      <c r="A37" t="str">
        <f>""</f>
        <v/>
      </c>
      <c r="B37" t="str">
        <f>""</f>
        <v/>
      </c>
      <c r="G37" t="str">
        <f>"201707283891"</f>
        <v>201707283891</v>
      </c>
      <c r="H37" t="str">
        <f>"16-17841  6/27/17"</f>
        <v>16-17841  6/27/17</v>
      </c>
      <c r="I37" s="2">
        <v>115</v>
      </c>
      <c r="J37" t="str">
        <f>"16-17841"</f>
        <v>16-17841</v>
      </c>
    </row>
    <row r="38" spans="1:10" x14ac:dyDescent="0.3">
      <c r="A38" t="str">
        <f>""</f>
        <v/>
      </c>
      <c r="B38" t="str">
        <f>""</f>
        <v/>
      </c>
      <c r="G38" t="str">
        <f>"201707283892"</f>
        <v>201707283892</v>
      </c>
      <c r="H38" t="str">
        <f>"16-17734  6/20/17"</f>
        <v>16-17734  6/20/17</v>
      </c>
      <c r="I38" s="2">
        <v>122.5</v>
      </c>
      <c r="J38" t="str">
        <f>"16-17734  6/20/17"</f>
        <v>16-17734  6/20/17</v>
      </c>
    </row>
    <row r="39" spans="1:10" x14ac:dyDescent="0.3">
      <c r="A39" t="str">
        <f>""</f>
        <v/>
      </c>
      <c r="B39" t="str">
        <f>""</f>
        <v/>
      </c>
      <c r="G39" t="str">
        <f>"201707283893"</f>
        <v>201707283893</v>
      </c>
      <c r="H39" t="str">
        <f>"411265-4"</f>
        <v>411265-4</v>
      </c>
      <c r="I39" s="2">
        <v>125</v>
      </c>
      <c r="J39" t="str">
        <f>"411265-4"</f>
        <v>411265-4</v>
      </c>
    </row>
    <row r="40" spans="1:10" x14ac:dyDescent="0.3">
      <c r="A40" t="str">
        <f>""</f>
        <v/>
      </c>
      <c r="B40" t="str">
        <f>""</f>
        <v/>
      </c>
      <c r="G40" t="str">
        <f>"201708084133"</f>
        <v>201708084133</v>
      </c>
      <c r="H40" t="str">
        <f>"16 061"</f>
        <v>16 061</v>
      </c>
      <c r="I40" s="2">
        <v>8912.5</v>
      </c>
      <c r="J40" t="str">
        <f>"16 061"</f>
        <v>16 061</v>
      </c>
    </row>
    <row r="41" spans="1:10" x14ac:dyDescent="0.3">
      <c r="A41" t="str">
        <f>""</f>
        <v/>
      </c>
      <c r="B41" t="str">
        <f>""</f>
        <v/>
      </c>
      <c r="G41" t="str">
        <f>"201708084134"</f>
        <v>201708084134</v>
      </c>
      <c r="H41" t="str">
        <f>"16 296 / 16 297"</f>
        <v>16 296 / 16 297</v>
      </c>
      <c r="I41" s="2">
        <v>600</v>
      </c>
      <c r="J41" t="str">
        <f>"16 296 / 16 297"</f>
        <v>16 296 / 16 297</v>
      </c>
    </row>
    <row r="42" spans="1:10" x14ac:dyDescent="0.3">
      <c r="A42" t="str">
        <f>""</f>
        <v/>
      </c>
      <c r="B42" t="str">
        <f>""</f>
        <v/>
      </c>
      <c r="G42" t="str">
        <f>"201708084135"</f>
        <v>201708084135</v>
      </c>
      <c r="H42" t="str">
        <f>"405274-6M"</f>
        <v>405274-6M</v>
      </c>
      <c r="I42" s="2">
        <v>400</v>
      </c>
      <c r="J42" t="str">
        <f>"405274-6M"</f>
        <v>405274-6M</v>
      </c>
    </row>
    <row r="43" spans="1:10" x14ac:dyDescent="0.3">
      <c r="A43" t="str">
        <f>""</f>
        <v/>
      </c>
      <c r="B43" t="str">
        <f>""</f>
        <v/>
      </c>
      <c r="G43" t="str">
        <f>"201708084136"</f>
        <v>201708084136</v>
      </c>
      <c r="H43" t="str">
        <f>"493-21 3/20/2017"</f>
        <v>493-21 3/20/2017</v>
      </c>
      <c r="I43" s="2">
        <v>100</v>
      </c>
      <c r="J43" t="str">
        <f>"493-21 3/20/2017"</f>
        <v>493-21 3/20/2017</v>
      </c>
    </row>
    <row r="44" spans="1:10" x14ac:dyDescent="0.3">
      <c r="A44" t="str">
        <f>""</f>
        <v/>
      </c>
      <c r="B44" t="str">
        <f>""</f>
        <v/>
      </c>
      <c r="G44" t="str">
        <f>"201708094202"</f>
        <v>201708094202</v>
      </c>
      <c r="H44" t="str">
        <f>"55 239"</f>
        <v>55 239</v>
      </c>
      <c r="I44" s="2">
        <v>250</v>
      </c>
      <c r="J44" t="str">
        <f>"55 239"</f>
        <v>55 239</v>
      </c>
    </row>
    <row r="45" spans="1:10" x14ac:dyDescent="0.3">
      <c r="A45" t="str">
        <f>""</f>
        <v/>
      </c>
      <c r="B45" t="str">
        <f>""</f>
        <v/>
      </c>
      <c r="G45" t="str">
        <f>"201708094203"</f>
        <v>201708094203</v>
      </c>
      <c r="H45" t="str">
        <f>"54 400  54 401  6/29/17"</f>
        <v>54 400  54 401  6/29/17</v>
      </c>
      <c r="I45" s="2">
        <v>375</v>
      </c>
      <c r="J45" t="str">
        <f>"54 400  54 401  6/29/17"</f>
        <v>54 400  54 401  6/29/17</v>
      </c>
    </row>
    <row r="46" spans="1:10" x14ac:dyDescent="0.3">
      <c r="A46" t="str">
        <f>""</f>
        <v/>
      </c>
      <c r="B46" t="str">
        <f>""</f>
        <v/>
      </c>
      <c r="G46" t="str">
        <f>"201708094204"</f>
        <v>201708094204</v>
      </c>
      <c r="H46" t="str">
        <f>"17-18393  6/27/17"</f>
        <v>17-18393  6/27/17</v>
      </c>
      <c r="I46" s="2">
        <v>100</v>
      </c>
      <c r="J46" t="str">
        <f>"17-18393  6/27/17"</f>
        <v>17-18393  6/27/17</v>
      </c>
    </row>
    <row r="47" spans="1:10" x14ac:dyDescent="0.3">
      <c r="A47" t="str">
        <f>""</f>
        <v/>
      </c>
      <c r="B47" t="str">
        <f>""</f>
        <v/>
      </c>
      <c r="G47" t="str">
        <f>"201708094205"</f>
        <v>201708094205</v>
      </c>
      <c r="H47" t="str">
        <f>"16-17601  7/7/17"</f>
        <v>16-17601  7/7/17</v>
      </c>
      <c r="I47" s="2">
        <v>1285</v>
      </c>
      <c r="J47" t="str">
        <f>"16-17601  7/7/17"</f>
        <v>16-17601  7/7/17</v>
      </c>
    </row>
    <row r="48" spans="1:10" x14ac:dyDescent="0.3">
      <c r="A48" t="str">
        <f>"01"</f>
        <v>01</v>
      </c>
      <c r="B48" t="str">
        <f>"T7520"</f>
        <v>T7520</v>
      </c>
      <c r="C48" t="s">
        <v>28</v>
      </c>
      <c r="D48">
        <v>72182</v>
      </c>
      <c r="E48" s="2">
        <v>1660</v>
      </c>
      <c r="F48" s="1">
        <v>42976</v>
      </c>
      <c r="G48" t="str">
        <f>"201708214317"</f>
        <v>201708214317</v>
      </c>
      <c r="H48" t="str">
        <f>"15 867"</f>
        <v>15 867</v>
      </c>
      <c r="I48" s="2">
        <v>400</v>
      </c>
      <c r="J48" t="str">
        <f>"15 867"</f>
        <v>15 867</v>
      </c>
    </row>
    <row r="49" spans="1:10" x14ac:dyDescent="0.3">
      <c r="A49" t="str">
        <f>""</f>
        <v/>
      </c>
      <c r="B49" t="str">
        <f>""</f>
        <v/>
      </c>
      <c r="G49" t="str">
        <f>"201708234417"</f>
        <v>201708234417</v>
      </c>
      <c r="H49" t="str">
        <f>"15-17444"</f>
        <v>15-17444</v>
      </c>
      <c r="I49" s="2">
        <v>385</v>
      </c>
      <c r="J49" t="str">
        <f>"15-17444"</f>
        <v>15-17444</v>
      </c>
    </row>
    <row r="50" spans="1:10" x14ac:dyDescent="0.3">
      <c r="A50" t="str">
        <f>""</f>
        <v/>
      </c>
      <c r="B50" t="str">
        <f>""</f>
        <v/>
      </c>
      <c r="G50" t="str">
        <f>"201708234428"</f>
        <v>201708234428</v>
      </c>
      <c r="H50" t="str">
        <f>"55 339"</f>
        <v>55 339</v>
      </c>
      <c r="I50" s="2">
        <v>250</v>
      </c>
      <c r="J50" t="str">
        <f>"55 339"</f>
        <v>55 339</v>
      </c>
    </row>
    <row r="51" spans="1:10" x14ac:dyDescent="0.3">
      <c r="A51" t="str">
        <f>""</f>
        <v/>
      </c>
      <c r="B51" t="str">
        <f>""</f>
        <v/>
      </c>
      <c r="G51" t="str">
        <f>"201708234429"</f>
        <v>201708234429</v>
      </c>
      <c r="H51" t="str">
        <f>"CH20170525B"</f>
        <v>CH20170525B</v>
      </c>
      <c r="I51" s="2">
        <v>250</v>
      </c>
      <c r="J51" t="str">
        <f>"CH20170525B"</f>
        <v>CH20170525B</v>
      </c>
    </row>
    <row r="52" spans="1:10" x14ac:dyDescent="0.3">
      <c r="A52" t="str">
        <f>""</f>
        <v/>
      </c>
      <c r="B52" t="str">
        <f>""</f>
        <v/>
      </c>
      <c r="G52" t="str">
        <f>"201708234430"</f>
        <v>201708234430</v>
      </c>
      <c r="H52" t="str">
        <f>"20160293  20160477"</f>
        <v>20160293  20160477</v>
      </c>
      <c r="I52" s="2">
        <v>375</v>
      </c>
      <c r="J52" t="str">
        <f>"20160293  20160477"</f>
        <v>20160293  20160477</v>
      </c>
    </row>
    <row r="53" spans="1:10" x14ac:dyDescent="0.3">
      <c r="A53" t="str">
        <f>"01"</f>
        <v>01</v>
      </c>
      <c r="B53" t="str">
        <f>"004089"</f>
        <v>004089</v>
      </c>
      <c r="C53" t="s">
        <v>29</v>
      </c>
      <c r="D53">
        <v>72166</v>
      </c>
      <c r="E53" s="2">
        <v>85</v>
      </c>
      <c r="F53" s="1">
        <v>42964</v>
      </c>
      <c r="G53" t="str">
        <f>"PER DIEM-A RAMIREZ"</f>
        <v>PER DIEM-A RAMIREZ</v>
      </c>
      <c r="H53" t="str">
        <f>"PER DIEM"</f>
        <v>PER DIEM</v>
      </c>
      <c r="I53" s="2">
        <v>85</v>
      </c>
      <c r="J53" t="str">
        <f>"PER DIEM"</f>
        <v>PER DIEM</v>
      </c>
    </row>
    <row r="54" spans="1:10" x14ac:dyDescent="0.3">
      <c r="A54" t="str">
        <f>"01"</f>
        <v>01</v>
      </c>
      <c r="B54" t="str">
        <f>"002661"</f>
        <v>002661</v>
      </c>
      <c r="C54" t="s">
        <v>30</v>
      </c>
      <c r="D54">
        <v>71911</v>
      </c>
      <c r="E54" s="2">
        <v>1415.34</v>
      </c>
      <c r="F54" s="1">
        <v>42961</v>
      </c>
      <c r="G54" t="str">
        <f>"1707-351103"</f>
        <v>1707-351103</v>
      </c>
      <c r="H54" t="str">
        <f>"ACCT#3-3053/MATERIALS"</f>
        <v>ACCT#3-3053/MATERIALS</v>
      </c>
      <c r="I54" s="2">
        <v>1415.34</v>
      </c>
      <c r="J54" t="str">
        <f>"ACCT#3-3053/MATERIALS"</f>
        <v>ACCT#3-3053/MATERIALS</v>
      </c>
    </row>
    <row r="55" spans="1:10" x14ac:dyDescent="0.3">
      <c r="A55" t="str">
        <f>"01"</f>
        <v>01</v>
      </c>
      <c r="B55" t="str">
        <f>"004902"</f>
        <v>004902</v>
      </c>
      <c r="C55" t="s">
        <v>31</v>
      </c>
      <c r="D55">
        <v>71912</v>
      </c>
      <c r="E55" s="2">
        <v>686.51</v>
      </c>
      <c r="F55" s="1">
        <v>42961</v>
      </c>
      <c r="G55" t="str">
        <f>"201707263857"</f>
        <v>201707263857</v>
      </c>
      <c r="H55" t="str">
        <f>"HOTEL REIMBURSEMENT"</f>
        <v>HOTEL REIMBURSEMENT</v>
      </c>
      <c r="I55" s="2">
        <v>57.79</v>
      </c>
      <c r="J55" t="str">
        <f>"HOTEL REIMBURSEMENT"</f>
        <v>HOTEL REIMBURSEMENT</v>
      </c>
    </row>
    <row r="56" spans="1:10" x14ac:dyDescent="0.3">
      <c r="A56" t="str">
        <f>""</f>
        <v/>
      </c>
      <c r="B56" t="str">
        <f>""</f>
        <v/>
      </c>
      <c r="G56" t="str">
        <f>"201708094269"</f>
        <v>201708094269</v>
      </c>
      <c r="H56" t="str">
        <f>"REIMBURSE-HOTEL/MEALS"</f>
        <v>REIMBURSE-HOTEL/MEALS</v>
      </c>
      <c r="I56" s="2">
        <v>219.44</v>
      </c>
      <c r="J56" t="str">
        <f>"REIMBURSE-HOTEL/MEALS"</f>
        <v>REIMBURSE-HOTEL/MEALS</v>
      </c>
    </row>
    <row r="57" spans="1:10" x14ac:dyDescent="0.3">
      <c r="A57" t="str">
        <f>""</f>
        <v/>
      </c>
      <c r="B57" t="str">
        <f>""</f>
        <v/>
      </c>
      <c r="G57" t="str">
        <f>"201708094270"</f>
        <v>201708094270</v>
      </c>
      <c r="H57" t="str">
        <f>"REIMBURSE-MILEAGE"</f>
        <v>REIMBURSE-MILEAGE</v>
      </c>
      <c r="I57" s="2">
        <v>409.28</v>
      </c>
      <c r="J57" t="str">
        <f>"REIMBURSE-MILEAGE"</f>
        <v>REIMBURSE-MILEAGE</v>
      </c>
    </row>
    <row r="58" spans="1:10" x14ac:dyDescent="0.3">
      <c r="A58" t="str">
        <f>"01"</f>
        <v>01</v>
      </c>
      <c r="B58" t="str">
        <f>"AQUAB"</f>
        <v>AQUAB</v>
      </c>
      <c r="C58" t="s">
        <v>32</v>
      </c>
      <c r="D58">
        <v>71913</v>
      </c>
      <c r="E58" s="2">
        <v>570.79999999999995</v>
      </c>
      <c r="F58" s="1">
        <v>42961</v>
      </c>
      <c r="G58" t="str">
        <f>"201708023980"</f>
        <v>201708023980</v>
      </c>
      <c r="H58" t="str">
        <f>"ACCT#010238/GENERAL SVCS"</f>
        <v>ACCT#010238/GENERAL SVCS</v>
      </c>
      <c r="I58" s="2">
        <v>124.75</v>
      </c>
      <c r="J58" t="str">
        <f>"ACCT#010238/GENERAL SVCS"</f>
        <v>ACCT#010238/GENERAL SVCS</v>
      </c>
    </row>
    <row r="59" spans="1:10" x14ac:dyDescent="0.3">
      <c r="A59" t="str">
        <f>""</f>
        <v/>
      </c>
      <c r="B59" t="str">
        <f>""</f>
        <v/>
      </c>
      <c r="G59" t="str">
        <f>"201708023981"</f>
        <v>201708023981</v>
      </c>
      <c r="H59" t="str">
        <f>"ACCT#014877/OFFICE OF EMER MGT"</f>
        <v>ACCT#014877/OFFICE OF EMER MGT</v>
      </c>
      <c r="I59" s="2">
        <v>9</v>
      </c>
      <c r="J59" t="str">
        <f>"ACCT#014877/OFFICE OF EMER MGT"</f>
        <v>ACCT#014877/OFFICE OF EMER MGT</v>
      </c>
    </row>
    <row r="60" spans="1:10" x14ac:dyDescent="0.3">
      <c r="A60" t="str">
        <f>""</f>
        <v/>
      </c>
      <c r="B60" t="str">
        <f>""</f>
        <v/>
      </c>
      <c r="G60" t="str">
        <f>"201708023982"</f>
        <v>201708023982</v>
      </c>
      <c r="H60" t="str">
        <f>"ACCT#010057/AUDITOR"</f>
        <v>ACCT#010057/AUDITOR</v>
      </c>
      <c r="I60" s="2">
        <v>24</v>
      </c>
      <c r="J60" t="str">
        <f>"ACCT#010057/AUDITOR"</f>
        <v>ACCT#010057/AUDITOR</v>
      </c>
    </row>
    <row r="61" spans="1:10" x14ac:dyDescent="0.3">
      <c r="A61" t="str">
        <f>""</f>
        <v/>
      </c>
      <c r="B61" t="str">
        <f>""</f>
        <v/>
      </c>
      <c r="G61" t="str">
        <f>"201708023983"</f>
        <v>201708023983</v>
      </c>
      <c r="H61" t="str">
        <f>"ACCT#012803/BASTROP CO JUDGE"</f>
        <v>ACCT#012803/BASTROP CO JUDGE</v>
      </c>
      <c r="I61" s="2">
        <v>16.5</v>
      </c>
      <c r="J61" t="str">
        <f>"ACCT#012803/BASTROP CO JUDGE"</f>
        <v>ACCT#012803/BASTROP CO JUDGE</v>
      </c>
    </row>
    <row r="62" spans="1:10" x14ac:dyDescent="0.3">
      <c r="A62" t="str">
        <f>""</f>
        <v/>
      </c>
      <c r="B62" t="str">
        <f>""</f>
        <v/>
      </c>
      <c r="G62" t="str">
        <f>"201708023984"</f>
        <v>201708023984</v>
      </c>
      <c r="H62" t="str">
        <f>"ACCT#012571/BAST CO TREASURER"</f>
        <v>ACCT#012571/BAST CO TREASURER</v>
      </c>
      <c r="I62" s="2">
        <v>24</v>
      </c>
      <c r="J62" t="str">
        <f>"ACCT#012571/BAST CO TREASURER"</f>
        <v>ACCT#012571/BAST CO TREASURER</v>
      </c>
    </row>
    <row r="63" spans="1:10" x14ac:dyDescent="0.3">
      <c r="A63" t="str">
        <f>""</f>
        <v/>
      </c>
      <c r="B63" t="str">
        <f>""</f>
        <v/>
      </c>
      <c r="G63" t="str">
        <f>"201708023989"</f>
        <v>201708023989</v>
      </c>
      <c r="H63" t="str">
        <f>"ACCT#013393/HR"</f>
        <v>ACCT#013393/HR</v>
      </c>
      <c r="I63" s="2">
        <v>40</v>
      </c>
      <c r="J63" t="str">
        <f>"ACCT#013393/HR"</f>
        <v>ACCT#013393/HR</v>
      </c>
    </row>
    <row r="64" spans="1:10" x14ac:dyDescent="0.3">
      <c r="A64" t="str">
        <f>""</f>
        <v/>
      </c>
      <c r="B64" t="str">
        <f>""</f>
        <v/>
      </c>
      <c r="G64" t="str">
        <f>"201708023990"</f>
        <v>201708023990</v>
      </c>
      <c r="H64" t="str">
        <f>"ACCT#010835/COMM. PCT#1"</f>
        <v>ACCT#010835/COMM. PCT#1</v>
      </c>
      <c r="I64" s="2">
        <v>30.19</v>
      </c>
      <c r="J64" t="str">
        <f>"ACCT#010835"</f>
        <v>ACCT#010835</v>
      </c>
    </row>
    <row r="65" spans="1:10" x14ac:dyDescent="0.3">
      <c r="A65" t="str">
        <f>""</f>
        <v/>
      </c>
      <c r="B65" t="str">
        <f>""</f>
        <v/>
      </c>
      <c r="G65" t="str">
        <f>"201708023992"</f>
        <v>201708023992</v>
      </c>
      <c r="H65" t="str">
        <f>"ACCT#012260/DA'S OFFICE"</f>
        <v>ACCT#012260/DA'S OFFICE</v>
      </c>
      <c r="I65" s="2">
        <v>67.5</v>
      </c>
      <c r="J65" t="str">
        <f>"ACCT#012260/DA'S OFFICE"</f>
        <v>ACCT#012260/DA'S OFFICE</v>
      </c>
    </row>
    <row r="66" spans="1:10" x14ac:dyDescent="0.3">
      <c r="A66" t="str">
        <f>""</f>
        <v/>
      </c>
      <c r="B66" t="str">
        <f>""</f>
        <v/>
      </c>
      <c r="G66" t="str">
        <f>"201708044005"</f>
        <v>201708044005</v>
      </c>
      <c r="H66" t="str">
        <f>"ACCT#015199/JP#1"</f>
        <v>ACCT#015199/JP#1</v>
      </c>
      <c r="I66" s="2">
        <v>19.34</v>
      </c>
      <c r="J66" t="str">
        <f>"ACCT#015199/JP#1"</f>
        <v>ACCT#015199/JP#1</v>
      </c>
    </row>
    <row r="67" spans="1:10" x14ac:dyDescent="0.3">
      <c r="A67" t="str">
        <f>""</f>
        <v/>
      </c>
      <c r="B67" t="str">
        <f>""</f>
        <v/>
      </c>
      <c r="G67" t="str">
        <f>"201708074100"</f>
        <v>201708074100</v>
      </c>
      <c r="H67" t="str">
        <f>"ACCT#011280/COUNTY CLERK"</f>
        <v>ACCT#011280/COUNTY CLERK</v>
      </c>
      <c r="I67" s="2">
        <v>46.5</v>
      </c>
      <c r="J67" t="str">
        <f>"ACCT#011280/COUNTY CLERK"</f>
        <v>ACCT#011280/COUNTY CLERK</v>
      </c>
    </row>
    <row r="68" spans="1:10" x14ac:dyDescent="0.3">
      <c r="A68" t="str">
        <f>""</f>
        <v/>
      </c>
      <c r="B68" t="str">
        <f>""</f>
        <v/>
      </c>
      <c r="G68" t="str">
        <f>"201708074110"</f>
        <v>201708074110</v>
      </c>
      <c r="H68" t="str">
        <f>"ACCT#010149/TX AGRI LIFE EXT"</f>
        <v>ACCT#010149/TX AGRI LIFE EXT</v>
      </c>
      <c r="I68" s="2">
        <v>42.34</v>
      </c>
      <c r="J68" t="str">
        <f>"ACCT#010149/TX AGRI LIFE EXT"</f>
        <v>ACCT#010149/TX AGRI LIFE EXT</v>
      </c>
    </row>
    <row r="69" spans="1:10" x14ac:dyDescent="0.3">
      <c r="A69" t="str">
        <f>""</f>
        <v/>
      </c>
      <c r="B69" t="str">
        <f>""</f>
        <v/>
      </c>
      <c r="G69" t="str">
        <f>"201708084127"</f>
        <v>201708084127</v>
      </c>
      <c r="H69" t="str">
        <f>"ACCT#014737/BCAS"</f>
        <v>ACCT#014737/BCAS</v>
      </c>
      <c r="I69" s="2">
        <v>65.84</v>
      </c>
      <c r="J69" t="str">
        <f>"ACCT#014737/BCAS"</f>
        <v>ACCT#014737/BCAS</v>
      </c>
    </row>
    <row r="70" spans="1:10" x14ac:dyDescent="0.3">
      <c r="A70" t="str">
        <f>""</f>
        <v/>
      </c>
      <c r="B70" t="str">
        <f>""</f>
        <v/>
      </c>
      <c r="G70" t="str">
        <f>"201708084129"</f>
        <v>201708084129</v>
      </c>
      <c r="H70" t="str">
        <f>"ACCT#013789/INDIGENT HLTH"</f>
        <v>ACCT#013789/INDIGENT HLTH</v>
      </c>
      <c r="I70" s="2">
        <v>41.84</v>
      </c>
      <c r="J70" t="str">
        <f>"ACCT#013789/INDIGENT HLTH"</f>
        <v>ACCT#013789/INDIGENT HLTH</v>
      </c>
    </row>
    <row r="71" spans="1:10" x14ac:dyDescent="0.3">
      <c r="A71" t="str">
        <f>""</f>
        <v/>
      </c>
      <c r="B71" t="str">
        <f>""</f>
        <v/>
      </c>
      <c r="G71" t="str">
        <f>"299810"</f>
        <v>299810</v>
      </c>
      <c r="H71" t="str">
        <f>"ACCT#011474/ELECTIONS"</f>
        <v>ACCT#011474/ELECTIONS</v>
      </c>
      <c r="I71" s="2">
        <v>9</v>
      </c>
      <c r="J71" t="str">
        <f>"ACCT#011474/ELECTIONS"</f>
        <v>ACCT#011474/ELECTIONS</v>
      </c>
    </row>
    <row r="72" spans="1:10" x14ac:dyDescent="0.3">
      <c r="A72" t="str">
        <f>""</f>
        <v/>
      </c>
      <c r="B72" t="str">
        <f>""</f>
        <v/>
      </c>
      <c r="G72" t="str">
        <f>"299921"</f>
        <v>299921</v>
      </c>
      <c r="H72" t="str">
        <f>"ACCT#012231/DIST JUDGE OFFICE"</f>
        <v>ACCT#012231/DIST JUDGE OFFICE</v>
      </c>
      <c r="I72" s="2">
        <v>10</v>
      </c>
      <c r="J72" t="str">
        <f>"ACCT#012231/DIST JUDGE OFFICE"</f>
        <v>ACCT#012231/DIST JUDGE OFFICE</v>
      </c>
    </row>
    <row r="73" spans="1:10" x14ac:dyDescent="0.3">
      <c r="A73" t="str">
        <f>"01"</f>
        <v>01</v>
      </c>
      <c r="B73" t="str">
        <f>"AWS"</f>
        <v>AWS</v>
      </c>
      <c r="C73" t="s">
        <v>33</v>
      </c>
      <c r="D73">
        <v>0</v>
      </c>
      <c r="E73" s="2">
        <v>1993.72</v>
      </c>
      <c r="F73" s="1">
        <v>42948</v>
      </c>
      <c r="G73" t="str">
        <f>"201707313965"</f>
        <v>201707313965</v>
      </c>
      <c r="H73" t="str">
        <f>"ACCT#0401408501/ANIMAL SHELTER"</f>
        <v>ACCT#0401408501/ANIMAL SHELTER</v>
      </c>
      <c r="I73" s="2">
        <v>930.45</v>
      </c>
      <c r="J73" t="str">
        <f>"ACCT#0401408501/ANIMAL SHELTER"</f>
        <v>ACCT#0401408501/ANIMAL SHELTER</v>
      </c>
    </row>
    <row r="74" spans="1:10" x14ac:dyDescent="0.3">
      <c r="A74" t="str">
        <f>""</f>
        <v/>
      </c>
      <c r="B74" t="str">
        <f>""</f>
        <v/>
      </c>
      <c r="G74" t="str">
        <f>"201707313966"</f>
        <v>201707313966</v>
      </c>
      <c r="H74" t="str">
        <f>"ACCT#0400785803/BASTROP COUNTY"</f>
        <v>ACCT#0400785803/BASTROP COUNTY</v>
      </c>
      <c r="I74" s="2">
        <v>184.15</v>
      </c>
      <c r="J74" t="str">
        <f>"ACCT#0400785803/BASTROP COUNTY"</f>
        <v>ACCT#0400785803/BASTROP COUNTY</v>
      </c>
    </row>
    <row r="75" spans="1:10" x14ac:dyDescent="0.3">
      <c r="A75" t="str">
        <f>""</f>
        <v/>
      </c>
      <c r="B75" t="str">
        <f>""</f>
        <v/>
      </c>
      <c r="G75" t="str">
        <f>"201707313967"</f>
        <v>201707313967</v>
      </c>
      <c r="H75" t="str">
        <f>"ACCT #0201891401/CC PARK ASSOC"</f>
        <v>ACCT #0201891401/CC PARK ASSOC</v>
      </c>
      <c r="I75" s="2">
        <v>33.409999999999997</v>
      </c>
      <c r="J75" t="str">
        <f>"ACCT #0201891401/CC PARK ASSOC"</f>
        <v>ACCT #0201891401/CC PARK ASSOC</v>
      </c>
    </row>
    <row r="76" spans="1:10" x14ac:dyDescent="0.3">
      <c r="A76" t="str">
        <f>""</f>
        <v/>
      </c>
      <c r="B76" t="str">
        <f>""</f>
        <v/>
      </c>
      <c r="G76" t="str">
        <f>"201707313968"</f>
        <v>201707313968</v>
      </c>
      <c r="H76" t="str">
        <f>"ACCT #0201855301/CC ANNEX"</f>
        <v>ACCT #0201855301/CC ANNEX</v>
      </c>
      <c r="I76" s="2">
        <v>30.31</v>
      </c>
      <c r="J76" t="str">
        <f>"ACCT #0201855301/CC ANNEX"</f>
        <v>ACCT #0201855301/CC ANNEX</v>
      </c>
    </row>
    <row r="77" spans="1:10" x14ac:dyDescent="0.3">
      <c r="A77" t="str">
        <f>""</f>
        <v/>
      </c>
      <c r="B77" t="str">
        <f>""</f>
        <v/>
      </c>
      <c r="G77" t="str">
        <f>"201707313969"</f>
        <v>201707313969</v>
      </c>
      <c r="H77" t="str">
        <f>"ACCT #0102120801/PCT#2"</f>
        <v>ACCT #0102120801/PCT#2</v>
      </c>
      <c r="I77" s="2">
        <v>777.74</v>
      </c>
      <c r="J77" t="str">
        <f>"ACCT #0102120801/PCT#2"</f>
        <v>ACCT #0102120801/PCT#2</v>
      </c>
    </row>
    <row r="78" spans="1:10" x14ac:dyDescent="0.3">
      <c r="A78" t="str">
        <f>""</f>
        <v/>
      </c>
      <c r="B78" t="str">
        <f>""</f>
        <v/>
      </c>
      <c r="G78" t="str">
        <f>"201707313970"</f>
        <v>201707313970</v>
      </c>
      <c r="H78" t="str">
        <f>"ACCT #0800042801/PCT#3"</f>
        <v>ACCT #0800042801/PCT#3</v>
      </c>
      <c r="I78" s="2">
        <v>37.659999999999997</v>
      </c>
      <c r="J78" t="str">
        <f>"ACCT #0800042801/PCT#3"</f>
        <v>ACCT #0800042801/PCT#3</v>
      </c>
    </row>
    <row r="79" spans="1:10" x14ac:dyDescent="0.3">
      <c r="A79" t="str">
        <f>"01"</f>
        <v>01</v>
      </c>
      <c r="B79" t="str">
        <f>"AWS"</f>
        <v>AWS</v>
      </c>
      <c r="C79" t="s">
        <v>33</v>
      </c>
      <c r="D79">
        <v>72160</v>
      </c>
      <c r="E79" s="2">
        <v>3177.5</v>
      </c>
      <c r="F79" s="1">
        <v>42962</v>
      </c>
      <c r="G79" t="str">
        <f>"201708154288"</f>
        <v>201708154288</v>
      </c>
      <c r="H79" t="str">
        <f>"ACCT#7700010026/PCT#3"</f>
        <v>ACCT#7700010026/PCT#3</v>
      </c>
      <c r="I79" s="2">
        <v>1906.5</v>
      </c>
      <c r="J79" t="str">
        <f>"ACCT#7700010026/PCT#3"</f>
        <v>ACCT#7700010026/PCT#3</v>
      </c>
    </row>
    <row r="80" spans="1:10" x14ac:dyDescent="0.3">
      <c r="A80" t="str">
        <f>""</f>
        <v/>
      </c>
      <c r="B80" t="str">
        <f>""</f>
        <v/>
      </c>
      <c r="G80" t="str">
        <f>"201708154289"</f>
        <v>201708154289</v>
      </c>
      <c r="H80" t="str">
        <f>"ACCT#77000010027/PCT#4"</f>
        <v>ACCT#77000010027/PCT#4</v>
      </c>
      <c r="I80" s="2">
        <v>1271</v>
      </c>
      <c r="J80" t="str">
        <f>"ACCT#77000010027/PCT#4"</f>
        <v>ACCT#77000010027/PCT#4</v>
      </c>
    </row>
    <row r="81" spans="1:10" x14ac:dyDescent="0.3">
      <c r="A81" t="str">
        <f>"01"</f>
        <v>01</v>
      </c>
      <c r="B81" t="str">
        <f>"AWS"</f>
        <v>AWS</v>
      </c>
      <c r="C81" t="s">
        <v>33</v>
      </c>
      <c r="D81">
        <v>72183</v>
      </c>
      <c r="E81" s="2">
        <v>287</v>
      </c>
      <c r="F81" s="1">
        <v>42976</v>
      </c>
      <c r="G81" t="str">
        <f>"201708224351"</f>
        <v>201708224351</v>
      </c>
      <c r="H81" t="str">
        <f>"ACCT#7700010024/PCT#1"</f>
        <v>ACCT#7700010024/PCT#1</v>
      </c>
      <c r="I81" s="2">
        <v>287</v>
      </c>
      <c r="J81" t="str">
        <f>"ACCT#7700010024/PCT#1"</f>
        <v>ACCT#7700010024/PCT#1</v>
      </c>
    </row>
    <row r="82" spans="1:10" x14ac:dyDescent="0.3">
      <c r="A82" t="str">
        <f>"01"</f>
        <v>01</v>
      </c>
      <c r="B82" t="str">
        <f>"000987"</f>
        <v>000987</v>
      </c>
      <c r="C82" t="s">
        <v>34</v>
      </c>
      <c r="D82">
        <v>71914</v>
      </c>
      <c r="E82" s="2">
        <v>168.94</v>
      </c>
      <c r="F82" s="1">
        <v>42961</v>
      </c>
      <c r="G82" t="str">
        <f>"201708094156"</f>
        <v>201708094156</v>
      </c>
      <c r="H82" t="str">
        <f>"INDIGENT HEALTH"</f>
        <v>INDIGENT HEALTH</v>
      </c>
      <c r="I82" s="2">
        <v>168.94</v>
      </c>
      <c r="J82" t="str">
        <f>"INDIGENT HEALTH"</f>
        <v>INDIGENT HEALTH</v>
      </c>
    </row>
    <row r="83" spans="1:10" x14ac:dyDescent="0.3">
      <c r="A83" t="str">
        <f>"01"</f>
        <v>01</v>
      </c>
      <c r="B83" t="str">
        <f>"001114"</f>
        <v>001114</v>
      </c>
      <c r="C83" t="s">
        <v>35</v>
      </c>
      <c r="D83">
        <v>999999</v>
      </c>
      <c r="E83" s="2">
        <v>1137.5</v>
      </c>
      <c r="F83" s="1">
        <v>42961</v>
      </c>
      <c r="G83" t="str">
        <f>"197605"</f>
        <v>197605</v>
      </c>
      <c r="H83" t="str">
        <f>"JAIL DOOR CONTROL"</f>
        <v>JAIL DOOR CONTROL</v>
      </c>
      <c r="I83" s="2">
        <v>1137.5</v>
      </c>
      <c r="J83" t="str">
        <f>"JAIL DOOR CONTROL"</f>
        <v>JAIL DOOR CONTROL</v>
      </c>
    </row>
    <row r="84" spans="1:10" x14ac:dyDescent="0.3">
      <c r="A84" t="str">
        <f>"01"</f>
        <v>01</v>
      </c>
      <c r="B84" t="str">
        <f>"003672"</f>
        <v>003672</v>
      </c>
      <c r="C84" t="s">
        <v>36</v>
      </c>
      <c r="D84">
        <v>71915</v>
      </c>
      <c r="E84" s="2">
        <v>15715</v>
      </c>
      <c r="F84" s="1">
        <v>42961</v>
      </c>
      <c r="G84" t="str">
        <f>"14539"</f>
        <v>14539</v>
      </c>
      <c r="H84" t="str">
        <f>"BC JUNE/JULY ADV/ADVERTISING"</f>
        <v>BC JUNE/JULY ADV/ADVERTISING</v>
      </c>
      <c r="I84" s="2">
        <v>14565</v>
      </c>
      <c r="J84" t="str">
        <f>"BC JUNE/JULY ADV/ADVERTISING"</f>
        <v>BC JUNE/JULY ADV/ADVERTISING</v>
      </c>
    </row>
    <row r="85" spans="1:10" x14ac:dyDescent="0.3">
      <c r="A85" t="str">
        <f>""</f>
        <v/>
      </c>
      <c r="B85" t="str">
        <f>""</f>
        <v/>
      </c>
      <c r="G85" t="str">
        <f>"14540"</f>
        <v>14540</v>
      </c>
      <c r="H85" t="str">
        <f>"BC PRO SERV/JUNE/JULY ADV"</f>
        <v>BC PRO SERV/JUNE/JULY ADV</v>
      </c>
      <c r="I85" s="2">
        <v>1150</v>
      </c>
      <c r="J85" t="str">
        <f>"BC PRO SERV/JUNE/JULY ADV"</f>
        <v>BC PRO SERV/JUNE/JULY ADV</v>
      </c>
    </row>
    <row r="86" spans="1:10" x14ac:dyDescent="0.3">
      <c r="A86" t="str">
        <f>"01"</f>
        <v>01</v>
      </c>
      <c r="B86" t="str">
        <f>"001533"</f>
        <v>001533</v>
      </c>
      <c r="C86" t="s">
        <v>37</v>
      </c>
      <c r="D86">
        <v>72184</v>
      </c>
      <c r="E86" s="2">
        <v>728.76</v>
      </c>
      <c r="F86" s="1">
        <v>42976</v>
      </c>
      <c r="G86" t="str">
        <f>"C79050"</f>
        <v>C79050</v>
      </c>
      <c r="H86" t="str">
        <f>"BLADES/PCT#1"</f>
        <v>BLADES/PCT#1</v>
      </c>
      <c r="I86" s="2">
        <v>728.76</v>
      </c>
      <c r="J86" t="str">
        <f>"BLADES/PCT#1"</f>
        <v>BLADES/PCT#1</v>
      </c>
    </row>
    <row r="87" spans="1:10" x14ac:dyDescent="0.3">
      <c r="A87" t="str">
        <f>"01"</f>
        <v>01</v>
      </c>
      <c r="B87" t="str">
        <f>"002022"</f>
        <v>002022</v>
      </c>
      <c r="C87" t="s">
        <v>38</v>
      </c>
      <c r="D87">
        <v>72185</v>
      </c>
      <c r="E87" s="2">
        <v>33.270000000000003</v>
      </c>
      <c r="F87" s="1">
        <v>42976</v>
      </c>
      <c r="G87" t="str">
        <f>"201708234393"</f>
        <v>201708234393</v>
      </c>
      <c r="H87" t="str">
        <f>"INDIGENT HEALTH"</f>
        <v>INDIGENT HEALTH</v>
      </c>
      <c r="I87" s="2">
        <v>33.270000000000003</v>
      </c>
    </row>
    <row r="88" spans="1:10" x14ac:dyDescent="0.3">
      <c r="A88" t="str">
        <f>"01"</f>
        <v>01</v>
      </c>
      <c r="B88" t="str">
        <f>"003673"</f>
        <v>003673</v>
      </c>
      <c r="C88" t="s">
        <v>39</v>
      </c>
      <c r="D88">
        <v>71888</v>
      </c>
      <c r="E88" s="2">
        <v>4510.8999999999996</v>
      </c>
      <c r="F88" s="1">
        <v>42948</v>
      </c>
      <c r="G88" t="str">
        <f>"201707313954"</f>
        <v>201707313954</v>
      </c>
      <c r="H88" t="str">
        <f>"ACCT#512A49-0048 193 3 7/17/17"</f>
        <v>ACCT#512A49-0048 193 3 7/17/17</v>
      </c>
      <c r="I88" s="2">
        <v>4510.8999999999996</v>
      </c>
      <c r="J88" t="str">
        <f>"ACCT#512A49-0048 193 3 7/17/17"</f>
        <v>ACCT#512A49-0048 193 3 7/17/17</v>
      </c>
    </row>
    <row r="89" spans="1:10" x14ac:dyDescent="0.3">
      <c r="A89" t="str">
        <f>""</f>
        <v/>
      </c>
      <c r="B89" t="str">
        <f>""</f>
        <v/>
      </c>
      <c r="G89" t="str">
        <f>""</f>
        <v/>
      </c>
      <c r="H89" t="str">
        <f>""</f>
        <v/>
      </c>
      <c r="J89" t="str">
        <f>"ACCT#512A49-0048 193 3 7/17/17"</f>
        <v>ACCT#512A49-0048 193 3 7/17/17</v>
      </c>
    </row>
    <row r="90" spans="1:10" x14ac:dyDescent="0.3">
      <c r="A90" t="str">
        <f>""</f>
        <v/>
      </c>
      <c r="B90" t="str">
        <f>""</f>
        <v/>
      </c>
      <c r="G90" t="str">
        <f>""</f>
        <v/>
      </c>
      <c r="H90" t="str">
        <f>""</f>
        <v/>
      </c>
      <c r="J90" t="str">
        <f>"ACCT#512A49-0048 193 3 7/17/17"</f>
        <v>ACCT#512A49-0048 193 3 7/17/17</v>
      </c>
    </row>
    <row r="91" spans="1:10" x14ac:dyDescent="0.3">
      <c r="A91" t="str">
        <f>""</f>
        <v/>
      </c>
      <c r="B91" t="str">
        <f>""</f>
        <v/>
      </c>
      <c r="G91" t="str">
        <f>""</f>
        <v/>
      </c>
      <c r="H91" t="str">
        <f>""</f>
        <v/>
      </c>
      <c r="J91" t="str">
        <f>"ACCT#512A49-0048 193 3 7/17/17"</f>
        <v>ACCT#512A49-0048 193 3 7/17/17</v>
      </c>
    </row>
    <row r="92" spans="1:10" x14ac:dyDescent="0.3">
      <c r="A92" t="str">
        <f>""</f>
        <v/>
      </c>
      <c r="B92" t="str">
        <f>""</f>
        <v/>
      </c>
      <c r="G92" t="str">
        <f>""</f>
        <v/>
      </c>
      <c r="H92" t="str">
        <f>""</f>
        <v/>
      </c>
      <c r="J92" t="str">
        <f>"ACCT#512A49-0048 193 3 7/17/17"</f>
        <v>ACCT#512A49-0048 193 3 7/17/17</v>
      </c>
    </row>
    <row r="93" spans="1:10" x14ac:dyDescent="0.3">
      <c r="A93" t="str">
        <f>"01"</f>
        <v>01</v>
      </c>
      <c r="B93" t="str">
        <f>"AT&amp;TLO"</f>
        <v>AT&amp;TLO</v>
      </c>
      <c r="C93" t="s">
        <v>40</v>
      </c>
      <c r="D93">
        <v>72186</v>
      </c>
      <c r="E93" s="2">
        <v>7566.23</v>
      </c>
      <c r="F93" s="1">
        <v>42976</v>
      </c>
      <c r="G93" t="str">
        <f>"2541087307"</f>
        <v>2541087307</v>
      </c>
      <c r="H93" t="str">
        <f>"ACCT#831-000-6982 602/CC ANNEX"</f>
        <v>ACCT#831-000-6982 602/CC ANNEX</v>
      </c>
      <c r="I93" s="2">
        <v>2127.4899999999998</v>
      </c>
      <c r="J93" t="str">
        <f>"ACCT#831-000-6982 602/CC ANNEX"</f>
        <v>ACCT#831-000-6982 602/CC ANNEX</v>
      </c>
    </row>
    <row r="94" spans="1:10" x14ac:dyDescent="0.3">
      <c r="A94" t="str">
        <f>""</f>
        <v/>
      </c>
      <c r="B94" t="str">
        <f>""</f>
        <v/>
      </c>
      <c r="G94" t="str">
        <f>"2554817303"</f>
        <v>2554817303</v>
      </c>
      <c r="H94" t="str">
        <f>"ACCT#831-000-6084 095/CT HOUSE"</f>
        <v>ACCT#831-000-6084 095/CT HOUSE</v>
      </c>
      <c r="I94" s="2">
        <v>3811.58</v>
      </c>
      <c r="J94" t="str">
        <f>"ACCT#831-000-6084 095/CT HOUSE"</f>
        <v>ACCT#831-000-6084 095/CT HOUSE</v>
      </c>
    </row>
    <row r="95" spans="1:10" x14ac:dyDescent="0.3">
      <c r="A95" t="str">
        <f>""</f>
        <v/>
      </c>
      <c r="B95" t="str">
        <f>""</f>
        <v/>
      </c>
      <c r="G95" t="str">
        <f>"6766467302"</f>
        <v>6766467302</v>
      </c>
      <c r="H95" t="str">
        <f>"ACCT#831-000-7218 923/CC ANNEX"</f>
        <v>ACCT#831-000-7218 923/CC ANNEX</v>
      </c>
      <c r="I95" s="2">
        <v>1627.16</v>
      </c>
      <c r="J95" t="str">
        <f>"ACCT#831-000-7218 923/CC ANNEX"</f>
        <v>ACCT#831-000-7218 923/CC ANNEX</v>
      </c>
    </row>
    <row r="96" spans="1:10" x14ac:dyDescent="0.3">
      <c r="A96" t="str">
        <f>"01"</f>
        <v>01</v>
      </c>
      <c r="B96" t="str">
        <f>"T7386"</f>
        <v>T7386</v>
      </c>
      <c r="C96" t="s">
        <v>40</v>
      </c>
      <c r="D96">
        <v>72187</v>
      </c>
      <c r="E96" s="2">
        <v>1792.11</v>
      </c>
      <c r="F96" s="1">
        <v>42976</v>
      </c>
      <c r="G96" t="str">
        <f>"201708234379"</f>
        <v>201708234379</v>
      </c>
      <c r="H96" t="str">
        <f>"ACCT#512 303-1080 238 5"</f>
        <v>ACCT#512 303-1080 238 5</v>
      </c>
      <c r="I96" s="2">
        <v>1792.11</v>
      </c>
      <c r="J96" t="str">
        <f>"ACCT#512 303-1080 238 5"</f>
        <v>ACCT#512 303-1080 238 5</v>
      </c>
    </row>
    <row r="97" spans="1:10" x14ac:dyDescent="0.3">
      <c r="A97" t="str">
        <f>"01"</f>
        <v>01</v>
      </c>
      <c r="B97" t="str">
        <f>"AT&amp;TMO"</f>
        <v>AT&amp;TMO</v>
      </c>
      <c r="C97" t="s">
        <v>41</v>
      </c>
      <c r="D97">
        <v>71889</v>
      </c>
      <c r="E97" s="2">
        <v>2053.66</v>
      </c>
      <c r="F97" s="1">
        <v>42948</v>
      </c>
      <c r="G97" t="str">
        <f>"201707313955"</f>
        <v>201707313955</v>
      </c>
      <c r="H97" t="str">
        <f>"ACCT#287263291729/SO"</f>
        <v>ACCT#287263291729/SO</v>
      </c>
      <c r="I97" s="2">
        <v>2053.66</v>
      </c>
      <c r="J97" t="str">
        <f>"ACCT#287263291729/SO"</f>
        <v>ACCT#287263291729/SO</v>
      </c>
    </row>
    <row r="98" spans="1:10" x14ac:dyDescent="0.3">
      <c r="A98" t="str">
        <f>"01"</f>
        <v>01</v>
      </c>
      <c r="B98" t="str">
        <f>"AT&amp;TMO"</f>
        <v>AT&amp;TMO</v>
      </c>
      <c r="C98" t="s">
        <v>41</v>
      </c>
      <c r="D98">
        <v>72188</v>
      </c>
      <c r="E98" s="2">
        <v>2154.84</v>
      </c>
      <c r="F98" s="1">
        <v>42976</v>
      </c>
      <c r="G98" t="str">
        <f>"201708214311"</f>
        <v>201708214311</v>
      </c>
      <c r="H98" t="str">
        <f>"ACCT#287263291654/ENVIR&amp;SANIT"</f>
        <v>ACCT#287263291654/ENVIR&amp;SANIT</v>
      </c>
      <c r="I98" s="2">
        <v>75.98</v>
      </c>
      <c r="J98" t="str">
        <f>"ACCT#287263291654/ENVIR&amp;SANIT"</f>
        <v>ACCT#287263291654/ENVIR&amp;SANIT</v>
      </c>
    </row>
    <row r="99" spans="1:10" x14ac:dyDescent="0.3">
      <c r="A99" t="str">
        <f>""</f>
        <v/>
      </c>
      <c r="B99" t="str">
        <f>""</f>
        <v/>
      </c>
      <c r="G99" t="str">
        <f>"287263291729X08202"</f>
        <v>287263291729X08202</v>
      </c>
      <c r="H99" t="str">
        <f>"ACCT#287263291729-7/13 TO 8/12"</f>
        <v>ACCT#287263291729-7/13 TO 8/12</v>
      </c>
      <c r="I99" s="2">
        <v>2078.86</v>
      </c>
      <c r="J99" t="str">
        <f>"ACCT#287263291729-7/13 TO 8/12"</f>
        <v>ACCT#287263291729-7/13 TO 8/12</v>
      </c>
    </row>
    <row r="100" spans="1:10" x14ac:dyDescent="0.3">
      <c r="A100" t="str">
        <f>"01"</f>
        <v>01</v>
      </c>
      <c r="B100" t="str">
        <f>"AT&amp;T13"</f>
        <v>AT&amp;T13</v>
      </c>
      <c r="C100" t="s">
        <v>42</v>
      </c>
      <c r="D100">
        <v>71916</v>
      </c>
      <c r="E100" s="2">
        <v>281.10000000000002</v>
      </c>
      <c r="F100" s="1">
        <v>42961</v>
      </c>
      <c r="G100" t="str">
        <f>"201708013975"</f>
        <v>201708013975</v>
      </c>
      <c r="H100" t="str">
        <f>"ACCT #826392401/DPS"</f>
        <v>ACCT #826392401/DPS</v>
      </c>
      <c r="I100" s="2">
        <v>96.63</v>
      </c>
      <c r="J100" t="str">
        <f>"ACCT #826392401/DPS"</f>
        <v>ACCT #826392401/DPS</v>
      </c>
    </row>
    <row r="101" spans="1:10" x14ac:dyDescent="0.3">
      <c r="A101" t="str">
        <f>""</f>
        <v/>
      </c>
      <c r="B101" t="str">
        <f>""</f>
        <v/>
      </c>
      <c r="G101" t="str">
        <f>"201708023988"</f>
        <v>201708023988</v>
      </c>
      <c r="H101" t="str">
        <f>"ACCT#826392401/DPS"</f>
        <v>ACCT#826392401/DPS</v>
      </c>
      <c r="I101" s="2">
        <v>184.47</v>
      </c>
      <c r="J101" t="str">
        <f>"ACCT#826392401/DPS"</f>
        <v>ACCT#826392401/DPS</v>
      </c>
    </row>
    <row r="102" spans="1:10" x14ac:dyDescent="0.3">
      <c r="A102" t="str">
        <f>"01"</f>
        <v>01</v>
      </c>
      <c r="B102" t="str">
        <f>"T10780"</f>
        <v>T10780</v>
      </c>
      <c r="C102" t="s">
        <v>43</v>
      </c>
      <c r="D102">
        <v>72189</v>
      </c>
      <c r="E102" s="2">
        <v>446.12</v>
      </c>
      <c r="F102" s="1">
        <v>42976</v>
      </c>
      <c r="G102" t="str">
        <f>"127559"</f>
        <v>127559</v>
      </c>
      <c r="H102" t="str">
        <f>"CUST#132733"</f>
        <v>CUST#132733</v>
      </c>
      <c r="I102" s="2">
        <v>245.66</v>
      </c>
      <c r="J102" t="str">
        <f>"CUST#132733"</f>
        <v>CUST#132733</v>
      </c>
    </row>
    <row r="103" spans="1:10" x14ac:dyDescent="0.3">
      <c r="A103" t="str">
        <f>""</f>
        <v/>
      </c>
      <c r="B103" t="str">
        <f>""</f>
        <v/>
      </c>
      <c r="G103" t="str">
        <f>"I0490823"</f>
        <v>I0490823</v>
      </c>
      <c r="H103" t="str">
        <f>"CUST#132733/ORD#0574764"</f>
        <v>CUST#132733/ORD#0574764</v>
      </c>
      <c r="I103" s="2">
        <v>200.46</v>
      </c>
      <c r="J103" t="str">
        <f>"CUST#132733/ORD#0574764"</f>
        <v>CUST#132733/ORD#0574764</v>
      </c>
    </row>
    <row r="104" spans="1:10" x14ac:dyDescent="0.3">
      <c r="A104" t="str">
        <f>"01"</f>
        <v>01</v>
      </c>
      <c r="B104" t="str">
        <f>"ASC"</f>
        <v>ASC</v>
      </c>
      <c r="C104" t="s">
        <v>44</v>
      </c>
      <c r="D104">
        <v>71917</v>
      </c>
      <c r="E104" s="2">
        <v>48.02</v>
      </c>
      <c r="F104" s="1">
        <v>42961</v>
      </c>
      <c r="G104" t="str">
        <f>"89439"</f>
        <v>89439</v>
      </c>
      <c r="H104" t="str">
        <f>"MATERIALS/PCT#2"</f>
        <v>MATERIALS/PCT#2</v>
      </c>
      <c r="I104" s="2">
        <v>48.02</v>
      </c>
      <c r="J104" t="str">
        <f>"MATERIALS/PCT#2"</f>
        <v>MATERIALS/PCT#2</v>
      </c>
    </row>
    <row r="105" spans="1:10" x14ac:dyDescent="0.3">
      <c r="A105" t="str">
        <f>"01"</f>
        <v>01</v>
      </c>
      <c r="B105" t="str">
        <f>"AA-S"</f>
        <v>AA-S</v>
      </c>
      <c r="C105" t="s">
        <v>45</v>
      </c>
      <c r="D105">
        <v>71918</v>
      </c>
      <c r="E105" s="2">
        <v>1501.45</v>
      </c>
      <c r="F105" s="1">
        <v>42961</v>
      </c>
      <c r="G105" t="str">
        <f>"0000177223"</f>
        <v>0000177223</v>
      </c>
      <c r="H105" t="str">
        <f>"RFB 17BCP06A Public"</f>
        <v>RFB 17BCP06A Public</v>
      </c>
      <c r="I105" s="2">
        <v>185.76</v>
      </c>
    </row>
    <row r="106" spans="1:10" x14ac:dyDescent="0.3">
      <c r="A106" t="str">
        <f>""</f>
        <v/>
      </c>
      <c r="B106" t="str">
        <f>""</f>
        <v/>
      </c>
      <c r="G106" t="str">
        <f>"701520"</f>
        <v>701520</v>
      </c>
      <c r="H106" t="str">
        <f>"Document#421672"</f>
        <v>Document#421672</v>
      </c>
      <c r="I106" s="2">
        <v>77.760000000000005</v>
      </c>
    </row>
    <row r="107" spans="1:10" x14ac:dyDescent="0.3">
      <c r="A107" t="str">
        <f>""</f>
        <v/>
      </c>
      <c r="B107" t="str">
        <f>""</f>
        <v/>
      </c>
      <c r="G107" t="str">
        <f>"LEGAL NOTICES"</f>
        <v>LEGAL NOTICES</v>
      </c>
      <c r="H107" t="str">
        <f>"Payment"</f>
        <v>Payment</v>
      </c>
      <c r="I107" s="2">
        <v>1237.93</v>
      </c>
    </row>
    <row r="108" spans="1:10" x14ac:dyDescent="0.3">
      <c r="A108" t="str">
        <f>"01"</f>
        <v>01</v>
      </c>
      <c r="B108" t="str">
        <f>"AA-S"</f>
        <v>AA-S</v>
      </c>
      <c r="C108" t="s">
        <v>45</v>
      </c>
      <c r="D108">
        <v>72190</v>
      </c>
      <c r="E108" s="2">
        <v>540.79</v>
      </c>
      <c r="F108" s="1">
        <v>42976</v>
      </c>
      <c r="G108" t="str">
        <f>"I00195802-08122017"</f>
        <v>I00195802-08122017</v>
      </c>
      <c r="H108" t="str">
        <f>"Ad Order# 0000195802-01"</f>
        <v>Ad Order# 0000195802-01</v>
      </c>
      <c r="I108" s="2">
        <v>176.71</v>
      </c>
    </row>
    <row r="109" spans="1:10" x14ac:dyDescent="0.3">
      <c r="A109" t="str">
        <f>""</f>
        <v/>
      </c>
      <c r="B109" t="str">
        <f>""</f>
        <v/>
      </c>
      <c r="G109" t="str">
        <f>"NEWSPAPER NOTICES"</f>
        <v>NEWSPAPER NOTICES</v>
      </c>
      <c r="H109" t="str">
        <f>"Doc# 440268 436669 436670"</f>
        <v>Doc# 440268 436669 436670</v>
      </c>
      <c r="I109" s="2">
        <v>364.08</v>
      </c>
    </row>
    <row r="110" spans="1:10" x14ac:dyDescent="0.3">
      <c r="A110" t="str">
        <f>"01"</f>
        <v>01</v>
      </c>
      <c r="B110" t="str">
        <f>"004098"</f>
        <v>004098</v>
      </c>
      <c r="C110" t="s">
        <v>46</v>
      </c>
      <c r="D110">
        <v>71919</v>
      </c>
      <c r="E110" s="2">
        <v>287.5</v>
      </c>
      <c r="F110" s="1">
        <v>42961</v>
      </c>
      <c r="G110" t="str">
        <f>"201707283880"</f>
        <v>201707283880</v>
      </c>
      <c r="H110" t="str">
        <f>"ACCT#8269621-SUBSCRIPTION"</f>
        <v>ACCT#8269621-SUBSCRIPTION</v>
      </c>
      <c r="I110" s="2">
        <v>287.5</v>
      </c>
      <c r="J110" t="str">
        <f>"ACCT#8269621-SUBSCRIPTION"</f>
        <v>ACCT#8269621-SUBSCRIPTION</v>
      </c>
    </row>
    <row r="111" spans="1:10" x14ac:dyDescent="0.3">
      <c r="A111" t="str">
        <f>"01"</f>
        <v>01</v>
      </c>
      <c r="B111" t="str">
        <f>"T6757"</f>
        <v>T6757</v>
      </c>
      <c r="C111" t="s">
        <v>47</v>
      </c>
      <c r="D111">
        <v>71920</v>
      </c>
      <c r="E111" s="2">
        <v>33.270000000000003</v>
      </c>
      <c r="F111" s="1">
        <v>42961</v>
      </c>
      <c r="G111" t="str">
        <f>"201708094157"</f>
        <v>201708094157</v>
      </c>
      <c r="H111" t="str">
        <f>"INDIGENT HEALTH"</f>
        <v>INDIGENT HEALTH</v>
      </c>
      <c r="I111" s="2">
        <v>33.270000000000003</v>
      </c>
      <c r="J111" t="str">
        <f>"INDIGENT HEALTH"</f>
        <v>INDIGENT HEALTH</v>
      </c>
    </row>
    <row r="112" spans="1:10" x14ac:dyDescent="0.3">
      <c r="A112" t="str">
        <f>"01"</f>
        <v>01</v>
      </c>
      <c r="B112" t="str">
        <f>"T1251"</f>
        <v>T1251</v>
      </c>
      <c r="C112" t="s">
        <v>48</v>
      </c>
      <c r="D112">
        <v>71921</v>
      </c>
      <c r="E112" s="2">
        <v>149.69999999999999</v>
      </c>
      <c r="F112" s="1">
        <v>42961</v>
      </c>
      <c r="G112" t="str">
        <f>"201708094158"</f>
        <v>201708094158</v>
      </c>
      <c r="H112" t="str">
        <f>"INDIGENT HEALTH"</f>
        <v>INDIGENT HEALTH</v>
      </c>
      <c r="I112" s="2">
        <v>149.69999999999999</v>
      </c>
      <c r="J112" t="str">
        <f>"INDIGENT HEALTH"</f>
        <v>INDIGENT HEALTH</v>
      </c>
    </row>
    <row r="113" spans="1:10" x14ac:dyDescent="0.3">
      <c r="A113" t="str">
        <f>""</f>
        <v/>
      </c>
      <c r="B113" t="str">
        <f>""</f>
        <v/>
      </c>
      <c r="G113" t="str">
        <f>""</f>
        <v/>
      </c>
      <c r="H113" t="str">
        <f>""</f>
        <v/>
      </c>
      <c r="J113" t="str">
        <f>"INDIGENT HEALTH"</f>
        <v>INDIGENT HEALTH</v>
      </c>
    </row>
    <row r="114" spans="1:10" x14ac:dyDescent="0.3">
      <c r="A114" t="str">
        <f>"01"</f>
        <v>01</v>
      </c>
      <c r="B114" t="str">
        <f>"T1251"</f>
        <v>T1251</v>
      </c>
      <c r="C114" t="s">
        <v>48</v>
      </c>
      <c r="D114">
        <v>72191</v>
      </c>
      <c r="E114" s="2">
        <v>139.26</v>
      </c>
      <c r="F114" s="1">
        <v>42976</v>
      </c>
      <c r="G114" t="str">
        <f>"201708234394"</f>
        <v>201708234394</v>
      </c>
      <c r="H114" t="str">
        <f>"INDIGENT HEALTH"</f>
        <v>INDIGENT HEALTH</v>
      </c>
      <c r="I114" s="2">
        <v>139.26</v>
      </c>
      <c r="J114" t="str">
        <f>"INDIGENT HEALTH"</f>
        <v>INDIGENT HEALTH</v>
      </c>
    </row>
    <row r="115" spans="1:10" x14ac:dyDescent="0.3">
      <c r="A115" t="str">
        <f>""</f>
        <v/>
      </c>
      <c r="B115" t="str">
        <f>""</f>
        <v/>
      </c>
      <c r="G115" t="str">
        <f>""</f>
        <v/>
      </c>
      <c r="H115" t="str">
        <f>""</f>
        <v/>
      </c>
      <c r="J115" t="str">
        <f>"INDIGENT HEALTH"</f>
        <v>INDIGENT HEALTH</v>
      </c>
    </row>
    <row r="116" spans="1:10" x14ac:dyDescent="0.3">
      <c r="A116" t="str">
        <f>"01"</f>
        <v>01</v>
      </c>
      <c r="B116" t="str">
        <f>"001795"</f>
        <v>001795</v>
      </c>
      <c r="C116" t="s">
        <v>49</v>
      </c>
      <c r="D116">
        <v>71922</v>
      </c>
      <c r="E116" s="2">
        <v>236.48</v>
      </c>
      <c r="F116" s="1">
        <v>42961</v>
      </c>
      <c r="G116" t="str">
        <f>"142591"</f>
        <v>142591</v>
      </c>
      <c r="H116" t="str">
        <f>"PARTS/PCT#3"</f>
        <v>PARTS/PCT#3</v>
      </c>
      <c r="I116" s="2">
        <v>236.48</v>
      </c>
      <c r="J116" t="str">
        <f>"PARTS/PCT#3"</f>
        <v>PARTS/PCT#3</v>
      </c>
    </row>
    <row r="117" spans="1:10" x14ac:dyDescent="0.3">
      <c r="A117" t="str">
        <f>"01"</f>
        <v>01</v>
      </c>
      <c r="B117" t="str">
        <f>"001795"</f>
        <v>001795</v>
      </c>
      <c r="C117" t="s">
        <v>49</v>
      </c>
      <c r="D117">
        <v>72192</v>
      </c>
      <c r="E117" s="2">
        <v>86.02</v>
      </c>
      <c r="F117" s="1">
        <v>42976</v>
      </c>
      <c r="G117" t="str">
        <f>"142942"</f>
        <v>142942</v>
      </c>
      <c r="H117" t="str">
        <f>"PARTS/PCT#3"</f>
        <v>PARTS/PCT#3</v>
      </c>
      <c r="I117" s="2">
        <v>86.02</v>
      </c>
      <c r="J117" t="str">
        <f>"PARTS/PCT#3"</f>
        <v>PARTS/PCT#3</v>
      </c>
    </row>
    <row r="118" spans="1:10" x14ac:dyDescent="0.3">
      <c r="A118" t="str">
        <f>"01"</f>
        <v>01</v>
      </c>
      <c r="B118" t="str">
        <f>"T3200"</f>
        <v>T3200</v>
      </c>
      <c r="C118" t="s">
        <v>50</v>
      </c>
      <c r="D118">
        <v>71923</v>
      </c>
      <c r="E118" s="2">
        <v>995.7</v>
      </c>
      <c r="F118" s="1">
        <v>42961</v>
      </c>
      <c r="G118" t="str">
        <f>"201708094159"</f>
        <v>201708094159</v>
      </c>
      <c r="H118" t="str">
        <f>"INDIGENT HEALTH"</f>
        <v>INDIGENT HEALTH</v>
      </c>
      <c r="I118" s="2">
        <v>995.7</v>
      </c>
      <c r="J118" t="str">
        <f>"INDIGENT HEALTH"</f>
        <v>INDIGENT HEALTH</v>
      </c>
    </row>
    <row r="119" spans="1:10" x14ac:dyDescent="0.3">
      <c r="A119" t="str">
        <f>"01"</f>
        <v>01</v>
      </c>
      <c r="B119" t="str">
        <f>"005181"</f>
        <v>005181</v>
      </c>
      <c r="C119" t="s">
        <v>51</v>
      </c>
      <c r="D119">
        <v>71924</v>
      </c>
      <c r="E119" s="2">
        <v>112</v>
      </c>
      <c r="F119" s="1">
        <v>42961</v>
      </c>
      <c r="G119" t="str">
        <f>"190816"</f>
        <v>190816</v>
      </c>
      <c r="H119" t="str">
        <f>"TIP FEE (AT 812 YD)/PCT#1"</f>
        <v>TIP FEE (AT 812 YD)/PCT#1</v>
      </c>
      <c r="I119" s="2">
        <v>48</v>
      </c>
      <c r="J119" t="str">
        <f>"TIP FEE FOR AUSTIN (AT 812 YD)"</f>
        <v>TIP FEE FOR AUSTIN (AT 812 YD)</v>
      </c>
    </row>
    <row r="120" spans="1:10" x14ac:dyDescent="0.3">
      <c r="A120" t="str">
        <f>""</f>
        <v/>
      </c>
      <c r="B120" t="str">
        <f>""</f>
        <v/>
      </c>
      <c r="G120" t="str">
        <f>"190817"</f>
        <v>190817</v>
      </c>
      <c r="H120" t="str">
        <f>"TIP FEE (AT 812 YD)/PCT#1"</f>
        <v>TIP FEE (AT 812 YD)/PCT#1</v>
      </c>
      <c r="I120" s="2">
        <v>40</v>
      </c>
      <c r="J120" t="str">
        <f>"TIP FEE (AT 812 YD)/PCT#1"</f>
        <v>TIP FEE (AT 812 YD)/PCT#1</v>
      </c>
    </row>
    <row r="121" spans="1:10" x14ac:dyDescent="0.3">
      <c r="A121" t="str">
        <f>""</f>
        <v/>
      </c>
      <c r="B121" t="str">
        <f>""</f>
        <v/>
      </c>
      <c r="G121" t="str">
        <f>"190819"</f>
        <v>190819</v>
      </c>
      <c r="H121" t="str">
        <f>"TIP FEE(AT 812 YD)/PCT#1"</f>
        <v>TIP FEE(AT 812 YD)/PCT#1</v>
      </c>
      <c r="I121" s="2">
        <v>24</v>
      </c>
      <c r="J121" t="str">
        <f>"TIP FEE(AT 812 YD)/PCT#1"</f>
        <v>TIP FEE(AT 812 YD)/PCT#1</v>
      </c>
    </row>
    <row r="122" spans="1:10" x14ac:dyDescent="0.3">
      <c r="A122" t="str">
        <f>"01"</f>
        <v>01</v>
      </c>
      <c r="B122" t="str">
        <f>"B&amp;B"</f>
        <v>B&amp;B</v>
      </c>
      <c r="C122" t="s">
        <v>52</v>
      </c>
      <c r="D122">
        <v>71925</v>
      </c>
      <c r="E122" s="2">
        <v>2237.7600000000002</v>
      </c>
      <c r="F122" s="1">
        <v>42961</v>
      </c>
      <c r="G122" t="str">
        <f>"201708094183"</f>
        <v>201708094183</v>
      </c>
      <c r="H122" t="str">
        <f>"CUST#1650"</f>
        <v>CUST#1650</v>
      </c>
      <c r="I122" s="2">
        <v>457.47</v>
      </c>
      <c r="J122" t="str">
        <f>"CUST#1650"</f>
        <v>CUST#1650</v>
      </c>
    </row>
    <row r="123" spans="1:10" x14ac:dyDescent="0.3">
      <c r="A123" t="str">
        <f>""</f>
        <v/>
      </c>
      <c r="B123" t="str">
        <f>""</f>
        <v/>
      </c>
      <c r="G123" t="str">
        <f>""</f>
        <v/>
      </c>
      <c r="H123" t="str">
        <f>""</f>
        <v/>
      </c>
      <c r="J123" t="str">
        <f>"CUST#1650"</f>
        <v>CUST#1650</v>
      </c>
    </row>
    <row r="124" spans="1:10" x14ac:dyDescent="0.3">
      <c r="A124" t="str">
        <f>""</f>
        <v/>
      </c>
      <c r="B124" t="str">
        <f>""</f>
        <v/>
      </c>
      <c r="G124" t="str">
        <f>""</f>
        <v/>
      </c>
      <c r="H124" t="str">
        <f>""</f>
        <v/>
      </c>
      <c r="J124" t="str">
        <f>"CUST#1650"</f>
        <v>CUST#1650</v>
      </c>
    </row>
    <row r="125" spans="1:10" x14ac:dyDescent="0.3">
      <c r="A125" t="str">
        <f>""</f>
        <v/>
      </c>
      <c r="B125" t="str">
        <f>""</f>
        <v/>
      </c>
      <c r="G125" t="str">
        <f>"201708094184"</f>
        <v>201708094184</v>
      </c>
      <c r="H125" t="str">
        <f>"CUST#1650/PCT#1"</f>
        <v>CUST#1650/PCT#1</v>
      </c>
      <c r="I125" s="2">
        <v>645.26</v>
      </c>
      <c r="J125" t="str">
        <f>"CUST#1650/PCT#1"</f>
        <v>CUST#1650/PCT#1</v>
      </c>
    </row>
    <row r="126" spans="1:10" x14ac:dyDescent="0.3">
      <c r="A126" t="str">
        <f>""</f>
        <v/>
      </c>
      <c r="B126" t="str">
        <f>""</f>
        <v/>
      </c>
      <c r="G126" t="str">
        <f>"201708094185"</f>
        <v>201708094185</v>
      </c>
      <c r="H126" t="str">
        <f>"CUST#1750/PCT#3"</f>
        <v>CUST#1750/PCT#3</v>
      </c>
      <c r="I126" s="2">
        <v>723.53</v>
      </c>
      <c r="J126" t="str">
        <f>"CUST#1750/PCT#3"</f>
        <v>CUST#1750/PCT#3</v>
      </c>
    </row>
    <row r="127" spans="1:10" x14ac:dyDescent="0.3">
      <c r="A127" t="str">
        <f>""</f>
        <v/>
      </c>
      <c r="B127" t="str">
        <f>""</f>
        <v/>
      </c>
      <c r="G127" t="str">
        <f>"527652"</f>
        <v>527652</v>
      </c>
      <c r="H127" t="str">
        <f>"ACCT#1700/PCT#2"</f>
        <v>ACCT#1700/PCT#2</v>
      </c>
      <c r="I127" s="2">
        <v>40.99</v>
      </c>
      <c r="J127" t="str">
        <f>"ACCT#1700/PCT#2"</f>
        <v>ACCT#1700/PCT#2</v>
      </c>
    </row>
    <row r="128" spans="1:10" x14ac:dyDescent="0.3">
      <c r="A128" t="str">
        <f>""</f>
        <v/>
      </c>
      <c r="B128" t="str">
        <f>""</f>
        <v/>
      </c>
      <c r="G128" t="str">
        <f>"529904"</f>
        <v>529904</v>
      </c>
      <c r="H128" t="str">
        <f>"ACCT#1800/PCT#4"</f>
        <v>ACCT#1800/PCT#4</v>
      </c>
      <c r="I128" s="2">
        <v>370.51</v>
      </c>
      <c r="J128" t="str">
        <f>"ACCT#1800/PCT#4"</f>
        <v>ACCT#1800/PCT#4</v>
      </c>
    </row>
    <row r="129" spans="1:11" x14ac:dyDescent="0.3">
      <c r="A129" t="str">
        <f t="shared" ref="A129:A135" si="1">"01"</f>
        <v>01</v>
      </c>
      <c r="B129" t="str">
        <f>"004875"</f>
        <v>004875</v>
      </c>
      <c r="C129" t="s">
        <v>53</v>
      </c>
      <c r="D129">
        <v>71926</v>
      </c>
      <c r="E129" s="2">
        <v>4054.9</v>
      </c>
      <c r="F129" s="1">
        <v>42961</v>
      </c>
      <c r="G129" t="str">
        <f>"JUV PROB REPAIR"</f>
        <v>JUV PROB REPAIR</v>
      </c>
      <c r="H129" t="str">
        <f>"Juvenile Probation Repair"</f>
        <v>Juvenile Probation Repair</v>
      </c>
      <c r="I129" s="2">
        <v>4054.9</v>
      </c>
      <c r="J129" t="str">
        <f>"Juvenile Probation Repair"</f>
        <v>Juvenile Probation Repair</v>
      </c>
    </row>
    <row r="130" spans="1:11" x14ac:dyDescent="0.3">
      <c r="A130" t="str">
        <f t="shared" si="1"/>
        <v>01</v>
      </c>
      <c r="B130" t="str">
        <f>"000025"</f>
        <v>000025</v>
      </c>
      <c r="C130" t="s">
        <v>54</v>
      </c>
      <c r="D130">
        <v>71927</v>
      </c>
      <c r="E130" s="2">
        <v>7710</v>
      </c>
      <c r="F130" s="1">
        <v>42961</v>
      </c>
      <c r="G130" t="str">
        <f>"14388"</f>
        <v>14388</v>
      </c>
      <c r="H130" t="str">
        <f>"MATERIALS AND LABOR"</f>
        <v>MATERIALS AND LABOR</v>
      </c>
      <c r="I130" s="2">
        <v>7710</v>
      </c>
      <c r="J130" t="str">
        <f>"MATERIALS AND LABOR"</f>
        <v>MATERIALS AND LABOR</v>
      </c>
    </row>
    <row r="131" spans="1:11" x14ac:dyDescent="0.3">
      <c r="A131" t="str">
        <f t="shared" si="1"/>
        <v>01</v>
      </c>
      <c r="B131" t="str">
        <f>"T8883"</f>
        <v>T8883</v>
      </c>
      <c r="C131" t="s">
        <v>55</v>
      </c>
      <c r="D131">
        <v>71928</v>
      </c>
      <c r="E131" s="2">
        <v>250</v>
      </c>
      <c r="F131" s="1">
        <v>42961</v>
      </c>
      <c r="G131" t="str">
        <f>"373266"</f>
        <v>373266</v>
      </c>
      <c r="H131" t="str">
        <f>"INV 373266 / UNIT 5273"</f>
        <v>INV 373266 / UNIT 5273</v>
      </c>
      <c r="I131" s="2">
        <v>250</v>
      </c>
      <c r="J131" t="str">
        <f>"INV 373266 / UNIT 5273"</f>
        <v>INV 373266 / UNIT 5273</v>
      </c>
    </row>
    <row r="132" spans="1:11" x14ac:dyDescent="0.3">
      <c r="A132" t="str">
        <f t="shared" si="1"/>
        <v>01</v>
      </c>
      <c r="B132" t="str">
        <f>"BAW"</f>
        <v>BAW</v>
      </c>
      <c r="C132" t="s">
        <v>56</v>
      </c>
      <c r="D132">
        <v>71929</v>
      </c>
      <c r="E132" s="2">
        <v>105.14</v>
      </c>
      <c r="F132" s="1">
        <v>42961</v>
      </c>
      <c r="G132" t="str">
        <f>"24100"</f>
        <v>24100</v>
      </c>
      <c r="H132" t="str">
        <f>"SHOP SUPPLIES/ANIMAL SHELTER"</f>
        <v>SHOP SUPPLIES/ANIMAL SHELTER</v>
      </c>
      <c r="I132" s="2">
        <v>105.14</v>
      </c>
      <c r="J132" t="str">
        <f>"SHOP SUPPLIES/ANIMAL SHELTER"</f>
        <v>SHOP SUPPLIES/ANIMAL SHELTER</v>
      </c>
    </row>
    <row r="133" spans="1:11" x14ac:dyDescent="0.3">
      <c r="A133" t="str">
        <f t="shared" si="1"/>
        <v>01</v>
      </c>
      <c r="B133" t="str">
        <f>"000871"</f>
        <v>000871</v>
      </c>
      <c r="C133" t="s">
        <v>57</v>
      </c>
      <c r="D133">
        <v>72193</v>
      </c>
      <c r="E133" s="2">
        <v>525</v>
      </c>
      <c r="F133" s="1">
        <v>42976</v>
      </c>
      <c r="G133" t="str">
        <f>"14116"</f>
        <v>14116</v>
      </c>
      <c r="H133" t="str">
        <f>"2017-18 BEST LEADERSHIP PRGM"</f>
        <v>2017-18 BEST LEADERSHIP PRGM</v>
      </c>
      <c r="I133" s="2">
        <v>525</v>
      </c>
      <c r="J133" t="str">
        <f>"2017-18 BEST LEADERSHIP PRGM"</f>
        <v>2017-18 BEST LEADERSHIP PRGM</v>
      </c>
    </row>
    <row r="134" spans="1:11" x14ac:dyDescent="0.3">
      <c r="A134" t="str">
        <f t="shared" si="1"/>
        <v>01</v>
      </c>
      <c r="B134" t="str">
        <f>"T1636"</f>
        <v>T1636</v>
      </c>
      <c r="C134" t="s">
        <v>58</v>
      </c>
      <c r="D134">
        <v>71930</v>
      </c>
      <c r="E134" s="2">
        <v>150</v>
      </c>
      <c r="F134" s="1">
        <v>42961</v>
      </c>
      <c r="G134" t="str">
        <f>"12711"</f>
        <v>12711</v>
      </c>
      <c r="H134" t="str">
        <f>"SERVICE 6/12/17"</f>
        <v>SERVICE 6/12/17</v>
      </c>
      <c r="I134" s="2">
        <v>150</v>
      </c>
      <c r="J134" t="str">
        <f>"SERVICE 6/12/17"</f>
        <v>SERVICE 6/12/17</v>
      </c>
    </row>
    <row r="135" spans="1:11" x14ac:dyDescent="0.3">
      <c r="A135" t="str">
        <f t="shared" si="1"/>
        <v>01</v>
      </c>
      <c r="B135" t="str">
        <f>"T1636"</f>
        <v>T1636</v>
      </c>
      <c r="C135" t="s">
        <v>58</v>
      </c>
      <c r="D135">
        <v>72194</v>
      </c>
      <c r="E135" s="2">
        <v>5985.5</v>
      </c>
      <c r="F135" s="1">
        <v>42976</v>
      </c>
      <c r="G135" t="s">
        <v>59</v>
      </c>
      <c r="H135" t="s">
        <v>60</v>
      </c>
      <c r="I135" s="2" t="str">
        <f>"SERVICE 7/5/17"</f>
        <v>SERVICE 7/5/17</v>
      </c>
      <c r="J135" t="str">
        <f>"995-4110"</f>
        <v>995-4110</v>
      </c>
      <c r="K135">
        <v>92.5</v>
      </c>
    </row>
    <row r="136" spans="1:11" x14ac:dyDescent="0.3">
      <c r="A136" t="str">
        <f>""</f>
        <v/>
      </c>
      <c r="B136" t="str">
        <f>""</f>
        <v/>
      </c>
      <c r="G136" t="s">
        <v>59</v>
      </c>
      <c r="H136" t="s">
        <v>61</v>
      </c>
      <c r="I136" s="2" t="str">
        <f>"SERVICE 6/14/17"</f>
        <v>SERVICE 6/14/17</v>
      </c>
      <c r="J136" t="str">
        <f>"995-4110"</f>
        <v>995-4110</v>
      </c>
      <c r="K136">
        <v>275</v>
      </c>
    </row>
    <row r="137" spans="1:11" x14ac:dyDescent="0.3">
      <c r="A137" t="str">
        <f>""</f>
        <v/>
      </c>
      <c r="B137" t="str">
        <f>""</f>
        <v/>
      </c>
      <c r="G137" t="s">
        <v>59</v>
      </c>
      <c r="H137" t="s">
        <v>62</v>
      </c>
      <c r="I137" s="2" t="str">
        <f>"SERVICE 6/14/17"</f>
        <v>SERVICE 6/14/17</v>
      </c>
      <c r="J137" t="str">
        <f>"995-4110"</f>
        <v>995-4110</v>
      </c>
      <c r="K137">
        <v>200</v>
      </c>
    </row>
    <row r="138" spans="1:11" x14ac:dyDescent="0.3">
      <c r="A138" t="str">
        <f>""</f>
        <v/>
      </c>
      <c r="B138" t="str">
        <f>""</f>
        <v/>
      </c>
      <c r="G138" t="s">
        <v>59</v>
      </c>
      <c r="H138" t="s">
        <v>63</v>
      </c>
      <c r="I138" s="2" t="str">
        <f>"SERVICE 6/14/17"</f>
        <v>SERVICE 6/14/17</v>
      </c>
      <c r="J138" t="str">
        <f>"995-4110"</f>
        <v>995-4110</v>
      </c>
      <c r="K138">
        <v>200</v>
      </c>
    </row>
    <row r="139" spans="1:11" x14ac:dyDescent="0.3">
      <c r="A139" t="str">
        <f>""</f>
        <v/>
      </c>
      <c r="B139" t="str">
        <f>""</f>
        <v/>
      </c>
      <c r="G139" t="str">
        <f>"11466"</f>
        <v>11466</v>
      </c>
      <c r="H139" t="str">
        <f>"SERVICE 7/5/17"</f>
        <v>SERVICE 7/5/17</v>
      </c>
      <c r="I139" s="2">
        <v>280</v>
      </c>
      <c r="J139" t="str">
        <f>"SERVICE 7/5/17"</f>
        <v>SERVICE 7/5/17</v>
      </c>
    </row>
    <row r="140" spans="1:11" x14ac:dyDescent="0.3">
      <c r="A140" t="str">
        <f>""</f>
        <v/>
      </c>
      <c r="B140" t="str">
        <f>""</f>
        <v/>
      </c>
      <c r="G140" t="s">
        <v>64</v>
      </c>
      <c r="H140" t="s">
        <v>65</v>
      </c>
      <c r="I140" s="2" t="str">
        <f>"SERVICE 6/14/17"</f>
        <v>SERVICE 6/14/17</v>
      </c>
      <c r="J140" t="str">
        <f>"995-4110"</f>
        <v>995-4110</v>
      </c>
      <c r="K140">
        <v>200</v>
      </c>
    </row>
    <row r="141" spans="1:11" x14ac:dyDescent="0.3">
      <c r="A141" t="str">
        <f>""</f>
        <v/>
      </c>
      <c r="B141" t="str">
        <f>""</f>
        <v/>
      </c>
      <c r="G141" t="s">
        <v>64</v>
      </c>
      <c r="H141" t="s">
        <v>66</v>
      </c>
      <c r="I141" s="2" t="str">
        <f>"SERVICE 6/14/17"</f>
        <v>SERVICE 6/14/17</v>
      </c>
      <c r="J141" t="str">
        <f>"995-4110"</f>
        <v>995-4110</v>
      </c>
      <c r="K141">
        <v>200</v>
      </c>
    </row>
    <row r="142" spans="1:11" x14ac:dyDescent="0.3">
      <c r="A142" t="str">
        <f>""</f>
        <v/>
      </c>
      <c r="B142" t="str">
        <f>""</f>
        <v/>
      </c>
      <c r="G142" t="s">
        <v>64</v>
      </c>
      <c r="H142" t="s">
        <v>67</v>
      </c>
      <c r="I142" s="2" t="str">
        <f>"SERVICE 6/14/17"</f>
        <v>SERVICE 6/14/17</v>
      </c>
      <c r="J142" t="str">
        <f>"995-4110"</f>
        <v>995-4110</v>
      </c>
      <c r="K142">
        <v>200</v>
      </c>
    </row>
    <row r="143" spans="1:11" x14ac:dyDescent="0.3">
      <c r="A143" t="str">
        <f>""</f>
        <v/>
      </c>
      <c r="B143" t="str">
        <f>""</f>
        <v/>
      </c>
      <c r="G143" t="s">
        <v>64</v>
      </c>
      <c r="H143" t="s">
        <v>68</v>
      </c>
      <c r="I143" s="2" t="str">
        <f>"SERVICE 6/26/17"</f>
        <v>SERVICE 6/26/17</v>
      </c>
      <c r="J143" t="str">
        <f>"995-4110"</f>
        <v>995-4110</v>
      </c>
      <c r="K143">
        <v>225</v>
      </c>
    </row>
    <row r="144" spans="1:11" x14ac:dyDescent="0.3">
      <c r="A144" t="str">
        <f>""</f>
        <v/>
      </c>
      <c r="B144" t="str">
        <f>""</f>
        <v/>
      </c>
      <c r="G144" t="str">
        <f>"12280"</f>
        <v>12280</v>
      </c>
      <c r="H144" t="str">
        <f>"SERVICE 06/14/2017"</f>
        <v>SERVICE 06/14/2017</v>
      </c>
      <c r="I144" s="2">
        <v>450</v>
      </c>
      <c r="J144" t="str">
        <f>"SERVICE 06/14/2017"</f>
        <v>SERVICE 06/14/2017</v>
      </c>
    </row>
    <row r="145" spans="1:10" x14ac:dyDescent="0.3">
      <c r="A145" t="str">
        <f>""</f>
        <v/>
      </c>
      <c r="B145" t="str">
        <f>""</f>
        <v/>
      </c>
      <c r="G145" t="str">
        <f>"12286"</f>
        <v>12286</v>
      </c>
      <c r="H145" t="str">
        <f>"SERVICE 06/14/17"</f>
        <v>SERVICE 06/14/17</v>
      </c>
      <c r="I145" s="2">
        <v>150</v>
      </c>
      <c r="J145" t="str">
        <f>"SERVICE 06/14/17"</f>
        <v>SERVICE 06/14/17</v>
      </c>
    </row>
    <row r="146" spans="1:10" x14ac:dyDescent="0.3">
      <c r="A146" t="str">
        <f>""</f>
        <v/>
      </c>
      <c r="B146" t="str">
        <f>""</f>
        <v/>
      </c>
      <c r="G146" t="str">
        <f>"12309"</f>
        <v>12309</v>
      </c>
      <c r="H146" t="str">
        <f t="shared" ref="H146:H153" si="2">"SERVICE 6/14/17"</f>
        <v>SERVICE 6/14/17</v>
      </c>
      <c r="I146" s="2">
        <v>325</v>
      </c>
      <c r="J146" t="str">
        <f t="shared" ref="J146:J153" si="3">"SERVICE 6/14/17"</f>
        <v>SERVICE 6/14/17</v>
      </c>
    </row>
    <row r="147" spans="1:10" x14ac:dyDescent="0.3">
      <c r="A147" t="str">
        <f>""</f>
        <v/>
      </c>
      <c r="B147" t="str">
        <f>""</f>
        <v/>
      </c>
      <c r="G147" t="str">
        <f>"12404"</f>
        <v>12404</v>
      </c>
      <c r="H147" t="str">
        <f t="shared" si="2"/>
        <v>SERVICE 6/14/17</v>
      </c>
      <c r="I147" s="2">
        <v>325</v>
      </c>
      <c r="J147" t="str">
        <f t="shared" si="3"/>
        <v>SERVICE 6/14/17</v>
      </c>
    </row>
    <row r="148" spans="1:10" x14ac:dyDescent="0.3">
      <c r="A148" t="str">
        <f>""</f>
        <v/>
      </c>
      <c r="B148" t="str">
        <f>""</f>
        <v/>
      </c>
      <c r="G148" t="str">
        <f>"12458"</f>
        <v>12458</v>
      </c>
      <c r="H148" t="str">
        <f t="shared" si="2"/>
        <v>SERVICE 6/14/17</v>
      </c>
      <c r="I148" s="2">
        <v>325</v>
      </c>
      <c r="J148" t="str">
        <f t="shared" si="3"/>
        <v>SERVICE 6/14/17</v>
      </c>
    </row>
    <row r="149" spans="1:10" x14ac:dyDescent="0.3">
      <c r="A149" t="str">
        <f>""</f>
        <v/>
      </c>
      <c r="B149" t="str">
        <f>""</f>
        <v/>
      </c>
      <c r="G149" t="str">
        <f>"12459"</f>
        <v>12459</v>
      </c>
      <c r="H149" t="str">
        <f t="shared" si="2"/>
        <v>SERVICE 6/14/17</v>
      </c>
      <c r="I149" s="2">
        <v>150</v>
      </c>
      <c r="J149" t="str">
        <f t="shared" si="3"/>
        <v>SERVICE 6/14/17</v>
      </c>
    </row>
    <row r="150" spans="1:10" x14ac:dyDescent="0.3">
      <c r="A150" t="str">
        <f>""</f>
        <v/>
      </c>
      <c r="B150" t="str">
        <f>""</f>
        <v/>
      </c>
      <c r="G150" t="str">
        <f>"12464"</f>
        <v>12464</v>
      </c>
      <c r="H150" t="str">
        <f t="shared" si="2"/>
        <v>SERVICE 6/14/17</v>
      </c>
      <c r="I150" s="2">
        <v>325</v>
      </c>
      <c r="J150" t="str">
        <f t="shared" si="3"/>
        <v>SERVICE 6/14/17</v>
      </c>
    </row>
    <row r="151" spans="1:10" x14ac:dyDescent="0.3">
      <c r="A151" t="str">
        <f>""</f>
        <v/>
      </c>
      <c r="B151" t="str">
        <f>""</f>
        <v/>
      </c>
      <c r="G151" t="str">
        <f>"12468"</f>
        <v>12468</v>
      </c>
      <c r="H151" t="str">
        <f t="shared" si="2"/>
        <v>SERVICE 6/14/17</v>
      </c>
      <c r="I151" s="2">
        <v>250</v>
      </c>
      <c r="J151" t="str">
        <f t="shared" si="3"/>
        <v>SERVICE 6/14/17</v>
      </c>
    </row>
    <row r="152" spans="1:10" x14ac:dyDescent="0.3">
      <c r="A152" t="str">
        <f>""</f>
        <v/>
      </c>
      <c r="B152" t="str">
        <f>""</f>
        <v/>
      </c>
      <c r="G152" t="str">
        <f>"12477"</f>
        <v>12477</v>
      </c>
      <c r="H152" t="str">
        <f t="shared" si="2"/>
        <v>SERVICE 6/14/17</v>
      </c>
      <c r="I152" s="2">
        <v>325</v>
      </c>
      <c r="J152" t="str">
        <f t="shared" si="3"/>
        <v>SERVICE 6/14/17</v>
      </c>
    </row>
    <row r="153" spans="1:10" x14ac:dyDescent="0.3">
      <c r="A153" t="str">
        <f>""</f>
        <v/>
      </c>
      <c r="B153" t="str">
        <f>""</f>
        <v/>
      </c>
      <c r="G153" t="str">
        <f>"12507"</f>
        <v>12507</v>
      </c>
      <c r="H153" t="str">
        <f t="shared" si="2"/>
        <v>SERVICE 6/14/17</v>
      </c>
      <c r="I153" s="2">
        <v>325</v>
      </c>
      <c r="J153" t="str">
        <f t="shared" si="3"/>
        <v>SERVICE 6/14/17</v>
      </c>
    </row>
    <row r="154" spans="1:10" x14ac:dyDescent="0.3">
      <c r="A154" t="str">
        <f>""</f>
        <v/>
      </c>
      <c r="B154" t="str">
        <f>""</f>
        <v/>
      </c>
      <c r="G154" t="str">
        <f>"12512"</f>
        <v>12512</v>
      </c>
      <c r="H154" t="str">
        <f>"SERVICE 7/6/17"</f>
        <v>SERVICE 7/6/17</v>
      </c>
      <c r="I154" s="2">
        <v>150</v>
      </c>
      <c r="J154" t="str">
        <f>"SERVICE 7/6/17"</f>
        <v>SERVICE 7/6/17</v>
      </c>
    </row>
    <row r="155" spans="1:10" x14ac:dyDescent="0.3">
      <c r="A155" t="str">
        <f>""</f>
        <v/>
      </c>
      <c r="B155" t="str">
        <f>""</f>
        <v/>
      </c>
      <c r="G155" t="str">
        <f>"12530"</f>
        <v>12530</v>
      </c>
      <c r="H155" t="str">
        <f>"SERVICE 6/14/17"</f>
        <v>SERVICE 6/14/17</v>
      </c>
      <c r="I155" s="2">
        <v>250</v>
      </c>
      <c r="J155" t="str">
        <f>"SERVICE 6/14/17"</f>
        <v>SERVICE 6/14/17</v>
      </c>
    </row>
    <row r="156" spans="1:10" x14ac:dyDescent="0.3">
      <c r="A156" t="str">
        <f>""</f>
        <v/>
      </c>
      <c r="B156" t="str">
        <f>""</f>
        <v/>
      </c>
      <c r="G156" t="str">
        <f>"12539"</f>
        <v>12539</v>
      </c>
      <c r="H156" t="str">
        <f>"SERVICE 6/14/17"</f>
        <v>SERVICE 6/14/17</v>
      </c>
      <c r="I156" s="2">
        <v>250</v>
      </c>
      <c r="J156" t="str">
        <f>"SERVICE 6/14/17"</f>
        <v>SERVICE 6/14/17</v>
      </c>
    </row>
    <row r="157" spans="1:10" x14ac:dyDescent="0.3">
      <c r="A157" t="str">
        <f>""</f>
        <v/>
      </c>
      <c r="B157" t="str">
        <f>""</f>
        <v/>
      </c>
      <c r="G157" t="str">
        <f>"12544"</f>
        <v>12544</v>
      </c>
      <c r="H157" t="str">
        <f>"SERVICE 06/15/2017"</f>
        <v>SERVICE 06/15/2017</v>
      </c>
      <c r="I157" s="2">
        <v>150</v>
      </c>
      <c r="J157" t="str">
        <f>"SERVICE 06/15/2017"</f>
        <v>SERVICE 06/15/2017</v>
      </c>
    </row>
    <row r="158" spans="1:10" x14ac:dyDescent="0.3">
      <c r="A158" t="str">
        <f>""</f>
        <v/>
      </c>
      <c r="B158" t="str">
        <f>""</f>
        <v/>
      </c>
      <c r="G158" t="str">
        <f>"12593"</f>
        <v>12593</v>
      </c>
      <c r="H158" t="str">
        <f>"SERVICE 6/29/17"</f>
        <v>SERVICE 6/29/17</v>
      </c>
      <c r="I158" s="2">
        <v>63</v>
      </c>
      <c r="J158" t="str">
        <f>"SERVICE 6/29/17"</f>
        <v>SERVICE 6/29/17</v>
      </c>
    </row>
    <row r="159" spans="1:10" x14ac:dyDescent="0.3">
      <c r="A159" t="str">
        <f>""</f>
        <v/>
      </c>
      <c r="B159" t="str">
        <f>""</f>
        <v/>
      </c>
      <c r="G159" t="str">
        <f>"12720"</f>
        <v>12720</v>
      </c>
      <c r="H159" t="str">
        <f>"SERVICE 7/5/17"</f>
        <v>SERVICE 7/5/17</v>
      </c>
      <c r="I159" s="2">
        <v>150</v>
      </c>
      <c r="J159" t="str">
        <f>"SERVICE 7/5/17"</f>
        <v>SERVICE 7/5/17</v>
      </c>
    </row>
    <row r="160" spans="1:10" x14ac:dyDescent="0.3">
      <c r="A160" t="str">
        <f>""</f>
        <v/>
      </c>
      <c r="B160" t="str">
        <f>""</f>
        <v/>
      </c>
      <c r="G160" t="str">
        <f>"12727"</f>
        <v>12727</v>
      </c>
      <c r="H160" t="str">
        <f>"SERVICE 6/29/17"</f>
        <v>SERVICE 6/29/17</v>
      </c>
      <c r="I160" s="2">
        <v>150</v>
      </c>
      <c r="J160" t="str">
        <f>"SERVICE 6/29/17"</f>
        <v>SERVICE 6/29/17</v>
      </c>
    </row>
    <row r="161" spans="1:10" x14ac:dyDescent="0.3">
      <c r="A161" t="str">
        <f>"01"</f>
        <v>01</v>
      </c>
      <c r="B161" t="str">
        <f>"BASCO"</f>
        <v>BASCO</v>
      </c>
      <c r="C161" t="s">
        <v>69</v>
      </c>
      <c r="D161">
        <v>71931</v>
      </c>
      <c r="E161" s="2">
        <v>887.22</v>
      </c>
      <c r="F161" s="1">
        <v>42961</v>
      </c>
      <c r="G161" t="str">
        <f>"201708044013"</f>
        <v>201708044013</v>
      </c>
      <c r="H161" t="str">
        <f>"OFFICE SUPPLIES"</f>
        <v>OFFICE SUPPLIES</v>
      </c>
      <c r="I161" s="2">
        <v>887.22</v>
      </c>
      <c r="J161" t="str">
        <f t="shared" ref="J161:J166" si="4">"OFFICE SUPPLIES"</f>
        <v>OFFICE SUPPLIES</v>
      </c>
    </row>
    <row r="162" spans="1:10" x14ac:dyDescent="0.3">
      <c r="A162" t="str">
        <f>""</f>
        <v/>
      </c>
      <c r="B162" t="str">
        <f>""</f>
        <v/>
      </c>
      <c r="G162" t="str">
        <f>""</f>
        <v/>
      </c>
      <c r="H162" t="str">
        <f>""</f>
        <v/>
      </c>
      <c r="J162" t="str">
        <f t="shared" si="4"/>
        <v>OFFICE SUPPLIES</v>
      </c>
    </row>
    <row r="163" spans="1:10" x14ac:dyDescent="0.3">
      <c r="A163" t="str">
        <f>""</f>
        <v/>
      </c>
      <c r="B163" t="str">
        <f>""</f>
        <v/>
      </c>
      <c r="G163" t="str">
        <f>""</f>
        <v/>
      </c>
      <c r="H163" t="str">
        <f>""</f>
        <v/>
      </c>
      <c r="J163" t="str">
        <f t="shared" si="4"/>
        <v>OFFICE SUPPLIES</v>
      </c>
    </row>
    <row r="164" spans="1:10" x14ac:dyDescent="0.3">
      <c r="A164" t="str">
        <f>""</f>
        <v/>
      </c>
      <c r="B164" t="str">
        <f>""</f>
        <v/>
      </c>
      <c r="G164" t="str">
        <f>""</f>
        <v/>
      </c>
      <c r="H164" t="str">
        <f>""</f>
        <v/>
      </c>
      <c r="J164" t="str">
        <f t="shared" si="4"/>
        <v>OFFICE SUPPLIES</v>
      </c>
    </row>
    <row r="165" spans="1:10" x14ac:dyDescent="0.3">
      <c r="A165" t="str">
        <f>""</f>
        <v/>
      </c>
      <c r="B165" t="str">
        <f>""</f>
        <v/>
      </c>
      <c r="G165" t="str">
        <f>""</f>
        <v/>
      </c>
      <c r="H165" t="str">
        <f>""</f>
        <v/>
      </c>
      <c r="J165" t="str">
        <f t="shared" si="4"/>
        <v>OFFICE SUPPLIES</v>
      </c>
    </row>
    <row r="166" spans="1:10" x14ac:dyDescent="0.3">
      <c r="A166" t="str">
        <f>""</f>
        <v/>
      </c>
      <c r="B166" t="str">
        <f>""</f>
        <v/>
      </c>
      <c r="G166" t="str">
        <f>""</f>
        <v/>
      </c>
      <c r="H166" t="str">
        <f>""</f>
        <v/>
      </c>
      <c r="J166" t="str">
        <f t="shared" si="4"/>
        <v>OFFICE SUPPLIES</v>
      </c>
    </row>
    <row r="167" spans="1:10" x14ac:dyDescent="0.3">
      <c r="A167" t="str">
        <f>"01"</f>
        <v>01</v>
      </c>
      <c r="B167" t="str">
        <f>"BCPD"</f>
        <v>BCPD</v>
      </c>
      <c r="C167" t="s">
        <v>70</v>
      </c>
      <c r="D167">
        <v>71932</v>
      </c>
      <c r="E167" s="2">
        <v>74704.5</v>
      </c>
      <c r="F167" s="1">
        <v>42961</v>
      </c>
      <c r="G167" t="str">
        <f>"4TH QUARTER FY'17"</f>
        <v>4TH QUARTER FY'17</v>
      </c>
      <c r="H167" t="str">
        <f>"REVENUE BASTROP"</f>
        <v>REVENUE BASTROP</v>
      </c>
      <c r="I167" s="2">
        <v>74704.5</v>
      </c>
      <c r="J167" t="str">
        <f>"REVENUE BASTROP"</f>
        <v>REVENUE BASTROP</v>
      </c>
    </row>
    <row r="168" spans="1:10" x14ac:dyDescent="0.3">
      <c r="A168" t="str">
        <f>"01"</f>
        <v>01</v>
      </c>
      <c r="B168" t="str">
        <f>"004714"</f>
        <v>004714</v>
      </c>
      <c r="C168" t="s">
        <v>71</v>
      </c>
      <c r="D168">
        <v>71933</v>
      </c>
      <c r="E168" s="2">
        <v>295</v>
      </c>
      <c r="F168" s="1">
        <v>42961</v>
      </c>
      <c r="G168" t="str">
        <f>"2017-0002"</f>
        <v>2017-0002</v>
      </c>
      <c r="H168" t="str">
        <f>"ICSC REGISTRATION-A. LEWIS"</f>
        <v>ICSC REGISTRATION-A. LEWIS</v>
      </c>
      <c r="I168" s="2">
        <v>295</v>
      </c>
      <c r="J168" t="str">
        <f>"ICSC REGISTRATION-A. LEWIS"</f>
        <v>ICSC REGISTRATION-A. LEWIS</v>
      </c>
    </row>
    <row r="169" spans="1:10" x14ac:dyDescent="0.3">
      <c r="A169" t="str">
        <f>"01"</f>
        <v>01</v>
      </c>
      <c r="B169" t="str">
        <f>"T13544"</f>
        <v>T13544</v>
      </c>
      <c r="C169" t="s">
        <v>72</v>
      </c>
      <c r="D169">
        <v>72195</v>
      </c>
      <c r="E169" s="2">
        <v>80</v>
      </c>
      <c r="F169" s="1">
        <v>42976</v>
      </c>
      <c r="G169" t="str">
        <f>"201708234395"</f>
        <v>201708234395</v>
      </c>
      <c r="H169" t="str">
        <f>"INDIGENT HEALTH"</f>
        <v>INDIGENT HEALTH</v>
      </c>
      <c r="I169" s="2">
        <v>80</v>
      </c>
      <c r="J169" t="str">
        <f>"INDIGENT HEALTH"</f>
        <v>INDIGENT HEALTH</v>
      </c>
    </row>
    <row r="170" spans="1:10" x14ac:dyDescent="0.3">
      <c r="A170" t="str">
        <f>"01"</f>
        <v>01</v>
      </c>
      <c r="B170" t="str">
        <f>"000719"</f>
        <v>000719</v>
      </c>
      <c r="C170" t="s">
        <v>73</v>
      </c>
      <c r="D170">
        <v>71934</v>
      </c>
      <c r="E170" s="2">
        <v>253.66</v>
      </c>
      <c r="F170" s="1">
        <v>42961</v>
      </c>
      <c r="G170" t="str">
        <f>"5313"</f>
        <v>5313</v>
      </c>
      <c r="H170" t="str">
        <f>"PART#4807104/SOLENOID/GEN SVCS"</f>
        <v>PART#4807104/SOLENOID/GEN SVCS</v>
      </c>
      <c r="I170" s="2">
        <v>191.83</v>
      </c>
      <c r="J170" t="str">
        <f>"PART#4807104/SOLENOID/GEN SVCS"</f>
        <v>PART#4807104/SOLENOID/GEN SVCS</v>
      </c>
    </row>
    <row r="171" spans="1:10" x14ac:dyDescent="0.3">
      <c r="A171" t="str">
        <f>""</f>
        <v/>
      </c>
      <c r="B171" t="str">
        <f>""</f>
        <v/>
      </c>
      <c r="G171" t="str">
        <f>"5384"</f>
        <v>5384</v>
      </c>
      <c r="H171" t="str">
        <f>"BAR/SHARPEN CHAIN/GEN SVCS"</f>
        <v>BAR/SHARPEN CHAIN/GEN SVCS</v>
      </c>
      <c r="I171" s="2">
        <v>61.83</v>
      </c>
      <c r="J171" t="str">
        <f>"BAR/SHARPEN CHAIN/GEN SVCS"</f>
        <v>BAR/SHARPEN CHAIN/GEN SVCS</v>
      </c>
    </row>
    <row r="172" spans="1:10" x14ac:dyDescent="0.3">
      <c r="A172" t="str">
        <f>"01"</f>
        <v>01</v>
      </c>
      <c r="B172" t="str">
        <f>"000719"</f>
        <v>000719</v>
      </c>
      <c r="C172" t="s">
        <v>73</v>
      </c>
      <c r="D172">
        <v>72196</v>
      </c>
      <c r="E172" s="2">
        <v>262.04000000000002</v>
      </c>
      <c r="F172" s="1">
        <v>42976</v>
      </c>
      <c r="G172" t="str">
        <f>"201708224367"</f>
        <v>201708224367</v>
      </c>
      <c r="H172" t="str">
        <f>"WEEDEATER PARTS/GEN SVCS"</f>
        <v>WEEDEATER PARTS/GEN SVCS</v>
      </c>
      <c r="I172" s="2">
        <v>23.45</v>
      </c>
      <c r="J172" t="str">
        <f>"WEEDEATER PARTS/GEN SVCS"</f>
        <v>WEEDEATER PARTS/GEN SVCS</v>
      </c>
    </row>
    <row r="173" spans="1:10" x14ac:dyDescent="0.3">
      <c r="A173" t="str">
        <f>""</f>
        <v/>
      </c>
      <c r="B173" t="str">
        <f>""</f>
        <v/>
      </c>
      <c r="G173" t="str">
        <f>"5374"</f>
        <v>5374</v>
      </c>
      <c r="H173" t="str">
        <f>"LABOR/PARTS"</f>
        <v>LABOR/PARTS</v>
      </c>
      <c r="I173" s="2">
        <v>238.59</v>
      </c>
      <c r="J173" t="str">
        <f>"LABOR/PARTS"</f>
        <v>LABOR/PARTS</v>
      </c>
    </row>
    <row r="174" spans="1:10" x14ac:dyDescent="0.3">
      <c r="A174" t="str">
        <f>"01"</f>
        <v>01</v>
      </c>
      <c r="B174" t="str">
        <f>"001542"</f>
        <v>001542</v>
      </c>
      <c r="C174" t="s">
        <v>74</v>
      </c>
      <c r="D174">
        <v>999999</v>
      </c>
      <c r="E174" s="2">
        <v>3760</v>
      </c>
      <c r="F174" s="1">
        <v>42961</v>
      </c>
      <c r="G174" t="str">
        <f>"201707253854"</f>
        <v>201707253854</v>
      </c>
      <c r="H174" t="str">
        <f>"TRANSPORT"</f>
        <v>TRANSPORT</v>
      </c>
      <c r="I174" s="2">
        <v>695</v>
      </c>
      <c r="J174" t="str">
        <f>"TRANSPORT"</f>
        <v>TRANSPORT</v>
      </c>
    </row>
    <row r="175" spans="1:10" x14ac:dyDescent="0.3">
      <c r="A175" t="str">
        <f>""</f>
        <v/>
      </c>
      <c r="B175" t="str">
        <f>""</f>
        <v/>
      </c>
      <c r="G175" t="str">
        <f>"201708074107"</f>
        <v>201708074107</v>
      </c>
      <c r="H175" t="str">
        <f>"TRANSPORT-T. WHITEHURST"</f>
        <v>TRANSPORT-T. WHITEHURST</v>
      </c>
      <c r="I175" s="2">
        <v>390</v>
      </c>
      <c r="J175" t="str">
        <f>"TRANSPORT-T. WHITEHURST"</f>
        <v>TRANSPORT-T. WHITEHURST</v>
      </c>
    </row>
    <row r="176" spans="1:10" x14ac:dyDescent="0.3">
      <c r="A176" t="str">
        <f>""</f>
        <v/>
      </c>
      <c r="B176" t="str">
        <f>""</f>
        <v/>
      </c>
      <c r="G176" t="str">
        <f>"201708074108"</f>
        <v>201708074108</v>
      </c>
      <c r="H176" t="str">
        <f>"TRANSPORT-K. PARKS"</f>
        <v>TRANSPORT-K. PARKS</v>
      </c>
      <c r="I176" s="2">
        <v>495</v>
      </c>
      <c r="J176" t="str">
        <f>"TRANSPORT-K. PARKS"</f>
        <v>TRANSPORT-K. PARKS</v>
      </c>
    </row>
    <row r="177" spans="1:10" x14ac:dyDescent="0.3">
      <c r="A177" t="str">
        <f>""</f>
        <v/>
      </c>
      <c r="B177" t="str">
        <f>""</f>
        <v/>
      </c>
      <c r="G177" t="str">
        <f>"201708074109"</f>
        <v>201708074109</v>
      </c>
      <c r="H177" t="str">
        <f>"TRANSPORT-R. HOLMAN"</f>
        <v>TRANSPORT-R. HOLMAN</v>
      </c>
      <c r="I177" s="2">
        <v>400</v>
      </c>
      <c r="J177" t="str">
        <f>"TRANSPORT-R. HOLMAN"</f>
        <v>TRANSPORT-R. HOLMAN</v>
      </c>
    </row>
    <row r="178" spans="1:10" x14ac:dyDescent="0.3">
      <c r="A178" t="str">
        <f>""</f>
        <v/>
      </c>
      <c r="B178" t="str">
        <f>""</f>
        <v/>
      </c>
      <c r="G178" t="str">
        <f>"201708074116"</f>
        <v>201708074116</v>
      </c>
      <c r="H178" t="str">
        <f>"TRANSPORT-V.RAMOS/SVC 2017065"</f>
        <v>TRANSPORT-V.RAMOS/SVC 2017065</v>
      </c>
      <c r="I178" s="2">
        <v>295</v>
      </c>
      <c r="J178" t="str">
        <f>"TRANSPORT-V.RAMOS/SVC 2017065"</f>
        <v>TRANSPORT-V.RAMOS/SVC 2017065</v>
      </c>
    </row>
    <row r="179" spans="1:10" x14ac:dyDescent="0.3">
      <c r="A179" t="str">
        <f>""</f>
        <v/>
      </c>
      <c r="B179" t="str">
        <f>""</f>
        <v/>
      </c>
      <c r="G179" t="str">
        <f>"201708094151"</f>
        <v>201708094151</v>
      </c>
      <c r="H179" t="str">
        <f>"TRANSPORT-K. SIDDALL"</f>
        <v>TRANSPORT-K. SIDDALL</v>
      </c>
      <c r="I179" s="2">
        <v>495</v>
      </c>
      <c r="J179" t="str">
        <f>"TRANSPORT-K. SIDDALL"</f>
        <v>TRANSPORT-K. SIDDALL</v>
      </c>
    </row>
    <row r="180" spans="1:10" x14ac:dyDescent="0.3">
      <c r="A180" t="str">
        <f>""</f>
        <v/>
      </c>
      <c r="B180" t="str">
        <f>""</f>
        <v/>
      </c>
      <c r="G180" t="str">
        <f>"201708094152"</f>
        <v>201708094152</v>
      </c>
      <c r="H180" t="str">
        <f>"TRANSPORT-D. DAVIS"</f>
        <v>TRANSPORT-D. DAVIS</v>
      </c>
      <c r="I180" s="2">
        <v>495</v>
      </c>
      <c r="J180" t="str">
        <f>"TRANSPORT-D. DAVIS"</f>
        <v>TRANSPORT-D. DAVIS</v>
      </c>
    </row>
    <row r="181" spans="1:10" x14ac:dyDescent="0.3">
      <c r="A181" t="str">
        <f>""</f>
        <v/>
      </c>
      <c r="B181" t="str">
        <f>""</f>
        <v/>
      </c>
      <c r="G181" t="str">
        <f>"201708094153"</f>
        <v>201708094153</v>
      </c>
      <c r="H181" t="str">
        <f>"TRANPORT-C. SULLIVAN"</f>
        <v>TRANPORT-C. SULLIVAN</v>
      </c>
      <c r="I181" s="2">
        <v>495</v>
      </c>
      <c r="J181" t="str">
        <f>"TRANPORT-C. SULLIVAN"</f>
        <v>TRANPORT-C. SULLIVAN</v>
      </c>
    </row>
    <row r="182" spans="1:10" x14ac:dyDescent="0.3">
      <c r="A182" t="str">
        <f>"01"</f>
        <v>01</v>
      </c>
      <c r="B182" t="str">
        <f>"001081"</f>
        <v>001081</v>
      </c>
      <c r="C182" t="s">
        <v>75</v>
      </c>
      <c r="D182">
        <v>72197</v>
      </c>
      <c r="E182" s="2">
        <v>55529.120000000003</v>
      </c>
      <c r="F182" s="1">
        <v>42976</v>
      </c>
      <c r="G182" t="str">
        <f>"201708234443"</f>
        <v>201708234443</v>
      </c>
      <c r="H182" t="str">
        <f>"381 AGREEMENT SALES TAX PMT"</f>
        <v>381 AGREEMENT SALES TAX PMT</v>
      </c>
      <c r="I182" s="2">
        <v>55529.120000000003</v>
      </c>
      <c r="J182" t="str">
        <f>"381 AGREEMENT SALES TAX PMT"</f>
        <v>381 AGREEMENT SALES TAX PMT</v>
      </c>
    </row>
    <row r="183" spans="1:10" x14ac:dyDescent="0.3">
      <c r="A183" t="str">
        <f>"01"</f>
        <v>01</v>
      </c>
      <c r="B183" t="str">
        <f>"000485"</f>
        <v>000485</v>
      </c>
      <c r="C183" t="s">
        <v>76</v>
      </c>
      <c r="D183">
        <v>72198</v>
      </c>
      <c r="E183" s="2">
        <v>2300</v>
      </c>
      <c r="F183" s="1">
        <v>42976</v>
      </c>
      <c r="G183" t="str">
        <f>"5338"</f>
        <v>5338</v>
      </c>
      <c r="H183" t="str">
        <f>"Tree Cutting"</f>
        <v>Tree Cutting</v>
      </c>
      <c r="I183" s="2">
        <v>2300</v>
      </c>
      <c r="J183" t="str">
        <f>"Tree Cutting"</f>
        <v>Tree Cutting</v>
      </c>
    </row>
    <row r="184" spans="1:10" x14ac:dyDescent="0.3">
      <c r="A184" t="str">
        <f>"01"</f>
        <v>01</v>
      </c>
      <c r="B184" t="str">
        <f>"BVH"</f>
        <v>BVH</v>
      </c>
      <c r="C184" t="s">
        <v>77</v>
      </c>
      <c r="D184">
        <v>71935</v>
      </c>
      <c r="E184" s="2">
        <v>536.6</v>
      </c>
      <c r="F184" s="1">
        <v>42961</v>
      </c>
      <c r="G184" t="str">
        <f>"1090197"</f>
        <v>1090197</v>
      </c>
      <c r="H184" t="str">
        <f>"CLIENT#5495160A/PATIENT#57672"</f>
        <v>CLIENT#5495160A/PATIENT#57672</v>
      </c>
      <c r="I184" s="2">
        <v>536.6</v>
      </c>
      <c r="J184" t="str">
        <f>"CLIENT#5495160A/PATIENT#57672"</f>
        <v>CLIENT#5495160A/PATIENT#57672</v>
      </c>
    </row>
    <row r="185" spans="1:10" x14ac:dyDescent="0.3">
      <c r="A185" t="str">
        <f>"01"</f>
        <v>01</v>
      </c>
      <c r="B185" t="str">
        <f>"000110"</f>
        <v>000110</v>
      </c>
      <c r="C185" t="s">
        <v>78</v>
      </c>
      <c r="D185">
        <v>999999</v>
      </c>
      <c r="E185" s="2">
        <v>2292.5</v>
      </c>
      <c r="F185" s="1">
        <v>42961</v>
      </c>
      <c r="G185" t="str">
        <f>"201708074111"</f>
        <v>201708074111</v>
      </c>
      <c r="H185" t="str">
        <f>"SERVICES FOR JULY/AUGUST '17"</f>
        <v>SERVICES FOR JULY/AUGUST '17</v>
      </c>
      <c r="I185" s="2">
        <v>280</v>
      </c>
      <c r="J185" t="str">
        <f>"SERVICES FOR JULY/AUGUST '17"</f>
        <v>SERVICES FOR JULY/AUGUST '17</v>
      </c>
    </row>
    <row r="186" spans="1:10" x14ac:dyDescent="0.3">
      <c r="A186" t="str">
        <f>""</f>
        <v/>
      </c>
      <c r="B186" t="str">
        <f>""</f>
        <v/>
      </c>
      <c r="G186" t="str">
        <f>"BACKGROUND INVEST"</f>
        <v>BACKGROUND INVEST</v>
      </c>
      <c r="H186" t="str">
        <f>"JULY INVOICE"</f>
        <v>JULY INVOICE</v>
      </c>
      <c r="I186" s="2">
        <v>2012.5</v>
      </c>
      <c r="J186" t="str">
        <f>"LAW WNFORCEMENT"</f>
        <v>LAW WNFORCEMENT</v>
      </c>
    </row>
    <row r="187" spans="1:10" x14ac:dyDescent="0.3">
      <c r="A187" t="str">
        <f>""</f>
        <v/>
      </c>
      <c r="B187" t="str">
        <f>""</f>
        <v/>
      </c>
      <c r="G187" t="str">
        <f>""</f>
        <v/>
      </c>
      <c r="H187" t="str">
        <f>""</f>
        <v/>
      </c>
      <c r="J187" t="str">
        <f>"JAIL"</f>
        <v>JAIL</v>
      </c>
    </row>
    <row r="188" spans="1:10" x14ac:dyDescent="0.3">
      <c r="A188" t="str">
        <f>"01"</f>
        <v>01</v>
      </c>
      <c r="B188" t="str">
        <f>"KEITH"</f>
        <v>KEITH</v>
      </c>
      <c r="C188" t="s">
        <v>79</v>
      </c>
      <c r="D188">
        <v>71936</v>
      </c>
      <c r="E188" s="2">
        <v>3098.84</v>
      </c>
      <c r="F188" s="1">
        <v>42961</v>
      </c>
      <c r="G188" t="str">
        <f>"74388394"</f>
        <v>74388394</v>
      </c>
      <c r="H188" t="str">
        <f>"FOOD INV74388394"</f>
        <v>FOOD INV74388394</v>
      </c>
      <c r="I188" s="2">
        <v>676.6</v>
      </c>
      <c r="J188" t="str">
        <f>"FOOD INV74388394"</f>
        <v>FOOD INV74388394</v>
      </c>
    </row>
    <row r="189" spans="1:10" x14ac:dyDescent="0.3">
      <c r="A189" t="str">
        <f>""</f>
        <v/>
      </c>
      <c r="B189" t="str">
        <f>""</f>
        <v/>
      </c>
      <c r="G189" t="str">
        <f>"74393103"</f>
        <v>74393103</v>
      </c>
      <c r="H189" t="str">
        <f>"FOOD INV74393103"</f>
        <v>FOOD INV74393103</v>
      </c>
      <c r="I189" s="2">
        <v>1622.96</v>
      </c>
      <c r="J189" t="str">
        <f>"FOOD INV74393103"</f>
        <v>FOOD INV74393103</v>
      </c>
    </row>
    <row r="190" spans="1:10" x14ac:dyDescent="0.3">
      <c r="A190" t="str">
        <f>""</f>
        <v/>
      </c>
      <c r="B190" t="str">
        <f>""</f>
        <v/>
      </c>
      <c r="G190" t="str">
        <f>"74402490"</f>
        <v>74402490</v>
      </c>
      <c r="H190" t="str">
        <f>"FOOD INV74402490"</f>
        <v>FOOD INV74402490</v>
      </c>
      <c r="I190" s="2">
        <v>799.28</v>
      </c>
      <c r="J190" t="str">
        <f>"FOOD INV74402490"</f>
        <v>FOOD INV74402490</v>
      </c>
    </row>
    <row r="191" spans="1:10" x14ac:dyDescent="0.3">
      <c r="A191" t="str">
        <f>"01"</f>
        <v>01</v>
      </c>
      <c r="B191" t="str">
        <f>"KEITH"</f>
        <v>KEITH</v>
      </c>
      <c r="C191" t="s">
        <v>79</v>
      </c>
      <c r="D191">
        <v>72199</v>
      </c>
      <c r="E191" s="2">
        <v>1451.7</v>
      </c>
      <c r="F191" s="1">
        <v>42976</v>
      </c>
      <c r="G191" t="str">
        <f>"744093033"</f>
        <v>744093033</v>
      </c>
      <c r="H191" t="str">
        <f>"INV 744093033"</f>
        <v>INV 744093033</v>
      </c>
      <c r="I191" s="2">
        <v>723.77</v>
      </c>
      <c r="J191" t="str">
        <f>"INV 744093033"</f>
        <v>INV 744093033</v>
      </c>
    </row>
    <row r="192" spans="1:10" x14ac:dyDescent="0.3">
      <c r="A192" t="str">
        <f>""</f>
        <v/>
      </c>
      <c r="B192" t="str">
        <f>""</f>
        <v/>
      </c>
      <c r="G192" t="str">
        <f>"74416243"</f>
        <v>74416243</v>
      </c>
      <c r="H192" t="str">
        <f>"INV 74416243"</f>
        <v>INV 74416243</v>
      </c>
      <c r="I192" s="2">
        <v>727.93</v>
      </c>
      <c r="J192" t="str">
        <f>"INV 74416243"</f>
        <v>INV 74416243</v>
      </c>
    </row>
    <row r="193" spans="1:10" x14ac:dyDescent="0.3">
      <c r="A193" t="str">
        <f>"01"</f>
        <v>01</v>
      </c>
      <c r="B193" t="str">
        <f>"004075"</f>
        <v>004075</v>
      </c>
      <c r="C193" t="s">
        <v>80</v>
      </c>
      <c r="D193">
        <v>71937</v>
      </c>
      <c r="E193" s="2">
        <v>4565.3900000000003</v>
      </c>
      <c r="F193" s="1">
        <v>42961</v>
      </c>
      <c r="G193" t="str">
        <f>"174091-00"</f>
        <v>174091-00</v>
      </c>
      <c r="H193" t="str">
        <f>"FOOD INV174091"</f>
        <v>FOOD INV174091</v>
      </c>
      <c r="I193" s="2">
        <v>2204.7800000000002</v>
      </c>
      <c r="J193" t="str">
        <f>"FOOD INV174091"</f>
        <v>FOOD INV174091</v>
      </c>
    </row>
    <row r="194" spans="1:10" x14ac:dyDescent="0.3">
      <c r="A194" t="str">
        <f>""</f>
        <v/>
      </c>
      <c r="B194" t="str">
        <f>""</f>
        <v/>
      </c>
      <c r="G194" t="str">
        <f>"177317-00"</f>
        <v>177317-00</v>
      </c>
      <c r="H194" t="str">
        <f>"FOOD INV177317"</f>
        <v>FOOD INV177317</v>
      </c>
      <c r="I194" s="2">
        <v>2360.61</v>
      </c>
      <c r="J194" t="str">
        <f>"FOOD INV177317"</f>
        <v>FOOD INV177317</v>
      </c>
    </row>
    <row r="195" spans="1:10" x14ac:dyDescent="0.3">
      <c r="A195" t="str">
        <f>"01"</f>
        <v>01</v>
      </c>
      <c r="B195" t="str">
        <f>"001112"</f>
        <v>001112</v>
      </c>
      <c r="C195" t="s">
        <v>81</v>
      </c>
      <c r="D195">
        <v>71938</v>
      </c>
      <c r="E195" s="2">
        <v>2297.34</v>
      </c>
      <c r="F195" s="1">
        <v>42961</v>
      </c>
      <c r="G195" t="str">
        <f>"2808788/2715363"</f>
        <v>2808788/2715363</v>
      </c>
      <c r="H195" t="str">
        <f>"Stmt# 01465920170804"</f>
        <v>Stmt# 01465920170804</v>
      </c>
      <c r="I195" s="2">
        <v>2297.34</v>
      </c>
      <c r="J195" t="str">
        <f>"Inv# 2808788"</f>
        <v>Inv# 2808788</v>
      </c>
    </row>
    <row r="196" spans="1:10" x14ac:dyDescent="0.3">
      <c r="A196" t="str">
        <f>""</f>
        <v/>
      </c>
      <c r="B196" t="str">
        <f>""</f>
        <v/>
      </c>
      <c r="G196" t="str">
        <f>""</f>
        <v/>
      </c>
      <c r="H196" t="str">
        <f>""</f>
        <v/>
      </c>
      <c r="J196" t="str">
        <f>"Inv# 2715363"</f>
        <v>Inv# 2715363</v>
      </c>
    </row>
    <row r="197" spans="1:10" x14ac:dyDescent="0.3">
      <c r="A197" t="str">
        <f>"01"</f>
        <v>01</v>
      </c>
      <c r="B197" t="str">
        <f>"001112"</f>
        <v>001112</v>
      </c>
      <c r="C197" t="s">
        <v>81</v>
      </c>
      <c r="D197">
        <v>72200</v>
      </c>
      <c r="E197" s="2">
        <v>3771.21</v>
      </c>
      <c r="F197" s="1">
        <v>42976</v>
      </c>
      <c r="G197" t="str">
        <f>"2830797"</f>
        <v>2830797</v>
      </c>
      <c r="H197" t="str">
        <f>"Quote#233726915"</f>
        <v>Quote#233726915</v>
      </c>
      <c r="I197" s="2">
        <v>1111.8399999999999</v>
      </c>
      <c r="J197" t="str">
        <f>"Ipad"</f>
        <v>Ipad</v>
      </c>
    </row>
    <row r="198" spans="1:10" x14ac:dyDescent="0.3">
      <c r="A198" t="str">
        <f>""</f>
        <v/>
      </c>
      <c r="B198" t="str">
        <f>""</f>
        <v/>
      </c>
      <c r="G198" t="str">
        <f>""</f>
        <v/>
      </c>
      <c r="H198" t="str">
        <f>""</f>
        <v/>
      </c>
      <c r="J198" t="str">
        <f>"Keyboard"</f>
        <v>Keyboard</v>
      </c>
    </row>
    <row r="199" spans="1:10" x14ac:dyDescent="0.3">
      <c r="A199" t="str">
        <f>""</f>
        <v/>
      </c>
      <c r="B199" t="str">
        <f>""</f>
        <v/>
      </c>
      <c r="G199" t="str">
        <f>"2830815"</f>
        <v>2830815</v>
      </c>
      <c r="H199" t="str">
        <f>"Stmt#01465920170818"</f>
        <v>Stmt#01465920170818</v>
      </c>
      <c r="I199" s="2">
        <v>2659.37</v>
      </c>
      <c r="J199" t="str">
        <f>"Inv# 2830815"</f>
        <v>Inv# 2830815</v>
      </c>
    </row>
    <row r="200" spans="1:10" x14ac:dyDescent="0.3">
      <c r="A200" t="str">
        <f>"01"</f>
        <v>01</v>
      </c>
      <c r="B200" t="str">
        <f>"T8732"</f>
        <v>T8732</v>
      </c>
      <c r="C200" t="s">
        <v>82</v>
      </c>
      <c r="D200">
        <v>72201</v>
      </c>
      <c r="E200" s="2">
        <v>873</v>
      </c>
      <c r="F200" s="1">
        <v>42976</v>
      </c>
      <c r="G200" t="str">
        <f>"201708224350"</f>
        <v>201708224350</v>
      </c>
      <c r="H200" t="str">
        <f>"2017MH1939   2017MH2031"</f>
        <v>2017MH1939   2017MH2031</v>
      </c>
      <c r="I200" s="2">
        <v>873</v>
      </c>
      <c r="J200" t="str">
        <f>"2017MH1939   2017MH2031"</f>
        <v>2017MH1939   2017MH2031</v>
      </c>
    </row>
    <row r="201" spans="1:10" x14ac:dyDescent="0.3">
      <c r="A201" t="str">
        <f>"01"</f>
        <v>01</v>
      </c>
      <c r="B201" t="str">
        <f>"002443"</f>
        <v>002443</v>
      </c>
      <c r="C201" t="s">
        <v>83</v>
      </c>
      <c r="D201">
        <v>72202</v>
      </c>
      <c r="E201" s="2">
        <v>140</v>
      </c>
      <c r="F201" s="1">
        <v>42976</v>
      </c>
      <c r="G201" t="str">
        <f>"11466"</f>
        <v>11466</v>
      </c>
      <c r="H201" t="str">
        <f>"SERVICE 7/5/17"</f>
        <v>SERVICE 7/5/17</v>
      </c>
      <c r="I201" s="2">
        <v>60</v>
      </c>
      <c r="J201" t="str">
        <f>"SERVICE 7/5/17"</f>
        <v>SERVICE 7/5/17</v>
      </c>
    </row>
    <row r="202" spans="1:10" x14ac:dyDescent="0.3">
      <c r="A202" t="str">
        <f>""</f>
        <v/>
      </c>
      <c r="B202" t="str">
        <f>""</f>
        <v/>
      </c>
      <c r="G202" t="str">
        <f>"12280"</f>
        <v>12280</v>
      </c>
      <c r="H202" t="str">
        <f>"SERVICE 6/14/17"</f>
        <v>SERVICE 6/14/17</v>
      </c>
      <c r="I202" s="2">
        <v>80</v>
      </c>
      <c r="J202" t="str">
        <f>"SERVICE 6/14/17"</f>
        <v>SERVICE 6/14/17</v>
      </c>
    </row>
    <row r="203" spans="1:10" x14ac:dyDescent="0.3">
      <c r="A203" t="str">
        <f>"01"</f>
        <v>01</v>
      </c>
      <c r="B203" t="str">
        <f>"T2043"</f>
        <v>T2043</v>
      </c>
      <c r="C203" t="s">
        <v>84</v>
      </c>
      <c r="D203">
        <v>999999</v>
      </c>
      <c r="E203" s="2">
        <v>521.65</v>
      </c>
      <c r="F203" s="1">
        <v>42961</v>
      </c>
      <c r="G203" t="str">
        <f>"104273"</f>
        <v>104273</v>
      </c>
      <c r="H203" t="str">
        <f>"CLIENT#001309/PROF SVCS"</f>
        <v>CLIENT#001309/PROF SVCS</v>
      </c>
      <c r="I203" s="2">
        <v>521.65</v>
      </c>
      <c r="J203" t="str">
        <f>"CLIENT#001309/PROF SVCS"</f>
        <v>CLIENT#001309/PROF SVCS</v>
      </c>
    </row>
    <row r="204" spans="1:10" x14ac:dyDescent="0.3">
      <c r="A204" t="str">
        <f>"01"</f>
        <v>01</v>
      </c>
      <c r="B204" t="str">
        <f>"004147"</f>
        <v>004147</v>
      </c>
      <c r="C204" t="s">
        <v>85</v>
      </c>
      <c r="D204">
        <v>71939</v>
      </c>
      <c r="E204" s="2">
        <v>566.59</v>
      </c>
      <c r="F204" s="1">
        <v>42961</v>
      </c>
      <c r="G204" t="str">
        <f>"3998"</f>
        <v>3998</v>
      </c>
      <c r="H204" t="str">
        <f>"TRUCK#3296/UNIT#903-7691"</f>
        <v>TRUCK#3296/UNIT#903-7691</v>
      </c>
      <c r="I204" s="2">
        <v>461.59</v>
      </c>
      <c r="J204" t="str">
        <f>"TRUCK#3296/UNIT#903-7691"</f>
        <v>TRUCK#3296/UNIT#903-7691</v>
      </c>
    </row>
    <row r="205" spans="1:10" x14ac:dyDescent="0.3">
      <c r="A205" t="str">
        <f>""</f>
        <v/>
      </c>
      <c r="B205" t="str">
        <f>""</f>
        <v/>
      </c>
      <c r="G205" t="str">
        <f>"4021"</f>
        <v>4021</v>
      </c>
      <c r="H205" t="str">
        <f>"TRUCK#3297/UNIT#1149393"</f>
        <v>TRUCK#3297/UNIT#1149393</v>
      </c>
      <c r="I205" s="2">
        <v>105</v>
      </c>
      <c r="J205" t="str">
        <f>"TRUCK#3297/UNIT#1149393"</f>
        <v>TRUCK#3297/UNIT#1149393</v>
      </c>
    </row>
    <row r="206" spans="1:10" x14ac:dyDescent="0.3">
      <c r="A206" t="str">
        <f>"01"</f>
        <v>01</v>
      </c>
      <c r="B206" t="str">
        <f>"004147"</f>
        <v>004147</v>
      </c>
      <c r="C206" t="s">
        <v>85</v>
      </c>
      <c r="D206">
        <v>72203</v>
      </c>
      <c r="E206" s="2">
        <v>2298.7199999999998</v>
      </c>
      <c r="F206" s="1">
        <v>42976</v>
      </c>
      <c r="G206" t="str">
        <f>"4043"</f>
        <v>4043</v>
      </c>
      <c r="H206" t="str">
        <f>"ROLLER 563E/PCT#4"</f>
        <v>ROLLER 563E/PCT#4</v>
      </c>
      <c r="I206" s="2">
        <v>996.22</v>
      </c>
      <c r="J206" t="str">
        <f>"ROLLER 563E/PCT#4"</f>
        <v>ROLLER 563E/PCT#4</v>
      </c>
    </row>
    <row r="207" spans="1:10" x14ac:dyDescent="0.3">
      <c r="A207" t="str">
        <f>""</f>
        <v/>
      </c>
      <c r="B207" t="str">
        <f>""</f>
        <v/>
      </c>
      <c r="G207" t="str">
        <f>"4069"</f>
        <v>4069</v>
      </c>
      <c r="H207" t="str">
        <f>"2012 FREIGHT/PCT#4"</f>
        <v>2012 FREIGHT/PCT#4</v>
      </c>
      <c r="I207" s="2">
        <v>752</v>
      </c>
      <c r="J207" t="str">
        <f>"2012 FREIGHT/PCT#4"</f>
        <v>2012 FREIGHT/PCT#4</v>
      </c>
    </row>
    <row r="208" spans="1:10" x14ac:dyDescent="0.3">
      <c r="A208" t="str">
        <f>""</f>
        <v/>
      </c>
      <c r="B208" t="str">
        <f>""</f>
        <v/>
      </c>
      <c r="G208" t="str">
        <f>"4080"</f>
        <v>4080</v>
      </c>
      <c r="H208" t="str">
        <f>"2003 FORD/PCT#4"</f>
        <v>2003 FORD/PCT#4</v>
      </c>
      <c r="I208" s="2">
        <v>550.5</v>
      </c>
      <c r="J208" t="str">
        <f>"INSTALL WATER PUMP/PCT#4"</f>
        <v>INSTALL WATER PUMP/PCT#4</v>
      </c>
    </row>
    <row r="209" spans="1:10" x14ac:dyDescent="0.3">
      <c r="A209" t="str">
        <f>"01"</f>
        <v>01</v>
      </c>
      <c r="B209" t="str">
        <f>"000593"</f>
        <v>000593</v>
      </c>
      <c r="C209" t="s">
        <v>86</v>
      </c>
      <c r="D209">
        <v>71940</v>
      </c>
      <c r="E209" s="2">
        <v>1201.82</v>
      </c>
      <c r="F209" s="1">
        <v>42961</v>
      </c>
      <c r="G209" t="str">
        <f>"84078929216"</f>
        <v>84078929216</v>
      </c>
      <c r="H209" t="str">
        <f>"BAKERY INV 84078929216"</f>
        <v>BAKERY INV 84078929216</v>
      </c>
      <c r="I209" s="2">
        <v>379.24</v>
      </c>
      <c r="J209" t="str">
        <f>"BAKERY INV 84078929216"</f>
        <v>BAKERY INV 84078929216</v>
      </c>
    </row>
    <row r="210" spans="1:10" x14ac:dyDescent="0.3">
      <c r="A210" t="str">
        <f>""</f>
        <v/>
      </c>
      <c r="B210" t="str">
        <f>""</f>
        <v/>
      </c>
      <c r="G210" t="str">
        <f>"84078929307"</f>
        <v>84078929307</v>
      </c>
      <c r="H210" t="str">
        <f>"INV84078929307 BAKERY"</f>
        <v>INV84078929307 BAKERY</v>
      </c>
      <c r="I210" s="2">
        <v>351.68</v>
      </c>
      <c r="J210" t="str">
        <f>"INV84078929307 BAKERY"</f>
        <v>INV84078929307 BAKERY</v>
      </c>
    </row>
    <row r="211" spans="1:10" x14ac:dyDescent="0.3">
      <c r="A211" t="str">
        <f>""</f>
        <v/>
      </c>
      <c r="B211" t="str">
        <f>""</f>
        <v/>
      </c>
      <c r="G211" t="str">
        <f>"84078929404"</f>
        <v>84078929404</v>
      </c>
      <c r="H211" t="str">
        <f>"BAKERY INV84078929404"</f>
        <v>BAKERY INV84078929404</v>
      </c>
      <c r="I211" s="2">
        <v>185.5</v>
      </c>
      <c r="J211" t="str">
        <f>"BAKERY INV84078929404"</f>
        <v>BAKERY INV84078929404</v>
      </c>
    </row>
    <row r="212" spans="1:10" x14ac:dyDescent="0.3">
      <c r="A212" t="str">
        <f>""</f>
        <v/>
      </c>
      <c r="B212" t="str">
        <f>""</f>
        <v/>
      </c>
      <c r="G212" t="str">
        <f>"84078929486"</f>
        <v>84078929486</v>
      </c>
      <c r="H212" t="str">
        <f>"BAKERY INV84078929486"</f>
        <v>BAKERY INV84078929486</v>
      </c>
      <c r="I212" s="2">
        <v>285.39999999999998</v>
      </c>
      <c r="J212" t="str">
        <f>"BAKERY INV84078929486"</f>
        <v>BAKERY INV84078929486</v>
      </c>
    </row>
    <row r="213" spans="1:10" x14ac:dyDescent="0.3">
      <c r="A213" t="str">
        <f>"01"</f>
        <v>01</v>
      </c>
      <c r="B213" t="str">
        <f>"000593"</f>
        <v>000593</v>
      </c>
      <c r="C213" t="s">
        <v>86</v>
      </c>
      <c r="D213">
        <v>72204</v>
      </c>
      <c r="E213" s="2">
        <v>323.68</v>
      </c>
      <c r="F213" s="1">
        <v>42976</v>
      </c>
      <c r="G213" t="str">
        <f>"84078929593"</f>
        <v>84078929593</v>
      </c>
      <c r="H213" t="str">
        <f>"INV 84078929593"</f>
        <v>INV 84078929593</v>
      </c>
      <c r="I213" s="2">
        <v>323.68</v>
      </c>
      <c r="J213" t="str">
        <f>"INV 84078929593"</f>
        <v>INV 84078929593</v>
      </c>
    </row>
    <row r="214" spans="1:10" x14ac:dyDescent="0.3">
      <c r="A214" t="str">
        <f>"01"</f>
        <v>01</v>
      </c>
      <c r="B214" t="str">
        <f>"003732"</f>
        <v>003732</v>
      </c>
      <c r="C214" t="s">
        <v>87</v>
      </c>
      <c r="D214">
        <v>72205</v>
      </c>
      <c r="E214" s="2">
        <v>100</v>
      </c>
      <c r="F214" s="1">
        <v>42976</v>
      </c>
      <c r="G214" t="str">
        <f>"201708234416"</f>
        <v>201708234416</v>
      </c>
      <c r="H214" t="str">
        <f>"16-17591"</f>
        <v>16-17591</v>
      </c>
      <c r="I214" s="2">
        <v>100</v>
      </c>
      <c r="J214" t="str">
        <f>"16-17591"</f>
        <v>16-17591</v>
      </c>
    </row>
    <row r="215" spans="1:10" x14ac:dyDescent="0.3">
      <c r="A215" t="str">
        <f>"01"</f>
        <v>01</v>
      </c>
      <c r="B215" t="str">
        <f>"003732"</f>
        <v>003732</v>
      </c>
      <c r="C215" t="s">
        <v>87</v>
      </c>
      <c r="D215">
        <v>999999</v>
      </c>
      <c r="E215" s="2">
        <v>900</v>
      </c>
      <c r="F215" s="1">
        <v>42961</v>
      </c>
      <c r="G215" t="str">
        <f>"201707283894"</f>
        <v>201707283894</v>
      </c>
      <c r="H215" t="str">
        <f>"JUVENILE 7/19/17"</f>
        <v>JUVENILE 7/19/17</v>
      </c>
      <c r="I215" s="2">
        <v>100</v>
      </c>
      <c r="J215" t="str">
        <f>"JUVENILE 7/19/17"</f>
        <v>JUVENILE 7/19/17</v>
      </c>
    </row>
    <row r="216" spans="1:10" x14ac:dyDescent="0.3">
      <c r="A216" t="str">
        <f>""</f>
        <v/>
      </c>
      <c r="B216" t="str">
        <f>""</f>
        <v/>
      </c>
      <c r="G216" t="str">
        <f>"201708094206"</f>
        <v>201708094206</v>
      </c>
      <c r="H216" t="str">
        <f>"403217-3/9253450894/175-01538"</f>
        <v>403217-3/9253450894/175-01538</v>
      </c>
      <c r="I216" s="2">
        <v>250</v>
      </c>
      <c r="J216" t="str">
        <f>"403217-3/9253450894/175-01538"</f>
        <v>403217-3/9253450894/175-01538</v>
      </c>
    </row>
    <row r="217" spans="1:10" x14ac:dyDescent="0.3">
      <c r="A217" t="str">
        <f>""</f>
        <v/>
      </c>
      <c r="B217" t="str">
        <f>""</f>
        <v/>
      </c>
      <c r="G217" t="str">
        <f>"201708094207"</f>
        <v>201708094207</v>
      </c>
      <c r="H217" t="str">
        <f>"JUVENILE 8/1/17"</f>
        <v>JUVENILE 8/1/17</v>
      </c>
      <c r="I217" s="2">
        <v>100</v>
      </c>
      <c r="J217" t="str">
        <f>"JUVENILE 8/1/17"</f>
        <v>JUVENILE 8/1/17</v>
      </c>
    </row>
    <row r="218" spans="1:10" x14ac:dyDescent="0.3">
      <c r="A218" t="str">
        <f>""</f>
        <v/>
      </c>
      <c r="B218" t="str">
        <f>""</f>
        <v/>
      </c>
      <c r="G218" t="str">
        <f>"201708094208"</f>
        <v>201708094208</v>
      </c>
      <c r="H218" t="str">
        <f>"J-3089"</f>
        <v>J-3089</v>
      </c>
      <c r="I218" s="2">
        <v>250</v>
      </c>
      <c r="J218" t="str">
        <f>"J-3089"</f>
        <v>J-3089</v>
      </c>
    </row>
    <row r="219" spans="1:10" x14ac:dyDescent="0.3">
      <c r="A219" t="str">
        <f>""</f>
        <v/>
      </c>
      <c r="B219" t="str">
        <f>""</f>
        <v/>
      </c>
      <c r="G219" t="str">
        <f>"201708094209"</f>
        <v>201708094209</v>
      </c>
      <c r="H219" t="str">
        <f>"17-18517"</f>
        <v>17-18517</v>
      </c>
      <c r="I219" s="2">
        <v>100</v>
      </c>
      <c r="J219" t="str">
        <f>"17-18517"</f>
        <v>17-18517</v>
      </c>
    </row>
    <row r="220" spans="1:10" x14ac:dyDescent="0.3">
      <c r="A220" t="str">
        <f>""</f>
        <v/>
      </c>
      <c r="B220" t="str">
        <f>""</f>
        <v/>
      </c>
      <c r="G220" t="str">
        <f>"201708094210"</f>
        <v>201708094210</v>
      </c>
      <c r="H220" t="str">
        <f>"16-17977"</f>
        <v>16-17977</v>
      </c>
      <c r="I220" s="2">
        <v>100</v>
      </c>
      <c r="J220" t="str">
        <f>"16-17977"</f>
        <v>16-17977</v>
      </c>
    </row>
    <row r="221" spans="1:10" x14ac:dyDescent="0.3">
      <c r="A221" t="str">
        <f>"01"</f>
        <v>01</v>
      </c>
      <c r="B221" t="str">
        <f>"BEC"</f>
        <v>BEC</v>
      </c>
      <c r="C221" t="s">
        <v>88</v>
      </c>
      <c r="D221">
        <v>72161</v>
      </c>
      <c r="E221" s="2">
        <v>3727.85</v>
      </c>
      <c r="F221" s="1">
        <v>42962</v>
      </c>
      <c r="G221" t="str">
        <f>"201708154286"</f>
        <v>201708154286</v>
      </c>
      <c r="H221" t="str">
        <f>"ACCT#5000057374"</f>
        <v>ACCT#5000057374</v>
      </c>
      <c r="I221" s="2">
        <v>3697.85</v>
      </c>
      <c r="J221" t="str">
        <f>"ACCT#5000057374"</f>
        <v>ACCT#5000057374</v>
      </c>
    </row>
    <row r="222" spans="1:10" x14ac:dyDescent="0.3">
      <c r="A222" t="str">
        <f>""</f>
        <v/>
      </c>
      <c r="B222" t="str">
        <f>""</f>
        <v/>
      </c>
      <c r="G222" t="str">
        <f>""</f>
        <v/>
      </c>
      <c r="H222" t="str">
        <f>""</f>
        <v/>
      </c>
      <c r="J222" t="str">
        <f>"ACCT#5000057374"</f>
        <v>ACCT#5000057374</v>
      </c>
    </row>
    <row r="223" spans="1:10" x14ac:dyDescent="0.3">
      <c r="A223" t="str">
        <f>""</f>
        <v/>
      </c>
      <c r="B223" t="str">
        <f>""</f>
        <v/>
      </c>
      <c r="G223" t="str">
        <f>""</f>
        <v/>
      </c>
      <c r="H223" t="str">
        <f>""</f>
        <v/>
      </c>
      <c r="J223" t="str">
        <f>"ACCT#5000057374"</f>
        <v>ACCT#5000057374</v>
      </c>
    </row>
    <row r="224" spans="1:10" x14ac:dyDescent="0.3">
      <c r="A224" t="str">
        <f>""</f>
        <v/>
      </c>
      <c r="B224" t="str">
        <f>""</f>
        <v/>
      </c>
      <c r="G224" t="str">
        <f>""</f>
        <v/>
      </c>
      <c r="H224" t="str">
        <f>""</f>
        <v/>
      </c>
      <c r="J224" t="str">
        <f>"ACCT#5000057374"</f>
        <v>ACCT#5000057374</v>
      </c>
    </row>
    <row r="225" spans="1:10" x14ac:dyDescent="0.3">
      <c r="A225" t="str">
        <f>""</f>
        <v/>
      </c>
      <c r="B225" t="str">
        <f>""</f>
        <v/>
      </c>
      <c r="G225" t="str">
        <f>""</f>
        <v/>
      </c>
      <c r="H225" t="str">
        <f>""</f>
        <v/>
      </c>
      <c r="J225" t="str">
        <f>"ACCT#5000057374"</f>
        <v>ACCT#5000057374</v>
      </c>
    </row>
    <row r="226" spans="1:10" x14ac:dyDescent="0.3">
      <c r="A226" t="str">
        <f>""</f>
        <v/>
      </c>
      <c r="B226" t="str">
        <f>""</f>
        <v/>
      </c>
      <c r="G226" t="str">
        <f>"201708154291"</f>
        <v>201708154291</v>
      </c>
      <c r="H226" t="str">
        <f>"ACCT#5500033554/589 COOL WATER"</f>
        <v>ACCT#5500033554/589 COOL WATER</v>
      </c>
      <c r="I226" s="2">
        <v>30</v>
      </c>
      <c r="J226" t="str">
        <f>"BLUEBONNET ELECTRIC COOP"</f>
        <v>BLUEBONNET ELECTRIC COOP</v>
      </c>
    </row>
    <row r="227" spans="1:10" x14ac:dyDescent="0.3">
      <c r="A227" t="str">
        <f>"01"</f>
        <v>01</v>
      </c>
      <c r="B227" t="str">
        <f>"T5975"</f>
        <v>T5975</v>
      </c>
      <c r="C227" t="s">
        <v>89</v>
      </c>
      <c r="D227">
        <v>71941</v>
      </c>
      <c r="E227" s="2">
        <v>850</v>
      </c>
      <c r="F227" s="1">
        <v>42961</v>
      </c>
      <c r="G227" t="str">
        <f>"7-2017"</f>
        <v>7-2017</v>
      </c>
      <c r="H227" t="str">
        <f>"JULY SERVICE"</f>
        <v>JULY SERVICE</v>
      </c>
      <c r="I227" s="2">
        <v>850</v>
      </c>
      <c r="J227" t="str">
        <f>"JULY SERVICE"</f>
        <v>JULY SERVICE</v>
      </c>
    </row>
    <row r="228" spans="1:10" x14ac:dyDescent="0.3">
      <c r="A228" t="str">
        <f>"01"</f>
        <v>01</v>
      </c>
      <c r="B228" t="str">
        <f>"BBCI"</f>
        <v>BBCI</v>
      </c>
      <c r="C228" t="s">
        <v>90</v>
      </c>
      <c r="D228">
        <v>71942</v>
      </c>
      <c r="E228" s="2">
        <v>2364.42</v>
      </c>
      <c r="F228" s="1">
        <v>42961</v>
      </c>
      <c r="G228" t="str">
        <f>"UT1000422587/88"</f>
        <v>UT1000422587/88</v>
      </c>
      <c r="H228" t="str">
        <f>"REPLENISH UNIFORMS"</f>
        <v>REPLENISH UNIFORMS</v>
      </c>
      <c r="I228" s="2">
        <v>2184.48</v>
      </c>
      <c r="J228" t="str">
        <f>"UT1000422587"</f>
        <v>UT1000422587</v>
      </c>
    </row>
    <row r="229" spans="1:10" x14ac:dyDescent="0.3">
      <c r="A229" t="str">
        <f>""</f>
        <v/>
      </c>
      <c r="B229" t="str">
        <f>""</f>
        <v/>
      </c>
      <c r="G229" t="str">
        <f>""</f>
        <v/>
      </c>
      <c r="H229" t="str">
        <f>""</f>
        <v/>
      </c>
      <c r="J229" t="str">
        <f>"UT1000422588"</f>
        <v>UT1000422588</v>
      </c>
    </row>
    <row r="230" spans="1:10" x14ac:dyDescent="0.3">
      <c r="A230" t="str">
        <f>""</f>
        <v/>
      </c>
      <c r="B230" t="str">
        <f>""</f>
        <v/>
      </c>
      <c r="G230" t="str">
        <f>"UT1000426826/793"</f>
        <v>UT1000426826/793</v>
      </c>
      <c r="H230" t="str">
        <f>"BDU'S INV"</f>
        <v>BDU'S INV</v>
      </c>
      <c r="I230" s="2">
        <v>179.94</v>
      </c>
      <c r="J230" t="str">
        <f>"BDU'S UT1000426826"</f>
        <v>BDU'S UT1000426826</v>
      </c>
    </row>
    <row r="231" spans="1:10" x14ac:dyDescent="0.3">
      <c r="A231" t="str">
        <f>""</f>
        <v/>
      </c>
      <c r="B231" t="str">
        <f>""</f>
        <v/>
      </c>
      <c r="G231" t="str">
        <f>""</f>
        <v/>
      </c>
      <c r="H231" t="str">
        <f>""</f>
        <v/>
      </c>
      <c r="J231" t="str">
        <f>"BDU'S UT1000382413"</f>
        <v>BDU'S UT1000382413</v>
      </c>
    </row>
    <row r="232" spans="1:10" x14ac:dyDescent="0.3">
      <c r="A232" t="str">
        <f>"01"</f>
        <v>01</v>
      </c>
      <c r="B232" t="str">
        <f>"BBCI"</f>
        <v>BBCI</v>
      </c>
      <c r="C232" t="s">
        <v>90</v>
      </c>
      <c r="D232">
        <v>72206</v>
      </c>
      <c r="E232" s="2">
        <v>979.65</v>
      </c>
      <c r="F232" s="1">
        <v>42976</v>
      </c>
      <c r="G232" t="str">
        <f>"WEB000494731"</f>
        <v>WEB000494731</v>
      </c>
      <c r="H232" t="str">
        <f>"INV WEB000494731"</f>
        <v>INV WEB000494731</v>
      </c>
      <c r="I232" s="2">
        <v>979.65</v>
      </c>
      <c r="J232" t="str">
        <f>"INV WEB000494731"</f>
        <v>INV WEB000494731</v>
      </c>
    </row>
    <row r="233" spans="1:10" x14ac:dyDescent="0.3">
      <c r="A233" t="str">
        <f>"01"</f>
        <v>01</v>
      </c>
      <c r="B233" t="str">
        <f>"001367"</f>
        <v>001367</v>
      </c>
      <c r="C233" t="s">
        <v>91</v>
      </c>
      <c r="D233">
        <v>72207</v>
      </c>
      <c r="E233" s="2">
        <v>3160.89</v>
      </c>
      <c r="F233" s="1">
        <v>42976</v>
      </c>
      <c r="G233" t="str">
        <f>"6029"</f>
        <v>6029</v>
      </c>
      <c r="H233" t="str">
        <f>"INV 6029/UNIT 0127"</f>
        <v>INV 6029/UNIT 0127</v>
      </c>
      <c r="I233" s="2">
        <v>103.88</v>
      </c>
      <c r="J233" t="str">
        <f>"INV 6029/UNIT 0127"</f>
        <v>INV 6029/UNIT 0127</v>
      </c>
    </row>
    <row r="234" spans="1:10" x14ac:dyDescent="0.3">
      <c r="A234" t="str">
        <f>""</f>
        <v/>
      </c>
      <c r="B234" t="str">
        <f>""</f>
        <v/>
      </c>
      <c r="G234" t="str">
        <f>"6048"</f>
        <v>6048</v>
      </c>
      <c r="H234" t="str">
        <f>"INV 6048/UNIT 124"</f>
        <v>INV 6048/UNIT 124</v>
      </c>
      <c r="I234" s="2">
        <v>128.69999999999999</v>
      </c>
      <c r="J234" t="str">
        <f>"INV 6048/UNIT 124"</f>
        <v>INV 6048/UNIT 124</v>
      </c>
    </row>
    <row r="235" spans="1:10" x14ac:dyDescent="0.3">
      <c r="A235" t="str">
        <f>""</f>
        <v/>
      </c>
      <c r="B235" t="str">
        <f>""</f>
        <v/>
      </c>
      <c r="G235" t="str">
        <f>"6091"</f>
        <v>6091</v>
      </c>
      <c r="H235" t="str">
        <f>"INV 6091/UNIT 3102"</f>
        <v>INV 6091/UNIT 3102</v>
      </c>
      <c r="I235" s="2">
        <v>330.78</v>
      </c>
      <c r="J235" t="str">
        <f>"INV 6091/UNIT 3102"</f>
        <v>INV 6091/UNIT 3102</v>
      </c>
    </row>
    <row r="236" spans="1:10" x14ac:dyDescent="0.3">
      <c r="A236" t="str">
        <f>""</f>
        <v/>
      </c>
      <c r="B236" t="str">
        <f>""</f>
        <v/>
      </c>
      <c r="G236" t="str">
        <f>"670128"</f>
        <v>670128</v>
      </c>
      <c r="H236" t="str">
        <f>"INV 670128/UNIT 0417"</f>
        <v>INV 670128/UNIT 0417</v>
      </c>
      <c r="I236" s="2">
        <v>318.66000000000003</v>
      </c>
      <c r="J236" t="str">
        <f>"INV 670128/UNIT 0417"</f>
        <v>INV 670128/UNIT 0417</v>
      </c>
    </row>
    <row r="237" spans="1:10" x14ac:dyDescent="0.3">
      <c r="A237" t="str">
        <f>""</f>
        <v/>
      </c>
      <c r="B237" t="str">
        <f>""</f>
        <v/>
      </c>
      <c r="G237" t="str">
        <f>"INV6001"</f>
        <v>INV6001</v>
      </c>
      <c r="H237" t="str">
        <f>"INV 6001/UNIT 4718"</f>
        <v>INV 6001/UNIT 4718</v>
      </c>
      <c r="I237" s="2">
        <v>275.01</v>
      </c>
      <c r="J237" t="str">
        <f>"INV 6001/UNIT 4718"</f>
        <v>INV 6001/UNIT 4718</v>
      </c>
    </row>
    <row r="238" spans="1:10" x14ac:dyDescent="0.3">
      <c r="A238" t="str">
        <f>""</f>
        <v/>
      </c>
      <c r="B238" t="str">
        <f>""</f>
        <v/>
      </c>
      <c r="G238" t="str">
        <f>"INV6040"</f>
        <v>INV6040</v>
      </c>
      <c r="H238" t="str">
        <f>"INV 6040/UNIT 0311"</f>
        <v>INV 6040/UNIT 0311</v>
      </c>
      <c r="I238" s="2">
        <v>166.47</v>
      </c>
      <c r="J238" t="str">
        <f>"INV 6040/UNIT 0311"</f>
        <v>INV 6040/UNIT 0311</v>
      </c>
    </row>
    <row r="239" spans="1:10" x14ac:dyDescent="0.3">
      <c r="A239" t="str">
        <f>""</f>
        <v/>
      </c>
      <c r="B239" t="str">
        <f>""</f>
        <v/>
      </c>
      <c r="G239" t="str">
        <f>"INV6045"</f>
        <v>INV6045</v>
      </c>
      <c r="H239" t="str">
        <f>"INV 6045/UNIT 0120"</f>
        <v>INV 6045/UNIT 0120</v>
      </c>
      <c r="I239" s="2">
        <v>190.92</v>
      </c>
      <c r="J239" t="str">
        <f>"INV 6045/UNIT 0120"</f>
        <v>INV 6045/UNIT 0120</v>
      </c>
    </row>
    <row r="240" spans="1:10" x14ac:dyDescent="0.3">
      <c r="A240" t="str">
        <f>""</f>
        <v/>
      </c>
      <c r="B240" t="str">
        <f>""</f>
        <v/>
      </c>
      <c r="G240" t="str">
        <f>"INV6046"</f>
        <v>INV6046</v>
      </c>
      <c r="H240" t="str">
        <f>"INV 6046/UNIT 5350"</f>
        <v>INV 6046/UNIT 5350</v>
      </c>
      <c r="I240" s="2">
        <v>128.69999999999999</v>
      </c>
      <c r="J240" t="str">
        <f>"INV 6046/UNIT 5350"</f>
        <v>INV 6046/UNIT 5350</v>
      </c>
    </row>
    <row r="241" spans="1:10" x14ac:dyDescent="0.3">
      <c r="A241" t="str">
        <f>""</f>
        <v/>
      </c>
      <c r="B241" t="str">
        <f>""</f>
        <v/>
      </c>
      <c r="G241" t="str">
        <f>"INV6070"</f>
        <v>INV6070</v>
      </c>
      <c r="H241" t="str">
        <f>"INV 6070/UNIT 5350"</f>
        <v>INV 6070/UNIT 5350</v>
      </c>
      <c r="I241" s="2">
        <v>482.65</v>
      </c>
      <c r="J241" t="str">
        <f>"INV 6070/UNIT 5350"</f>
        <v>INV 6070/UNIT 5350</v>
      </c>
    </row>
    <row r="242" spans="1:10" x14ac:dyDescent="0.3">
      <c r="A242" t="str">
        <f>""</f>
        <v/>
      </c>
      <c r="B242" t="str">
        <f>""</f>
        <v/>
      </c>
      <c r="G242" t="str">
        <f>"MULT INV#'S"</f>
        <v>MULT INV#'S</v>
      </c>
      <c r="H242" t="str">
        <f>"INV RO1007/UNIT 4WHEELER"</f>
        <v>INV RO1007/UNIT 4WHEELER</v>
      </c>
      <c r="I242" s="2">
        <v>1035.1199999999999</v>
      </c>
      <c r="J242" t="str">
        <f>"INV RO1007/UNIT 4WHEELER"</f>
        <v>INV RO1007/UNIT 4WHEELER</v>
      </c>
    </row>
    <row r="243" spans="1:10" x14ac:dyDescent="0.3">
      <c r="A243" t="str">
        <f>""</f>
        <v/>
      </c>
      <c r="B243" t="str">
        <f>""</f>
        <v/>
      </c>
      <c r="G243" t="str">
        <f>""</f>
        <v/>
      </c>
      <c r="H243" t="str">
        <f>""</f>
        <v/>
      </c>
      <c r="J243" t="str">
        <f>"INV 5993/UNIT 4720"</f>
        <v>INV 5993/UNIT 4720</v>
      </c>
    </row>
    <row r="244" spans="1:10" x14ac:dyDescent="0.3">
      <c r="A244" t="str">
        <f>""</f>
        <v/>
      </c>
      <c r="B244" t="str">
        <f>""</f>
        <v/>
      </c>
      <c r="G244" t="str">
        <f>""</f>
        <v/>
      </c>
      <c r="H244" t="str">
        <f>""</f>
        <v/>
      </c>
      <c r="J244" t="str">
        <f>"INV 6003/UNIT 8954"</f>
        <v>INV 6003/UNIT 8954</v>
      </c>
    </row>
    <row r="245" spans="1:10" x14ac:dyDescent="0.3">
      <c r="A245" t="str">
        <f>""</f>
        <v/>
      </c>
      <c r="B245" t="str">
        <f>""</f>
        <v/>
      </c>
      <c r="G245" t="str">
        <f>""</f>
        <v/>
      </c>
      <c r="H245" t="str">
        <f>""</f>
        <v/>
      </c>
      <c r="J245" t="str">
        <f>"INV 6008/UNIT 6556"</f>
        <v>INV 6008/UNIT 6556</v>
      </c>
    </row>
    <row r="246" spans="1:10" x14ac:dyDescent="0.3">
      <c r="A246" t="str">
        <f>""</f>
        <v/>
      </c>
      <c r="B246" t="str">
        <f>""</f>
        <v/>
      </c>
      <c r="G246" t="str">
        <f>""</f>
        <v/>
      </c>
      <c r="H246" t="str">
        <f>""</f>
        <v/>
      </c>
      <c r="J246" t="str">
        <f>"INV 6015/UNIT 0116"</f>
        <v>INV 6015/UNIT 0116</v>
      </c>
    </row>
    <row r="247" spans="1:10" x14ac:dyDescent="0.3">
      <c r="A247" t="str">
        <f>""</f>
        <v/>
      </c>
      <c r="B247" t="str">
        <f>""</f>
        <v/>
      </c>
      <c r="G247" t="str">
        <f>""</f>
        <v/>
      </c>
      <c r="H247" t="str">
        <f>""</f>
        <v/>
      </c>
      <c r="J247" t="str">
        <f>"INV 6019/UNIT 126"</f>
        <v>INV 6019/UNIT 126</v>
      </c>
    </row>
    <row r="248" spans="1:10" x14ac:dyDescent="0.3">
      <c r="A248" t="str">
        <f>""</f>
        <v/>
      </c>
      <c r="B248" t="str">
        <f>""</f>
        <v/>
      </c>
      <c r="G248" t="str">
        <f>""</f>
        <v/>
      </c>
      <c r="H248" t="str">
        <f>""</f>
        <v/>
      </c>
      <c r="J248" t="str">
        <f>"INV 6021/UNIT 0312"</f>
        <v>INV 6021/UNIT 0312</v>
      </c>
    </row>
    <row r="249" spans="1:10" x14ac:dyDescent="0.3">
      <c r="A249" t="str">
        <f>""</f>
        <v/>
      </c>
      <c r="B249" t="str">
        <f>""</f>
        <v/>
      </c>
      <c r="G249" t="str">
        <f>""</f>
        <v/>
      </c>
      <c r="H249" t="str">
        <f>""</f>
        <v/>
      </c>
      <c r="J249" t="str">
        <f>"INV 6028/UNIT 0127"</f>
        <v>INV 6028/UNIT 0127</v>
      </c>
    </row>
    <row r="250" spans="1:10" x14ac:dyDescent="0.3">
      <c r="A250" t="str">
        <f>""</f>
        <v/>
      </c>
      <c r="B250" t="str">
        <f>""</f>
        <v/>
      </c>
      <c r="G250" t="str">
        <f>""</f>
        <v/>
      </c>
      <c r="H250" t="str">
        <f>""</f>
        <v/>
      </c>
      <c r="J250" t="str">
        <f>"INV 6031/UNIT 4716"</f>
        <v>INV 6031/UNIT 4716</v>
      </c>
    </row>
    <row r="251" spans="1:10" x14ac:dyDescent="0.3">
      <c r="A251" t="str">
        <f>""</f>
        <v/>
      </c>
      <c r="B251" t="str">
        <f>""</f>
        <v/>
      </c>
      <c r="G251" t="str">
        <f>""</f>
        <v/>
      </c>
      <c r="H251" t="str">
        <f>""</f>
        <v/>
      </c>
      <c r="J251" t="str">
        <f>"INV 6032/UNIT 6541"</f>
        <v>INV 6032/UNIT 6541</v>
      </c>
    </row>
    <row r="252" spans="1:10" x14ac:dyDescent="0.3">
      <c r="A252" t="str">
        <f>""</f>
        <v/>
      </c>
      <c r="B252" t="str">
        <f>""</f>
        <v/>
      </c>
      <c r="G252" t="str">
        <f>""</f>
        <v/>
      </c>
      <c r="H252" t="str">
        <f>""</f>
        <v/>
      </c>
      <c r="J252" t="str">
        <f>"INV 6035/UNIT 6548"</f>
        <v>INV 6035/UNIT 6548</v>
      </c>
    </row>
    <row r="253" spans="1:10" x14ac:dyDescent="0.3">
      <c r="A253" t="str">
        <f>""</f>
        <v/>
      </c>
      <c r="B253" t="str">
        <f>""</f>
        <v/>
      </c>
      <c r="G253" t="str">
        <f>""</f>
        <v/>
      </c>
      <c r="H253" t="str">
        <f>""</f>
        <v/>
      </c>
      <c r="J253" t="str">
        <f>"INV 6043/UNIT 6535"</f>
        <v>INV 6043/UNIT 6535</v>
      </c>
    </row>
    <row r="254" spans="1:10" x14ac:dyDescent="0.3">
      <c r="A254" t="str">
        <f>""</f>
        <v/>
      </c>
      <c r="B254" t="str">
        <f>""</f>
        <v/>
      </c>
      <c r="G254" t="str">
        <f>""</f>
        <v/>
      </c>
      <c r="H254" t="str">
        <f>""</f>
        <v/>
      </c>
      <c r="J254" t="str">
        <f>"INV 6044/UNIT 0120"</f>
        <v>INV 6044/UNIT 0120</v>
      </c>
    </row>
    <row r="255" spans="1:10" x14ac:dyDescent="0.3">
      <c r="A255" t="str">
        <f>""</f>
        <v/>
      </c>
      <c r="B255" t="str">
        <f>""</f>
        <v/>
      </c>
      <c r="G255" t="str">
        <f>""</f>
        <v/>
      </c>
      <c r="H255" t="str">
        <f>""</f>
        <v/>
      </c>
      <c r="J255" t="str">
        <f>"INV 6049/UNIT 6539"</f>
        <v>INV 6049/UNIT 6539</v>
      </c>
    </row>
    <row r="256" spans="1:10" x14ac:dyDescent="0.3">
      <c r="A256" t="str">
        <f>""</f>
        <v/>
      </c>
      <c r="B256" t="str">
        <f>""</f>
        <v/>
      </c>
      <c r="G256" t="str">
        <f>""</f>
        <v/>
      </c>
      <c r="H256" t="str">
        <f>""</f>
        <v/>
      </c>
      <c r="J256" t="str">
        <f>"INV 6055/UNIT 6543"</f>
        <v>INV 6055/UNIT 6543</v>
      </c>
    </row>
    <row r="257" spans="1:10" x14ac:dyDescent="0.3">
      <c r="A257" t="str">
        <f>""</f>
        <v/>
      </c>
      <c r="B257" t="str">
        <f>""</f>
        <v/>
      </c>
      <c r="G257" t="str">
        <f>""</f>
        <v/>
      </c>
      <c r="H257" t="str">
        <f>""</f>
        <v/>
      </c>
      <c r="J257" t="str">
        <f>"INV 6057/UNIT 6523"</f>
        <v>INV 6057/UNIT 6523</v>
      </c>
    </row>
    <row r="258" spans="1:10" x14ac:dyDescent="0.3">
      <c r="A258" t="str">
        <f>""</f>
        <v/>
      </c>
      <c r="B258" t="str">
        <f>""</f>
        <v/>
      </c>
      <c r="G258" t="str">
        <f>""</f>
        <v/>
      </c>
      <c r="H258" t="str">
        <f>""</f>
        <v/>
      </c>
      <c r="J258" t="str">
        <f>"INV 6060/UNIT 4720"</f>
        <v>INV 6060/UNIT 4720</v>
      </c>
    </row>
    <row r="259" spans="1:10" x14ac:dyDescent="0.3">
      <c r="A259" t="str">
        <f>""</f>
        <v/>
      </c>
      <c r="B259" t="str">
        <f>""</f>
        <v/>
      </c>
      <c r="G259" t="str">
        <f>""</f>
        <v/>
      </c>
      <c r="H259" t="str">
        <f>""</f>
        <v/>
      </c>
      <c r="J259" t="str">
        <f>"INV 6072/UNIT 81"</f>
        <v>INV 6072/UNIT 81</v>
      </c>
    </row>
    <row r="260" spans="1:10" x14ac:dyDescent="0.3">
      <c r="A260" t="str">
        <f>""</f>
        <v/>
      </c>
      <c r="B260" t="str">
        <f>""</f>
        <v/>
      </c>
      <c r="G260" t="str">
        <f>""</f>
        <v/>
      </c>
      <c r="H260" t="str">
        <f>""</f>
        <v/>
      </c>
      <c r="J260" t="str">
        <f>"INV 6075/UNIT 6486"</f>
        <v>INV 6075/UNIT 6486</v>
      </c>
    </row>
    <row r="261" spans="1:10" x14ac:dyDescent="0.3">
      <c r="A261" t="str">
        <f>""</f>
        <v/>
      </c>
      <c r="B261" t="str">
        <f>""</f>
        <v/>
      </c>
      <c r="G261" t="str">
        <f>""</f>
        <v/>
      </c>
      <c r="H261" t="str">
        <f>""</f>
        <v/>
      </c>
      <c r="J261" t="str">
        <f>"INV 6085/UNIT 6532"</f>
        <v>INV 6085/UNIT 6532</v>
      </c>
    </row>
    <row r="262" spans="1:10" x14ac:dyDescent="0.3">
      <c r="A262" t="str">
        <f>""</f>
        <v/>
      </c>
      <c r="B262" t="str">
        <f>""</f>
        <v/>
      </c>
      <c r="G262" t="str">
        <f>""</f>
        <v/>
      </c>
      <c r="H262" t="str">
        <f>""</f>
        <v/>
      </c>
      <c r="J262" t="str">
        <f>"INV 6090/UNIT 3102"</f>
        <v>INV 6090/UNIT 3102</v>
      </c>
    </row>
    <row r="263" spans="1:10" x14ac:dyDescent="0.3">
      <c r="A263" t="str">
        <f>"01"</f>
        <v>01</v>
      </c>
      <c r="B263" t="str">
        <f>"001367"</f>
        <v>001367</v>
      </c>
      <c r="C263" t="s">
        <v>91</v>
      </c>
      <c r="D263">
        <v>999999</v>
      </c>
      <c r="E263" s="2">
        <v>4652.46</v>
      </c>
      <c r="F263" s="1">
        <v>42961</v>
      </c>
      <c r="G263" t="str">
        <f>"5351"</f>
        <v>5351</v>
      </c>
      <c r="H263" t="str">
        <f>"INSPECTION-2000 FORD"</f>
        <v>INSPECTION-2000 FORD</v>
      </c>
      <c r="I263" s="2">
        <v>7</v>
      </c>
      <c r="J263" t="str">
        <f>"INSPECTION-2000 FORD"</f>
        <v>INSPECTION-2000 FORD</v>
      </c>
    </row>
    <row r="264" spans="1:10" x14ac:dyDescent="0.3">
      <c r="A264" t="str">
        <f>""</f>
        <v/>
      </c>
      <c r="B264" t="str">
        <f>""</f>
        <v/>
      </c>
      <c r="G264" t="str">
        <f>"5708"</f>
        <v>5708</v>
      </c>
      <c r="H264" t="str">
        <f>"ELECTRICAL WORK/PCT#1"</f>
        <v>ELECTRICAL WORK/PCT#1</v>
      </c>
      <c r="I264" s="2">
        <v>139.31</v>
      </c>
      <c r="J264" t="str">
        <f>"ELECTRICAL WORK/PCT#1"</f>
        <v>ELECTRICAL WORK/PCT#1</v>
      </c>
    </row>
    <row r="265" spans="1:10" x14ac:dyDescent="0.3">
      <c r="A265" t="str">
        <f>""</f>
        <v/>
      </c>
      <c r="B265" t="str">
        <f>""</f>
        <v/>
      </c>
      <c r="G265" t="str">
        <f>"5896"</f>
        <v>5896</v>
      </c>
      <c r="H265" t="str">
        <f>"INV 5896/UNIT 0124"</f>
        <v>INV 5896/UNIT 0124</v>
      </c>
      <c r="I265" s="2">
        <v>206.83</v>
      </c>
      <c r="J265" t="str">
        <f>"INV 5896/UNIT 0124"</f>
        <v>INV 5896/UNIT 0124</v>
      </c>
    </row>
    <row r="266" spans="1:10" x14ac:dyDescent="0.3">
      <c r="A266" t="str">
        <f>""</f>
        <v/>
      </c>
      <c r="B266" t="str">
        <f>""</f>
        <v/>
      </c>
      <c r="G266" t="str">
        <f>"5898"</f>
        <v>5898</v>
      </c>
      <c r="H266" t="str">
        <f>"HEATING &amp; A/C-PCT#1"</f>
        <v>HEATING &amp; A/C-PCT#1</v>
      </c>
      <c r="I266" s="2">
        <v>205</v>
      </c>
      <c r="J266" t="str">
        <f>"HEATING &amp; A/C-PCT#1"</f>
        <v>HEATING &amp; A/C-PCT#1</v>
      </c>
    </row>
    <row r="267" spans="1:10" x14ac:dyDescent="0.3">
      <c r="A267" t="str">
        <f>""</f>
        <v/>
      </c>
      <c r="B267" t="str">
        <f>""</f>
        <v/>
      </c>
      <c r="G267" t="str">
        <f>"5916"</f>
        <v>5916</v>
      </c>
      <c r="H267" t="str">
        <f>"INV 5916 / TRAILER"</f>
        <v>INV 5916 / TRAILER</v>
      </c>
      <c r="I267" s="2">
        <v>350.2</v>
      </c>
      <c r="J267" t="str">
        <f>"INV 5916 / TRAILER"</f>
        <v>INV 5916 / TRAILER</v>
      </c>
    </row>
    <row r="268" spans="1:10" x14ac:dyDescent="0.3">
      <c r="A268" t="str">
        <f>""</f>
        <v/>
      </c>
      <c r="B268" t="str">
        <f>""</f>
        <v/>
      </c>
      <c r="G268" t="str">
        <f>"5967"</f>
        <v>5967</v>
      </c>
      <c r="H268" t="str">
        <f>"INV 5967/UNIT 0119"</f>
        <v>INV 5967/UNIT 0119</v>
      </c>
      <c r="I268" s="2">
        <v>275.01</v>
      </c>
      <c r="J268" t="str">
        <f>"INV 5967/UNIT 0119"</f>
        <v>INV 5967/UNIT 0119</v>
      </c>
    </row>
    <row r="269" spans="1:10" x14ac:dyDescent="0.3">
      <c r="A269" t="str">
        <f>""</f>
        <v/>
      </c>
      <c r="B269" t="str">
        <f>""</f>
        <v/>
      </c>
      <c r="G269" t="str">
        <f>"5978"</f>
        <v>5978</v>
      </c>
      <c r="H269" t="str">
        <f>"INV 59778/UNIT 121"</f>
        <v>INV 59778/UNIT 121</v>
      </c>
      <c r="I269" s="2">
        <v>124.1</v>
      </c>
      <c r="J269" t="str">
        <f>"INV 59778/UNIT 121"</f>
        <v>INV 59778/UNIT 121</v>
      </c>
    </row>
    <row r="270" spans="1:10" x14ac:dyDescent="0.3">
      <c r="A270" t="str">
        <f>""</f>
        <v/>
      </c>
      <c r="B270" t="str">
        <f>""</f>
        <v/>
      </c>
      <c r="G270" t="str">
        <f>"INV 5897/UNIT 4431"</f>
        <v>INV 5897/UNIT 4431</v>
      </c>
      <c r="H270" t="str">
        <f>"INV 5897 / UNIT 4431"</f>
        <v>INV 5897 / UNIT 4431</v>
      </c>
      <c r="I270" s="2">
        <v>316.25</v>
      </c>
      <c r="J270" t="str">
        <f>"INV 5897 / UNIT 4431"</f>
        <v>INV 5897 / UNIT 4431</v>
      </c>
    </row>
    <row r="271" spans="1:10" x14ac:dyDescent="0.3">
      <c r="A271" t="str">
        <f>""</f>
        <v/>
      </c>
      <c r="B271" t="str">
        <f>""</f>
        <v/>
      </c>
      <c r="G271" t="str">
        <f>"INV 5912/UNIT 0417"</f>
        <v>INV 5912/UNIT 0417</v>
      </c>
      <c r="H271" t="str">
        <f>"INV 5912 / UNIT 0417"</f>
        <v>INV 5912 / UNIT 0417</v>
      </c>
      <c r="I271" s="2">
        <v>229.04</v>
      </c>
      <c r="J271" t="str">
        <f>"INV 5912 / UNIT 0417"</f>
        <v>INV 5912 / UNIT 0417</v>
      </c>
    </row>
    <row r="272" spans="1:10" x14ac:dyDescent="0.3">
      <c r="A272" t="str">
        <f>""</f>
        <v/>
      </c>
      <c r="B272" t="str">
        <f>""</f>
        <v/>
      </c>
      <c r="G272" t="str">
        <f>"INV 5924/UNIT 1668"</f>
        <v>INV 5924/UNIT 1668</v>
      </c>
      <c r="H272" t="str">
        <f>"INV 5924/UNIT 1668"</f>
        <v>INV 5924/UNIT 1668</v>
      </c>
      <c r="I272" s="2">
        <v>452.26</v>
      </c>
      <c r="J272" t="str">
        <f>"INV 5924/UNIT 1668"</f>
        <v>INV 5924/UNIT 1668</v>
      </c>
    </row>
    <row r="273" spans="1:10" x14ac:dyDescent="0.3">
      <c r="A273" t="str">
        <f>""</f>
        <v/>
      </c>
      <c r="B273" t="str">
        <f>""</f>
        <v/>
      </c>
      <c r="G273" t="str">
        <f>"INV5963"</f>
        <v>INV5963</v>
      </c>
      <c r="H273" t="str">
        <f>"INV 5963/UNIT 0123"</f>
        <v>INV 5963/UNIT 0123</v>
      </c>
      <c r="I273" s="2">
        <v>484.6</v>
      </c>
      <c r="J273" t="str">
        <f>"INV 5963/UNIT 0123"</f>
        <v>INV 5963/UNIT 0123</v>
      </c>
    </row>
    <row r="274" spans="1:10" x14ac:dyDescent="0.3">
      <c r="A274" t="str">
        <f>""</f>
        <v/>
      </c>
      <c r="B274" t="str">
        <f>""</f>
        <v/>
      </c>
      <c r="G274" t="str">
        <f>"VEHICLE MAINT"</f>
        <v>VEHICLE MAINT</v>
      </c>
      <c r="H274" t="str">
        <f>"INV  / UNIT ARMOR CAR"</f>
        <v>INV  / UNIT ARMOR CAR</v>
      </c>
      <c r="I274" s="2">
        <v>1410.39</v>
      </c>
      <c r="J274" t="str">
        <f>"INV  / UNIT ARMOR CAR"</f>
        <v>INV  / UNIT ARMOR CAR</v>
      </c>
    </row>
    <row r="275" spans="1:10" x14ac:dyDescent="0.3">
      <c r="A275" t="str">
        <f>""</f>
        <v/>
      </c>
      <c r="B275" t="str">
        <f>""</f>
        <v/>
      </c>
      <c r="G275" t="str">
        <f>""</f>
        <v/>
      </c>
      <c r="H275" t="str">
        <f>""</f>
        <v/>
      </c>
      <c r="J275" t="str">
        <f>"INV 5833/ UNIT 1667"</f>
        <v>INV 5833/ UNIT 1667</v>
      </c>
    </row>
    <row r="276" spans="1:10" x14ac:dyDescent="0.3">
      <c r="A276" t="str">
        <f>""</f>
        <v/>
      </c>
      <c r="B276" t="str">
        <f>""</f>
        <v/>
      </c>
      <c r="G276" t="str">
        <f>""</f>
        <v/>
      </c>
      <c r="H276" t="str">
        <f>""</f>
        <v/>
      </c>
      <c r="J276" t="str">
        <f>"INV 5839 / UNIT 4362"</f>
        <v>INV 5839 / UNIT 4362</v>
      </c>
    </row>
    <row r="277" spans="1:10" x14ac:dyDescent="0.3">
      <c r="A277" t="str">
        <f>""</f>
        <v/>
      </c>
      <c r="B277" t="str">
        <f>""</f>
        <v/>
      </c>
      <c r="G277" t="str">
        <f>""</f>
        <v/>
      </c>
      <c r="H277" t="str">
        <f>""</f>
        <v/>
      </c>
      <c r="J277" t="str">
        <f>"INV 5840 / UNIT 4717"</f>
        <v>INV 5840 / UNIT 4717</v>
      </c>
    </row>
    <row r="278" spans="1:10" x14ac:dyDescent="0.3">
      <c r="A278" t="str">
        <f>""</f>
        <v/>
      </c>
      <c r="B278" t="str">
        <f>""</f>
        <v/>
      </c>
      <c r="G278" t="str">
        <f>""</f>
        <v/>
      </c>
      <c r="H278" t="str">
        <f>""</f>
        <v/>
      </c>
      <c r="J278" t="str">
        <f>"INV 5843 / UNIT 0123"</f>
        <v>INV 5843 / UNIT 0123</v>
      </c>
    </row>
    <row r="279" spans="1:10" x14ac:dyDescent="0.3">
      <c r="A279" t="str">
        <f>""</f>
        <v/>
      </c>
      <c r="B279" t="str">
        <f>""</f>
        <v/>
      </c>
      <c r="G279" t="str">
        <f>""</f>
        <v/>
      </c>
      <c r="H279" t="str">
        <f>""</f>
        <v/>
      </c>
      <c r="J279" t="str">
        <f>"INV 5850 / UNIT 6554"</f>
        <v>INV 5850 / UNIT 6554</v>
      </c>
    </row>
    <row r="280" spans="1:10" x14ac:dyDescent="0.3">
      <c r="A280" t="str">
        <f>""</f>
        <v/>
      </c>
      <c r="B280" t="str">
        <f>""</f>
        <v/>
      </c>
      <c r="G280" t="str">
        <f>""</f>
        <v/>
      </c>
      <c r="H280" t="str">
        <f>""</f>
        <v/>
      </c>
      <c r="J280" t="str">
        <f>"INV 5852 / UNIT 5511"</f>
        <v>INV 5852 / UNIT 5511</v>
      </c>
    </row>
    <row r="281" spans="1:10" x14ac:dyDescent="0.3">
      <c r="A281" t="str">
        <f>""</f>
        <v/>
      </c>
      <c r="B281" t="str">
        <f>""</f>
        <v/>
      </c>
      <c r="G281" t="str">
        <f>""</f>
        <v/>
      </c>
      <c r="H281" t="str">
        <f>""</f>
        <v/>
      </c>
      <c r="J281" t="str">
        <f>"INV 5862 / UNIT 5350"</f>
        <v>INV 5862 / UNIT 5350</v>
      </c>
    </row>
    <row r="282" spans="1:10" x14ac:dyDescent="0.3">
      <c r="A282" t="str">
        <f>""</f>
        <v/>
      </c>
      <c r="B282" t="str">
        <f>""</f>
        <v/>
      </c>
      <c r="G282" t="str">
        <f>""</f>
        <v/>
      </c>
      <c r="H282" t="str">
        <f>""</f>
        <v/>
      </c>
      <c r="J282" t="str">
        <f>"INV 5857 / UNIT 0311"</f>
        <v>INV 5857 / UNIT 0311</v>
      </c>
    </row>
    <row r="283" spans="1:10" x14ac:dyDescent="0.3">
      <c r="A283" t="str">
        <f>""</f>
        <v/>
      </c>
      <c r="B283" t="str">
        <f>""</f>
        <v/>
      </c>
      <c r="G283" t="str">
        <f>""</f>
        <v/>
      </c>
      <c r="H283" t="str">
        <f>""</f>
        <v/>
      </c>
      <c r="J283" t="str">
        <f>"INV 5875 / UNIT 6557"</f>
        <v>INV 5875 / UNIT 6557</v>
      </c>
    </row>
    <row r="284" spans="1:10" x14ac:dyDescent="0.3">
      <c r="A284" t="str">
        <f>""</f>
        <v/>
      </c>
      <c r="B284" t="str">
        <f>""</f>
        <v/>
      </c>
      <c r="G284" t="str">
        <f>""</f>
        <v/>
      </c>
      <c r="H284" t="str">
        <f>""</f>
        <v/>
      </c>
      <c r="J284" t="str">
        <f>"INV 5884 / UNIT 6523"</f>
        <v>INV 5884 / UNIT 6523</v>
      </c>
    </row>
    <row r="285" spans="1:10" x14ac:dyDescent="0.3">
      <c r="A285" t="str">
        <f>""</f>
        <v/>
      </c>
      <c r="B285" t="str">
        <f>""</f>
        <v/>
      </c>
      <c r="G285" t="str">
        <f>""</f>
        <v/>
      </c>
      <c r="H285" t="str">
        <f>""</f>
        <v/>
      </c>
      <c r="J285" t="str">
        <f>"INV 5890 / UNIT 8217"</f>
        <v>INV 5890 / UNIT 8217</v>
      </c>
    </row>
    <row r="286" spans="1:10" x14ac:dyDescent="0.3">
      <c r="A286" t="str">
        <f>""</f>
        <v/>
      </c>
      <c r="B286" t="str">
        <f>""</f>
        <v/>
      </c>
      <c r="G286" t="str">
        <f>""</f>
        <v/>
      </c>
      <c r="H286" t="str">
        <f>""</f>
        <v/>
      </c>
      <c r="J286" t="str">
        <f>"INV 5895 / UNIT 8673"</f>
        <v>INV 5895 / UNIT 8673</v>
      </c>
    </row>
    <row r="287" spans="1:10" x14ac:dyDescent="0.3">
      <c r="A287" t="str">
        <f>""</f>
        <v/>
      </c>
      <c r="B287" t="str">
        <f>""</f>
        <v/>
      </c>
      <c r="G287" t="str">
        <f>""</f>
        <v/>
      </c>
      <c r="H287" t="str">
        <f>""</f>
        <v/>
      </c>
      <c r="J287" t="str">
        <f>"INV 5906 / UNIT 4719"</f>
        <v>INV 5906 / UNIT 4719</v>
      </c>
    </row>
    <row r="288" spans="1:10" x14ac:dyDescent="0.3">
      <c r="A288" t="str">
        <f>""</f>
        <v/>
      </c>
      <c r="B288" t="str">
        <f>""</f>
        <v/>
      </c>
      <c r="G288" t="str">
        <f>""</f>
        <v/>
      </c>
      <c r="H288" t="str">
        <f>""</f>
        <v/>
      </c>
      <c r="J288" t="str">
        <f>"INV 5922 /UNIT 0127"</f>
        <v>INV 5922 /UNIT 0127</v>
      </c>
    </row>
    <row r="289" spans="1:10" x14ac:dyDescent="0.3">
      <c r="A289" t="str">
        <f>""</f>
        <v/>
      </c>
      <c r="B289" t="str">
        <f>""</f>
        <v/>
      </c>
      <c r="G289" t="str">
        <f>""</f>
        <v/>
      </c>
      <c r="H289" t="str">
        <f>""</f>
        <v/>
      </c>
      <c r="J289" t="str">
        <f>"INV 5930/ UNIT 125"</f>
        <v>INV 5930/ UNIT 125</v>
      </c>
    </row>
    <row r="290" spans="1:10" x14ac:dyDescent="0.3">
      <c r="A290" t="str">
        <f>""</f>
        <v/>
      </c>
      <c r="B290" t="str">
        <f>""</f>
        <v/>
      </c>
      <c r="G290" t="str">
        <f>""</f>
        <v/>
      </c>
      <c r="H290" t="str">
        <f>""</f>
        <v/>
      </c>
      <c r="J290" t="str">
        <f>"INV 5940 / UNIT 0314"</f>
        <v>INV 5940 / UNIT 0314</v>
      </c>
    </row>
    <row r="291" spans="1:10" x14ac:dyDescent="0.3">
      <c r="A291" t="str">
        <f>""</f>
        <v/>
      </c>
      <c r="B291" t="str">
        <f>""</f>
        <v/>
      </c>
      <c r="G291" t="str">
        <f>"VEHICLE MAINTENANC"</f>
        <v>VEHICLE MAINTENANC</v>
      </c>
      <c r="H291" t="str">
        <f>"INV 5944/UNIT 8153"</f>
        <v>INV 5944/UNIT 8153</v>
      </c>
      <c r="I291" s="2">
        <v>452.47</v>
      </c>
      <c r="J291" t="str">
        <f>"INV 5944/UNIT 8153"</f>
        <v>INV 5944/UNIT 8153</v>
      </c>
    </row>
    <row r="292" spans="1:10" x14ac:dyDescent="0.3">
      <c r="A292" t="str">
        <f>""</f>
        <v/>
      </c>
      <c r="B292" t="str">
        <f>""</f>
        <v/>
      </c>
      <c r="G292" t="str">
        <f>""</f>
        <v/>
      </c>
      <c r="H292" t="str">
        <f>""</f>
        <v/>
      </c>
      <c r="J292" t="str">
        <f>"INV 5948/UNIT 3805"</f>
        <v>INV 5948/UNIT 3805</v>
      </c>
    </row>
    <row r="293" spans="1:10" x14ac:dyDescent="0.3">
      <c r="A293" t="str">
        <f>""</f>
        <v/>
      </c>
      <c r="B293" t="str">
        <f>""</f>
        <v/>
      </c>
      <c r="G293" t="str">
        <f>""</f>
        <v/>
      </c>
      <c r="H293" t="str">
        <f>""</f>
        <v/>
      </c>
      <c r="J293" t="str">
        <f>"INV 5953/UNIT 9379"</f>
        <v>INV 5953/UNIT 9379</v>
      </c>
    </row>
    <row r="294" spans="1:10" x14ac:dyDescent="0.3">
      <c r="A294" t="str">
        <f>""</f>
        <v/>
      </c>
      <c r="B294" t="str">
        <f>""</f>
        <v/>
      </c>
      <c r="G294" t="str">
        <f>""</f>
        <v/>
      </c>
      <c r="H294" t="str">
        <f>""</f>
        <v/>
      </c>
      <c r="J294" t="str">
        <f>"INV 5965/UNIT 0117"</f>
        <v>INV 5965/UNIT 0117</v>
      </c>
    </row>
    <row r="295" spans="1:10" x14ac:dyDescent="0.3">
      <c r="A295" t="str">
        <f>""</f>
        <v/>
      </c>
      <c r="B295" t="str">
        <f>""</f>
        <v/>
      </c>
      <c r="G295" t="str">
        <f>""</f>
        <v/>
      </c>
      <c r="H295" t="str">
        <f>""</f>
        <v/>
      </c>
      <c r="J295" t="str">
        <f>"INV 5966/UNIT 0119"</f>
        <v>INV 5966/UNIT 0119</v>
      </c>
    </row>
    <row r="296" spans="1:10" x14ac:dyDescent="0.3">
      <c r="A296" t="str">
        <f>""</f>
        <v/>
      </c>
      <c r="B296" t="str">
        <f>""</f>
        <v/>
      </c>
      <c r="G296" t="str">
        <f>""</f>
        <v/>
      </c>
      <c r="H296" t="str">
        <f>""</f>
        <v/>
      </c>
      <c r="J296" t="str">
        <f>"INV 5970/UNIT 6499"</f>
        <v>INV 5970/UNIT 6499</v>
      </c>
    </row>
    <row r="297" spans="1:10" x14ac:dyDescent="0.3">
      <c r="A297" t="str">
        <f>""</f>
        <v/>
      </c>
      <c r="B297" t="str">
        <f>""</f>
        <v/>
      </c>
      <c r="G297" t="str">
        <f>""</f>
        <v/>
      </c>
      <c r="H297" t="str">
        <f>""</f>
        <v/>
      </c>
      <c r="J297" t="str">
        <f>"INV 5977/UNIT 9647"</f>
        <v>INV 5977/UNIT 9647</v>
      </c>
    </row>
    <row r="298" spans="1:10" x14ac:dyDescent="0.3">
      <c r="A298" t="str">
        <f>""</f>
        <v/>
      </c>
      <c r="B298" t="str">
        <f>""</f>
        <v/>
      </c>
      <c r="G298" t="str">
        <f>""</f>
        <v/>
      </c>
      <c r="H298" t="str">
        <f>""</f>
        <v/>
      </c>
      <c r="J298" t="str">
        <f>"INV 5980/UNIT 1628"</f>
        <v>INV 5980/UNIT 1628</v>
      </c>
    </row>
    <row r="299" spans="1:10" x14ac:dyDescent="0.3">
      <c r="A299" t="str">
        <f>""</f>
        <v/>
      </c>
      <c r="B299" t="str">
        <f>""</f>
        <v/>
      </c>
      <c r="G299" t="str">
        <f>""</f>
        <v/>
      </c>
      <c r="H299" t="str">
        <f>""</f>
        <v/>
      </c>
      <c r="J299" t="str">
        <f>"INV 5983/UNIT 0126"</f>
        <v>INV 5983/UNIT 0126</v>
      </c>
    </row>
    <row r="300" spans="1:10" x14ac:dyDescent="0.3">
      <c r="A300" t="str">
        <f>""</f>
        <v/>
      </c>
      <c r="B300" t="str">
        <f>""</f>
        <v/>
      </c>
      <c r="G300" t="str">
        <f>""</f>
        <v/>
      </c>
      <c r="H300" t="str">
        <f>""</f>
        <v/>
      </c>
      <c r="J300" t="str">
        <f>"INV 5984/UNIT 0125"</f>
        <v>INV 5984/UNIT 0125</v>
      </c>
    </row>
    <row r="301" spans="1:10" x14ac:dyDescent="0.3">
      <c r="A301" t="str">
        <f>""</f>
        <v/>
      </c>
      <c r="B301" t="str">
        <f>""</f>
        <v/>
      </c>
      <c r="G301" t="str">
        <f>""</f>
        <v/>
      </c>
      <c r="H301" t="str">
        <f>""</f>
        <v/>
      </c>
      <c r="J301" t="str">
        <f>"INV 5987/UNIT 5273"</f>
        <v>INV 5987/UNIT 5273</v>
      </c>
    </row>
    <row r="302" spans="1:10" x14ac:dyDescent="0.3">
      <c r="A302" t="str">
        <f>"01"</f>
        <v>01</v>
      </c>
      <c r="B302" t="str">
        <f>"004676"</f>
        <v>004676</v>
      </c>
      <c r="C302" t="s">
        <v>92</v>
      </c>
      <c r="D302">
        <v>71943</v>
      </c>
      <c r="E302" s="2">
        <v>575.34</v>
      </c>
      <c r="F302" s="1">
        <v>42961</v>
      </c>
      <c r="G302" t="str">
        <f>"201708094195"</f>
        <v>201708094195</v>
      </c>
      <c r="H302" t="str">
        <f>"VISITING JUDGE"</f>
        <v>VISITING JUDGE</v>
      </c>
      <c r="I302" s="2">
        <v>575.34</v>
      </c>
      <c r="J302" t="str">
        <f>"VISITING JUDGE"</f>
        <v>VISITING JUDGE</v>
      </c>
    </row>
    <row r="303" spans="1:10" x14ac:dyDescent="0.3">
      <c r="A303" t="str">
        <f>"01"</f>
        <v>01</v>
      </c>
      <c r="B303" t="str">
        <f>"004069"</f>
        <v>004069</v>
      </c>
      <c r="C303" t="s">
        <v>93</v>
      </c>
      <c r="D303">
        <v>71944</v>
      </c>
      <c r="E303" s="2">
        <v>144736.22</v>
      </c>
      <c r="F303" s="1">
        <v>42961</v>
      </c>
      <c r="G303" t="str">
        <f>"87806"</f>
        <v>87806</v>
      </c>
      <c r="H303" t="str">
        <f>"ACCT#1268/PCT#3"</f>
        <v>ACCT#1268/PCT#3</v>
      </c>
      <c r="I303" s="2">
        <v>121019.53</v>
      </c>
      <c r="J303" t="str">
        <f>"ACCT#1268/PCT#3"</f>
        <v>ACCT#1268/PCT#3</v>
      </c>
    </row>
    <row r="304" spans="1:10" x14ac:dyDescent="0.3">
      <c r="A304" t="str">
        <f>""</f>
        <v/>
      </c>
      <c r="B304" t="str">
        <f>""</f>
        <v/>
      </c>
      <c r="G304" t="str">
        <f>"87973"</f>
        <v>87973</v>
      </c>
      <c r="H304" t="str">
        <f>"ACCT#1268/PCT#3"</f>
        <v>ACCT#1268/PCT#3</v>
      </c>
      <c r="I304" s="2">
        <v>23716.69</v>
      </c>
      <c r="J304" t="str">
        <f>"ACCT#1268/PCT#3"</f>
        <v>ACCT#1268/PCT#3</v>
      </c>
    </row>
    <row r="305" spans="1:10" x14ac:dyDescent="0.3">
      <c r="A305" t="str">
        <f>"01"</f>
        <v>01</v>
      </c>
      <c r="B305" t="str">
        <f>"004069"</f>
        <v>004069</v>
      </c>
      <c r="C305" t="s">
        <v>93</v>
      </c>
      <c r="D305">
        <v>72208</v>
      </c>
      <c r="E305" s="2">
        <v>107135.76</v>
      </c>
      <c r="F305" s="1">
        <v>42976</v>
      </c>
      <c r="G305" t="str">
        <f>"87669"</f>
        <v>87669</v>
      </c>
      <c r="H305" t="str">
        <f>"ACCT#1268/PCT#3"</f>
        <v>ACCT#1268/PCT#3</v>
      </c>
      <c r="I305" s="2">
        <v>91230.71</v>
      </c>
      <c r="J305" t="str">
        <f>"ACCT#1268/PCT#3"</f>
        <v>ACCT#1268/PCT#3</v>
      </c>
    </row>
    <row r="306" spans="1:10" x14ac:dyDescent="0.3">
      <c r="A306" t="str">
        <f>""</f>
        <v/>
      </c>
      <c r="B306" t="str">
        <f>""</f>
        <v/>
      </c>
      <c r="G306" t="str">
        <f>"88132"</f>
        <v>88132</v>
      </c>
      <c r="H306" t="str">
        <f>"ACCT#1268/PCT#3"</f>
        <v>ACCT#1268/PCT#3</v>
      </c>
      <c r="I306" s="2">
        <v>15216.39</v>
      </c>
      <c r="J306" t="str">
        <f>"ACCT#1268/PCT#3"</f>
        <v>ACCT#1268/PCT#3</v>
      </c>
    </row>
    <row r="307" spans="1:10" x14ac:dyDescent="0.3">
      <c r="A307" t="str">
        <f>""</f>
        <v/>
      </c>
      <c r="B307" t="str">
        <f>""</f>
        <v/>
      </c>
      <c r="G307" t="str">
        <f>"88285"</f>
        <v>88285</v>
      </c>
      <c r="H307" t="str">
        <f>"ACCT#1268/PCT#3"</f>
        <v>ACCT#1268/PCT#3</v>
      </c>
      <c r="I307" s="2">
        <v>688.66</v>
      </c>
      <c r="J307" t="str">
        <f>"ACCT#1268/PCT#3"</f>
        <v>ACCT#1268/PCT#3</v>
      </c>
    </row>
    <row r="308" spans="1:10" x14ac:dyDescent="0.3">
      <c r="A308" t="str">
        <f>"01"</f>
        <v>01</v>
      </c>
      <c r="B308" t="str">
        <f>"004202"</f>
        <v>004202</v>
      </c>
      <c r="C308" t="s">
        <v>94</v>
      </c>
      <c r="D308">
        <v>71945</v>
      </c>
      <c r="E308" s="2">
        <v>941.85</v>
      </c>
      <c r="F308" s="1">
        <v>42961</v>
      </c>
      <c r="G308" t="str">
        <f>"201707253850"</f>
        <v>201707253850</v>
      </c>
      <c r="H308" t="str">
        <f>"TRAVEL ADVANCE REQUEST"</f>
        <v>TRAVEL ADVANCE REQUEST</v>
      </c>
      <c r="I308" s="2">
        <v>941.85</v>
      </c>
      <c r="J308" t="str">
        <f>"TRAVEL ADVANCE REQUEST"</f>
        <v>TRAVEL ADVANCE REQUEST</v>
      </c>
    </row>
    <row r="309" spans="1:10" x14ac:dyDescent="0.3">
      <c r="A309" t="str">
        <f>"01"</f>
        <v>01</v>
      </c>
      <c r="B309" t="str">
        <f>"003337"</f>
        <v>003337</v>
      </c>
      <c r="C309" t="s">
        <v>95</v>
      </c>
      <c r="D309">
        <v>71946</v>
      </c>
      <c r="E309" s="2">
        <v>8.65</v>
      </c>
      <c r="F309" s="1">
        <v>42961</v>
      </c>
      <c r="G309" t="str">
        <f>"605-198183"</f>
        <v>605-198183</v>
      </c>
      <c r="H309" t="str">
        <f>"REIMBURSEMENT"</f>
        <v>REIMBURSEMENT</v>
      </c>
      <c r="I309" s="2">
        <v>8.65</v>
      </c>
      <c r="J309" t="str">
        <f>"INV 605-198183"</f>
        <v>INV 605-198183</v>
      </c>
    </row>
    <row r="310" spans="1:10" x14ac:dyDescent="0.3">
      <c r="A310" t="str">
        <f>"01"</f>
        <v>01</v>
      </c>
      <c r="B310" t="str">
        <f>"003337"</f>
        <v>003337</v>
      </c>
      <c r="C310" t="s">
        <v>95</v>
      </c>
      <c r="D310">
        <v>72209</v>
      </c>
      <c r="E310" s="2">
        <v>16.649999999999999</v>
      </c>
      <c r="F310" s="1">
        <v>42976</v>
      </c>
      <c r="G310" t="str">
        <f>"REIMBURSEMENT"</f>
        <v>REIMBURSEMENT</v>
      </c>
      <c r="H310" t="str">
        <f>"REIMBURSEMENT"</f>
        <v>REIMBURSEMENT</v>
      </c>
      <c r="I310" s="2">
        <v>16.649999999999999</v>
      </c>
      <c r="J310" t="str">
        <f>"REIMBURSEMENT"</f>
        <v>REIMBURSEMENT</v>
      </c>
    </row>
    <row r="311" spans="1:10" x14ac:dyDescent="0.3">
      <c r="A311" t="str">
        <f>"01"</f>
        <v>01</v>
      </c>
      <c r="B311" t="str">
        <f>"T9216"</f>
        <v>T9216</v>
      </c>
      <c r="C311" t="s">
        <v>96</v>
      </c>
      <c r="D311">
        <v>71947</v>
      </c>
      <c r="E311" s="2">
        <v>1125</v>
      </c>
      <c r="F311" s="1">
        <v>42961</v>
      </c>
      <c r="G311" t="str">
        <f>"201708094211"</f>
        <v>201708094211</v>
      </c>
      <c r="H311" t="str">
        <f>"54 707"</f>
        <v>54 707</v>
      </c>
      <c r="I311" s="2">
        <v>250</v>
      </c>
      <c r="J311" t="str">
        <f>"54 707"</f>
        <v>54 707</v>
      </c>
    </row>
    <row r="312" spans="1:10" x14ac:dyDescent="0.3">
      <c r="A312" t="str">
        <f>""</f>
        <v/>
      </c>
      <c r="B312" t="str">
        <f>""</f>
        <v/>
      </c>
      <c r="G312" t="str">
        <f>"201708094212"</f>
        <v>201708094212</v>
      </c>
      <c r="H312" t="str">
        <f>"55 399"</f>
        <v>55 399</v>
      </c>
      <c r="I312" s="2">
        <v>250</v>
      </c>
      <c r="J312" t="str">
        <f>"55 399"</f>
        <v>55 399</v>
      </c>
    </row>
    <row r="313" spans="1:10" x14ac:dyDescent="0.3">
      <c r="A313" t="str">
        <f>""</f>
        <v/>
      </c>
      <c r="B313" t="str">
        <f>""</f>
        <v/>
      </c>
      <c r="G313" t="str">
        <f>"201708094213"</f>
        <v>201708094213</v>
      </c>
      <c r="H313" t="str">
        <f>"54 532  54 939"</f>
        <v>54 532  54 939</v>
      </c>
      <c r="I313" s="2">
        <v>375</v>
      </c>
      <c r="J313" t="str">
        <f>"54 532  54 939"</f>
        <v>54 532  54 939</v>
      </c>
    </row>
    <row r="314" spans="1:10" x14ac:dyDescent="0.3">
      <c r="A314" t="str">
        <f>""</f>
        <v/>
      </c>
      <c r="B314" t="str">
        <f>""</f>
        <v/>
      </c>
      <c r="G314" t="str">
        <f>"201708094214"</f>
        <v>201708094214</v>
      </c>
      <c r="H314" t="str">
        <f>"55 171"</f>
        <v>55 171</v>
      </c>
      <c r="I314" s="2">
        <v>250</v>
      </c>
      <c r="J314" t="str">
        <f>"55 171"</f>
        <v>55 171</v>
      </c>
    </row>
    <row r="315" spans="1:10" x14ac:dyDescent="0.3">
      <c r="A315" t="str">
        <f>"01"</f>
        <v>01</v>
      </c>
      <c r="B315" t="str">
        <f>"T9216"</f>
        <v>T9216</v>
      </c>
      <c r="C315" t="s">
        <v>96</v>
      </c>
      <c r="D315">
        <v>72210</v>
      </c>
      <c r="E315" s="2">
        <v>1000</v>
      </c>
      <c r="F315" s="1">
        <v>42976</v>
      </c>
      <c r="G315" t="str">
        <f>"201708234422"</f>
        <v>201708234422</v>
      </c>
      <c r="H315" t="str">
        <f>"54 716"</f>
        <v>54 716</v>
      </c>
      <c r="I315" s="2">
        <v>250</v>
      </c>
      <c r="J315" t="str">
        <f>"54 716"</f>
        <v>54 716</v>
      </c>
    </row>
    <row r="316" spans="1:10" x14ac:dyDescent="0.3">
      <c r="A316" t="str">
        <f>""</f>
        <v/>
      </c>
      <c r="B316" t="str">
        <f>""</f>
        <v/>
      </c>
      <c r="G316" t="str">
        <f>"201708234423"</f>
        <v>201708234423</v>
      </c>
      <c r="H316" t="str">
        <f>"55 400"</f>
        <v>55 400</v>
      </c>
      <c r="I316" s="2">
        <v>250</v>
      </c>
      <c r="J316" t="str">
        <f>"55 400"</f>
        <v>55 400</v>
      </c>
    </row>
    <row r="317" spans="1:10" x14ac:dyDescent="0.3">
      <c r="A317" t="str">
        <f>""</f>
        <v/>
      </c>
      <c r="B317" t="str">
        <f>""</f>
        <v/>
      </c>
      <c r="G317" t="str">
        <f>"201708234424"</f>
        <v>201708234424</v>
      </c>
      <c r="H317" t="str">
        <f>"54 614"</f>
        <v>54 614</v>
      </c>
      <c r="I317" s="2">
        <v>250</v>
      </c>
      <c r="J317" t="str">
        <f>"54 614"</f>
        <v>54 614</v>
      </c>
    </row>
    <row r="318" spans="1:10" x14ac:dyDescent="0.3">
      <c r="A318" t="str">
        <f>""</f>
        <v/>
      </c>
      <c r="B318" t="str">
        <f>""</f>
        <v/>
      </c>
      <c r="G318" t="str">
        <f>"201708234425"</f>
        <v>201708234425</v>
      </c>
      <c r="H318" t="str">
        <f>"55 299"</f>
        <v>55 299</v>
      </c>
      <c r="I318" s="2">
        <v>250</v>
      </c>
      <c r="J318" t="str">
        <f>"55 299"</f>
        <v>55 299</v>
      </c>
    </row>
    <row r="319" spans="1:10" x14ac:dyDescent="0.3">
      <c r="A319" t="str">
        <f>"01"</f>
        <v>01</v>
      </c>
      <c r="B319" t="str">
        <f>"005170"</f>
        <v>005170</v>
      </c>
      <c r="C319" t="s">
        <v>97</v>
      </c>
      <c r="D319">
        <v>71948</v>
      </c>
      <c r="E319" s="2">
        <v>4350</v>
      </c>
      <c r="F319" s="1">
        <v>42961</v>
      </c>
      <c r="G319" t="str">
        <f>"201708023993"</f>
        <v>201708023993</v>
      </c>
      <c r="H319" t="str">
        <f>"TREE REMOVAL/PCT#2"</f>
        <v>TREE REMOVAL/PCT#2</v>
      </c>
      <c r="I319" s="2">
        <v>4350</v>
      </c>
      <c r="J319" t="str">
        <f>"TREE REMOVAL/PCT#2"</f>
        <v>TREE REMOVAL/PCT#2</v>
      </c>
    </row>
    <row r="320" spans="1:10" x14ac:dyDescent="0.3">
      <c r="A320" t="str">
        <f>"01"</f>
        <v>01</v>
      </c>
      <c r="B320" t="str">
        <f>"000205"</f>
        <v>000205</v>
      </c>
      <c r="C320" t="s">
        <v>98</v>
      </c>
      <c r="D320">
        <v>72211</v>
      </c>
      <c r="E320" s="2">
        <v>55.5</v>
      </c>
      <c r="F320" s="1">
        <v>42976</v>
      </c>
      <c r="G320" t="str">
        <f>"154941"</f>
        <v>154941</v>
      </c>
      <c r="H320" t="str">
        <f>"CUST#1190073"</f>
        <v>CUST#1190073</v>
      </c>
      <c r="I320" s="2">
        <v>55.5</v>
      </c>
      <c r="J320" t="str">
        <f>"CUST#1190073"</f>
        <v>CUST#1190073</v>
      </c>
    </row>
    <row r="321" spans="1:10" x14ac:dyDescent="0.3">
      <c r="A321" t="str">
        <f>"01"</f>
        <v>01</v>
      </c>
      <c r="B321" t="str">
        <f>"002356"</f>
        <v>002356</v>
      </c>
      <c r="C321" t="s">
        <v>99</v>
      </c>
      <c r="D321">
        <v>71949</v>
      </c>
      <c r="E321" s="2">
        <v>30</v>
      </c>
      <c r="F321" s="1">
        <v>42961</v>
      </c>
      <c r="G321" t="str">
        <f>"17-18521"</f>
        <v>17-18521</v>
      </c>
      <c r="H321" t="str">
        <f>"CENTRAL ADOPT REG FUND"</f>
        <v>CENTRAL ADOPT REG FUND</v>
      </c>
      <c r="I321" s="2">
        <v>15</v>
      </c>
      <c r="J321" t="str">
        <f>"CENTRAL ADOPT REG FUND"</f>
        <v>CENTRAL ADOPT REG FUND</v>
      </c>
    </row>
    <row r="322" spans="1:10" x14ac:dyDescent="0.3">
      <c r="A322" t="str">
        <f>""</f>
        <v/>
      </c>
      <c r="B322" t="str">
        <f>""</f>
        <v/>
      </c>
      <c r="G322" t="str">
        <f>"423-5123"</f>
        <v>423-5123</v>
      </c>
      <c r="H322" t="str">
        <f>"CENTRAL ADOPTION REG FUND-7/20"</f>
        <v>CENTRAL ADOPTION REG FUND-7/20</v>
      </c>
      <c r="I322" s="2">
        <v>15</v>
      </c>
      <c r="J322" t="str">
        <f>"CENTRAL ADOPTION REG FUND-7/20"</f>
        <v>CENTRAL ADOPTION REG FUND-7/20</v>
      </c>
    </row>
    <row r="323" spans="1:10" x14ac:dyDescent="0.3">
      <c r="A323" t="str">
        <f>"01"</f>
        <v>01</v>
      </c>
      <c r="B323" t="str">
        <f>"002356"</f>
        <v>002356</v>
      </c>
      <c r="C323" t="s">
        <v>99</v>
      </c>
      <c r="D323">
        <v>72212</v>
      </c>
      <c r="E323" s="2">
        <v>15</v>
      </c>
      <c r="F323" s="1">
        <v>42976</v>
      </c>
      <c r="G323" t="str">
        <f>"201708214305"</f>
        <v>201708214305</v>
      </c>
      <c r="H323" t="str">
        <f>"423-5182 CEN. ADOPT. REG.FUND"</f>
        <v>423-5182 CEN. ADOPT. REG.FUND</v>
      </c>
      <c r="I323" s="2">
        <v>15</v>
      </c>
      <c r="J323" t="str">
        <f>"CENTRAL ADOPT. REG.FUND"</f>
        <v>CENTRAL ADOPT. REG.FUND</v>
      </c>
    </row>
    <row r="324" spans="1:10" x14ac:dyDescent="0.3">
      <c r="A324" t="str">
        <f>"01"</f>
        <v>01</v>
      </c>
      <c r="B324" t="str">
        <f>"CPC"</f>
        <v>CPC</v>
      </c>
      <c r="C324" t="s">
        <v>100</v>
      </c>
      <c r="D324">
        <v>72213</v>
      </c>
      <c r="E324" s="2">
        <v>226.63</v>
      </c>
      <c r="F324" s="1">
        <v>42976</v>
      </c>
      <c r="G324" t="str">
        <f>"0341670-IN"</f>
        <v>0341670-IN</v>
      </c>
      <c r="H324" t="str">
        <f>"CUST#7860203"</f>
        <v>CUST#7860203</v>
      </c>
      <c r="I324" s="2">
        <v>226.63</v>
      </c>
      <c r="J324" t="str">
        <f>"CUST#7860203"</f>
        <v>CUST#7860203</v>
      </c>
    </row>
    <row r="325" spans="1:10" x14ac:dyDescent="0.3">
      <c r="A325" t="str">
        <f>"01"</f>
        <v>01</v>
      </c>
      <c r="B325" t="str">
        <f>"T1595"</f>
        <v>T1595</v>
      </c>
      <c r="C325" t="s">
        <v>101</v>
      </c>
      <c r="D325">
        <v>71950</v>
      </c>
      <c r="E325" s="2">
        <v>104.78</v>
      </c>
      <c r="F325" s="1">
        <v>42961</v>
      </c>
      <c r="G325" t="str">
        <f>"201707253851"</f>
        <v>201707253851</v>
      </c>
      <c r="H325" t="str">
        <f>"INDIGENT HEALTH-R. JEFFERSON"</f>
        <v>INDIGENT HEALTH-R. JEFFERSON</v>
      </c>
      <c r="I325" s="2">
        <v>104.78</v>
      </c>
      <c r="J325" t="str">
        <f>"INDIGENT HEALTH-R. JEFFERSON"</f>
        <v>INDIGENT HEALTH-R. JEFFERSON</v>
      </c>
    </row>
    <row r="326" spans="1:10" x14ac:dyDescent="0.3">
      <c r="A326" t="str">
        <f>"01"</f>
        <v>01</v>
      </c>
      <c r="B326" t="str">
        <f>"CBOA"</f>
        <v>CBOA</v>
      </c>
      <c r="C326" t="s">
        <v>102</v>
      </c>
      <c r="D326">
        <v>72214</v>
      </c>
      <c r="E326" s="2">
        <v>15.51</v>
      </c>
      <c r="F326" s="1">
        <v>42976</v>
      </c>
      <c r="G326" t="str">
        <f>"1601987"</f>
        <v>1601987</v>
      </c>
      <c r="H326" t="str">
        <f>"CUST#000690/ORD#01350367/PCT#4"</f>
        <v>CUST#000690/ORD#01350367/PCT#4</v>
      </c>
      <c r="I326" s="2">
        <v>15.51</v>
      </c>
      <c r="J326" t="str">
        <f>"CUST#000690/ORD#01350367/PCT#4"</f>
        <v>CUST#000690/ORD#01350367/PCT#4</v>
      </c>
    </row>
    <row r="327" spans="1:10" x14ac:dyDescent="0.3">
      <c r="A327" t="str">
        <f>"01"</f>
        <v>01</v>
      </c>
      <c r="B327" t="str">
        <f>"CBOA"</f>
        <v>CBOA</v>
      </c>
      <c r="C327" t="s">
        <v>102</v>
      </c>
      <c r="D327">
        <v>999999</v>
      </c>
      <c r="E327" s="2">
        <v>497.15</v>
      </c>
      <c r="F327" s="1">
        <v>42961</v>
      </c>
      <c r="G327" t="str">
        <f>"1601459"</f>
        <v>1601459</v>
      </c>
      <c r="H327" t="str">
        <f>"ACCT#000690/ORD#01350038/PCT#2"</f>
        <v>ACCT#000690/ORD#01350038/PCT#2</v>
      </c>
      <c r="I327" s="2">
        <v>295.39</v>
      </c>
      <c r="J327" t="str">
        <f>"ACCT#000690/ORD#01350038/PCT#2"</f>
        <v>ACCT#000690/ORD#01350038/PCT#2</v>
      </c>
    </row>
    <row r="328" spans="1:10" x14ac:dyDescent="0.3">
      <c r="A328" t="str">
        <f>""</f>
        <v/>
      </c>
      <c r="B328" t="str">
        <f>""</f>
        <v/>
      </c>
      <c r="G328" t="str">
        <f>"1601728"</f>
        <v>1601728</v>
      </c>
      <c r="H328" t="str">
        <f>"ORD#01350367/PCT#4"</f>
        <v>ORD#01350367/PCT#4</v>
      </c>
      <c r="I328" s="2">
        <v>22.19</v>
      </c>
      <c r="J328" t="str">
        <f>"ORD#01350367/PCT#4"</f>
        <v>ORD#01350367/PCT#4</v>
      </c>
    </row>
    <row r="329" spans="1:10" x14ac:dyDescent="0.3">
      <c r="A329" t="str">
        <f>""</f>
        <v/>
      </c>
      <c r="B329" t="str">
        <f>""</f>
        <v/>
      </c>
      <c r="G329" t="str">
        <f>"495455"</f>
        <v>495455</v>
      </c>
      <c r="H329" t="str">
        <f>"ACCT#000690/ORD#00414903/PCT2"</f>
        <v>ACCT#000690/ORD#00414903/PCT2</v>
      </c>
      <c r="I329" s="2">
        <v>179.57</v>
      </c>
      <c r="J329" t="str">
        <f>"ACCT#000690/ORD#00414903/PCT2"</f>
        <v>ACCT#000690/ORD#00414903/PCT2</v>
      </c>
    </row>
    <row r="330" spans="1:10" x14ac:dyDescent="0.3">
      <c r="A330" t="str">
        <f>"01"</f>
        <v>01</v>
      </c>
      <c r="B330" t="str">
        <f>"002726"</f>
        <v>002726</v>
      </c>
      <c r="C330" t="s">
        <v>103</v>
      </c>
      <c r="D330">
        <v>0</v>
      </c>
      <c r="E330" s="2">
        <v>5155.47</v>
      </c>
      <c r="F330" s="1">
        <v>42961</v>
      </c>
      <c r="G330" t="str">
        <f>"CREDIT CARD"</f>
        <v>CREDIT CARD</v>
      </c>
      <c r="H330" t="str">
        <f>"6.22.17 to 7.21.17"</f>
        <v>6.22.17 to 7.21.17</v>
      </c>
      <c r="I330" s="2">
        <v>5155.47</v>
      </c>
      <c r="J330" t="str">
        <f>"Lux-Kevin Unger"</f>
        <v>Lux-Kevin Unger</v>
      </c>
    </row>
    <row r="331" spans="1:10" x14ac:dyDescent="0.3">
      <c r="A331" t="str">
        <f>""</f>
        <v/>
      </c>
      <c r="B331" t="str">
        <f>""</f>
        <v/>
      </c>
      <c r="G331" t="str">
        <f>""</f>
        <v/>
      </c>
      <c r="H331" t="str">
        <f>""</f>
        <v/>
      </c>
      <c r="J331" t="str">
        <f>"Lux-Rodger K."</f>
        <v>Lux-Rodger K.</v>
      </c>
    </row>
    <row r="332" spans="1:10" x14ac:dyDescent="0.3">
      <c r="A332" t="str">
        <f>""</f>
        <v/>
      </c>
      <c r="B332" t="str">
        <f>""</f>
        <v/>
      </c>
      <c r="G332" t="str">
        <f>""</f>
        <v/>
      </c>
      <c r="H332" t="str">
        <f>""</f>
        <v/>
      </c>
      <c r="J332" t="str">
        <f>"TxTag-General Servic"</f>
        <v>TxTag-General Servic</v>
      </c>
    </row>
    <row r="333" spans="1:10" x14ac:dyDescent="0.3">
      <c r="A333" t="str">
        <f>""</f>
        <v/>
      </c>
      <c r="B333" t="str">
        <f>""</f>
        <v/>
      </c>
      <c r="G333" t="str">
        <f>""</f>
        <v/>
      </c>
      <c r="H333" t="str">
        <f>""</f>
        <v/>
      </c>
      <c r="J333" t="str">
        <f>"Amazon"</f>
        <v>Amazon</v>
      </c>
    </row>
    <row r="334" spans="1:10" x14ac:dyDescent="0.3">
      <c r="A334" t="str">
        <f>""</f>
        <v/>
      </c>
      <c r="B334" t="str">
        <f>""</f>
        <v/>
      </c>
      <c r="G334" t="str">
        <f>""</f>
        <v/>
      </c>
      <c r="H334" t="str">
        <f>""</f>
        <v/>
      </c>
      <c r="J334" t="str">
        <f>"Amazon-Camera"</f>
        <v>Amazon-Camera</v>
      </c>
    </row>
    <row r="335" spans="1:10" x14ac:dyDescent="0.3">
      <c r="A335" t="str">
        <f>""</f>
        <v/>
      </c>
      <c r="B335" t="str">
        <f>""</f>
        <v/>
      </c>
      <c r="G335" t="str">
        <f>""</f>
        <v/>
      </c>
      <c r="H335" t="str">
        <f>""</f>
        <v/>
      </c>
      <c r="J335" t="str">
        <f>"Amazon-Camera"</f>
        <v>Amazon-Camera</v>
      </c>
    </row>
    <row r="336" spans="1:10" x14ac:dyDescent="0.3">
      <c r="A336" t="str">
        <f>""</f>
        <v/>
      </c>
      <c r="B336" t="str">
        <f>""</f>
        <v/>
      </c>
      <c r="G336" t="str">
        <f>""</f>
        <v/>
      </c>
      <c r="H336" t="str">
        <f>""</f>
        <v/>
      </c>
      <c r="J336" t="str">
        <f>"Rosanna Garza"</f>
        <v>Rosanna Garza</v>
      </c>
    </row>
    <row r="337" spans="1:10" x14ac:dyDescent="0.3">
      <c r="A337" t="str">
        <f>""</f>
        <v/>
      </c>
      <c r="B337" t="str">
        <f>""</f>
        <v/>
      </c>
      <c r="G337" t="str">
        <f>""</f>
        <v/>
      </c>
      <c r="H337" t="str">
        <f>""</f>
        <v/>
      </c>
      <c r="J337" t="str">
        <f>"Robert Bennett"</f>
        <v>Robert Bennett</v>
      </c>
    </row>
    <row r="338" spans="1:10" x14ac:dyDescent="0.3">
      <c r="A338" t="str">
        <f>""</f>
        <v/>
      </c>
      <c r="B338" t="str">
        <f>""</f>
        <v/>
      </c>
      <c r="G338" t="str">
        <f>""</f>
        <v/>
      </c>
      <c r="H338" t="str">
        <f>""</f>
        <v/>
      </c>
      <c r="J338" t="str">
        <f>"Annette Murley"</f>
        <v>Annette Murley</v>
      </c>
    </row>
    <row r="339" spans="1:10" x14ac:dyDescent="0.3">
      <c r="A339" t="str">
        <f>""</f>
        <v/>
      </c>
      <c r="B339" t="str">
        <f>""</f>
        <v/>
      </c>
      <c r="G339" t="str">
        <f>""</f>
        <v/>
      </c>
      <c r="H339" t="str">
        <f>""</f>
        <v/>
      </c>
      <c r="J339" t="str">
        <f>"Charles Admas"</f>
        <v>Charles Admas</v>
      </c>
    </row>
    <row r="340" spans="1:10" x14ac:dyDescent="0.3">
      <c r="A340" t="str">
        <f>""</f>
        <v/>
      </c>
      <c r="B340" t="str">
        <f>""</f>
        <v/>
      </c>
      <c r="G340" t="str">
        <f>""</f>
        <v/>
      </c>
      <c r="H340" t="str">
        <f>""</f>
        <v/>
      </c>
      <c r="J340" t="str">
        <f>"Erika DeJesus"</f>
        <v>Erika DeJesus</v>
      </c>
    </row>
    <row r="341" spans="1:10" x14ac:dyDescent="0.3">
      <c r="A341" t="str">
        <f>""</f>
        <v/>
      </c>
      <c r="B341" t="str">
        <f>""</f>
        <v/>
      </c>
      <c r="G341" t="str">
        <f>""</f>
        <v/>
      </c>
      <c r="H341" t="str">
        <f>""</f>
        <v/>
      </c>
      <c r="J341" t="str">
        <f>"Kenneth Leatherwood"</f>
        <v>Kenneth Leatherwood</v>
      </c>
    </row>
    <row r="342" spans="1:10" x14ac:dyDescent="0.3">
      <c r="A342" t="str">
        <f>""</f>
        <v/>
      </c>
      <c r="B342" t="str">
        <f>""</f>
        <v/>
      </c>
      <c r="G342" t="str">
        <f>""</f>
        <v/>
      </c>
      <c r="H342" t="str">
        <f>""</f>
        <v/>
      </c>
      <c r="J342" t="str">
        <f>"Sears"</f>
        <v>Sears</v>
      </c>
    </row>
    <row r="343" spans="1:10" x14ac:dyDescent="0.3">
      <c r="A343" t="str">
        <f>""</f>
        <v/>
      </c>
      <c r="B343" t="str">
        <f>""</f>
        <v/>
      </c>
      <c r="G343" t="str">
        <f>""</f>
        <v/>
      </c>
      <c r="H343" t="str">
        <f>""</f>
        <v/>
      </c>
      <c r="J343" t="str">
        <f>"TVMDL"</f>
        <v>TVMDL</v>
      </c>
    </row>
    <row r="344" spans="1:10" x14ac:dyDescent="0.3">
      <c r="A344" t="str">
        <f>""</f>
        <v/>
      </c>
      <c r="B344" t="str">
        <f>""</f>
        <v/>
      </c>
      <c r="G344" t="str">
        <f>""</f>
        <v/>
      </c>
      <c r="H344" t="str">
        <f>""</f>
        <v/>
      </c>
      <c r="J344" t="str">
        <f>"TxTag-Pct2"</f>
        <v>TxTag-Pct2</v>
      </c>
    </row>
    <row r="345" spans="1:10" x14ac:dyDescent="0.3">
      <c r="A345" t="str">
        <f>""</f>
        <v/>
      </c>
      <c r="B345" t="str">
        <f>""</f>
        <v/>
      </c>
      <c r="G345" t="str">
        <f>""</f>
        <v/>
      </c>
      <c r="H345" t="str">
        <f>""</f>
        <v/>
      </c>
      <c r="J345" t="str">
        <f>"TxTag-PCT3"</f>
        <v>TxTag-PCT3</v>
      </c>
    </row>
    <row r="346" spans="1:10" x14ac:dyDescent="0.3">
      <c r="A346" t="str">
        <f>""</f>
        <v/>
      </c>
      <c r="B346" t="str">
        <f>""</f>
        <v/>
      </c>
      <c r="G346" t="str">
        <f>""</f>
        <v/>
      </c>
      <c r="H346" t="str">
        <f>""</f>
        <v/>
      </c>
      <c r="J346" t="str">
        <f>"Amazon-Lockers"</f>
        <v>Amazon-Lockers</v>
      </c>
    </row>
    <row r="347" spans="1:10" x14ac:dyDescent="0.3">
      <c r="A347" t="str">
        <f>""</f>
        <v/>
      </c>
      <c r="B347" t="str">
        <f>""</f>
        <v/>
      </c>
      <c r="G347" t="str">
        <f>""</f>
        <v/>
      </c>
      <c r="H347" t="str">
        <f>""</f>
        <v/>
      </c>
      <c r="J347" t="str">
        <f>"TXTag-Pct4"</f>
        <v>TXTag-Pct4</v>
      </c>
    </row>
    <row r="348" spans="1:10" x14ac:dyDescent="0.3">
      <c r="A348" t="str">
        <f>"01"</f>
        <v>01</v>
      </c>
      <c r="B348" t="str">
        <f>"002726"</f>
        <v>002726</v>
      </c>
      <c r="C348" t="s">
        <v>103</v>
      </c>
      <c r="D348">
        <v>0</v>
      </c>
      <c r="E348" s="2">
        <v>4179.88</v>
      </c>
      <c r="F348" s="1">
        <v>42975</v>
      </c>
      <c r="G348" t="str">
        <f>"ACCT#0058 8/22/17"</f>
        <v>ACCT#0058 8/22/17</v>
      </c>
      <c r="H348" t="str">
        <f>"Stmt: 7.22.17 to 8.22.17"</f>
        <v>Stmt: 7.22.17 to 8.22.17</v>
      </c>
      <c r="I348" s="2">
        <v>4179.88</v>
      </c>
      <c r="J348" t="str">
        <f>"WhenIWork"</f>
        <v>WhenIWork</v>
      </c>
    </row>
    <row r="349" spans="1:10" x14ac:dyDescent="0.3">
      <c r="A349" t="str">
        <f>""</f>
        <v/>
      </c>
      <c r="B349" t="str">
        <f>""</f>
        <v/>
      </c>
      <c r="G349" t="str">
        <f>""</f>
        <v/>
      </c>
      <c r="H349" t="str">
        <f>""</f>
        <v/>
      </c>
      <c r="J349" t="str">
        <f>"NorthPark"</f>
        <v>NorthPark</v>
      </c>
    </row>
    <row r="350" spans="1:10" x14ac:dyDescent="0.3">
      <c r="A350" t="str">
        <f>""</f>
        <v/>
      </c>
      <c r="B350" t="str">
        <f>""</f>
        <v/>
      </c>
      <c r="G350" t="str">
        <f>""</f>
        <v/>
      </c>
      <c r="H350" t="str">
        <f>""</f>
        <v/>
      </c>
      <c r="J350" t="str">
        <f>"Larry Wunch"</f>
        <v>Larry Wunch</v>
      </c>
    </row>
    <row r="351" spans="1:10" x14ac:dyDescent="0.3">
      <c r="A351" t="str">
        <f>""</f>
        <v/>
      </c>
      <c r="B351" t="str">
        <f>""</f>
        <v/>
      </c>
      <c r="G351" t="str">
        <f>""</f>
        <v/>
      </c>
      <c r="H351" t="str">
        <f>""</f>
        <v/>
      </c>
      <c r="J351" t="str">
        <f>"Reeders"</f>
        <v>Reeders</v>
      </c>
    </row>
    <row r="352" spans="1:10" x14ac:dyDescent="0.3">
      <c r="A352" t="str">
        <f>""</f>
        <v/>
      </c>
      <c r="B352" t="str">
        <f>""</f>
        <v/>
      </c>
      <c r="G352" t="str">
        <f>""</f>
        <v/>
      </c>
      <c r="H352" t="str">
        <f>""</f>
        <v/>
      </c>
      <c r="J352" t="str">
        <f>"Rosanna Garza"</f>
        <v>Rosanna Garza</v>
      </c>
    </row>
    <row r="353" spans="1:10" x14ac:dyDescent="0.3">
      <c r="A353" t="str">
        <f>""</f>
        <v/>
      </c>
      <c r="B353" t="str">
        <f>""</f>
        <v/>
      </c>
      <c r="G353" t="str">
        <f>""</f>
        <v/>
      </c>
      <c r="H353" t="str">
        <f>""</f>
        <v/>
      </c>
      <c r="J353" t="str">
        <f>"Robert Bennet"</f>
        <v>Robert Bennet</v>
      </c>
    </row>
    <row r="354" spans="1:10" x14ac:dyDescent="0.3">
      <c r="A354" t="str">
        <f>""</f>
        <v/>
      </c>
      <c r="B354" t="str">
        <f>""</f>
        <v/>
      </c>
      <c r="G354" t="str">
        <f>""</f>
        <v/>
      </c>
      <c r="H354" t="str">
        <f>""</f>
        <v/>
      </c>
      <c r="J354" t="str">
        <f>"Annette Murley"</f>
        <v>Annette Murley</v>
      </c>
    </row>
    <row r="355" spans="1:10" x14ac:dyDescent="0.3">
      <c r="A355" t="str">
        <f>""</f>
        <v/>
      </c>
      <c r="B355" t="str">
        <f>""</f>
        <v/>
      </c>
      <c r="G355" t="str">
        <f>""</f>
        <v/>
      </c>
      <c r="H355" t="str">
        <f>""</f>
        <v/>
      </c>
      <c r="J355" t="str">
        <f>"Erika Dejesus"</f>
        <v>Erika Dejesus</v>
      </c>
    </row>
    <row r="356" spans="1:10" x14ac:dyDescent="0.3">
      <c r="A356" t="str">
        <f>""</f>
        <v/>
      </c>
      <c r="B356" t="str">
        <f>""</f>
        <v/>
      </c>
      <c r="G356" t="str">
        <f>""</f>
        <v/>
      </c>
      <c r="H356" t="str">
        <f>""</f>
        <v/>
      </c>
      <c r="J356" t="str">
        <f>"Kenneth Leatherwood"</f>
        <v>Kenneth Leatherwood</v>
      </c>
    </row>
    <row r="357" spans="1:10" x14ac:dyDescent="0.3">
      <c r="A357" t="str">
        <f>""</f>
        <v/>
      </c>
      <c r="B357" t="str">
        <f>""</f>
        <v/>
      </c>
      <c r="G357" t="str">
        <f>""</f>
        <v/>
      </c>
      <c r="H357" t="str">
        <f>""</f>
        <v/>
      </c>
      <c r="J357" t="str">
        <f>"HObby Lobby"</f>
        <v>HObby Lobby</v>
      </c>
    </row>
    <row r="358" spans="1:10" x14ac:dyDescent="0.3">
      <c r="A358" t="str">
        <f>""</f>
        <v/>
      </c>
      <c r="B358" t="str">
        <f>""</f>
        <v/>
      </c>
      <c r="G358" t="str">
        <f>""</f>
        <v/>
      </c>
      <c r="H358" t="str">
        <f>""</f>
        <v/>
      </c>
      <c r="J358" t="str">
        <f>"Aramark"</f>
        <v>Aramark</v>
      </c>
    </row>
    <row r="359" spans="1:10" x14ac:dyDescent="0.3">
      <c r="A359" t="str">
        <f>""</f>
        <v/>
      </c>
      <c r="B359" t="str">
        <f>""</f>
        <v/>
      </c>
      <c r="G359" t="str">
        <f>""</f>
        <v/>
      </c>
      <c r="H359" t="str">
        <f>""</f>
        <v/>
      </c>
      <c r="J359" t="str">
        <f>"Amarak"</f>
        <v>Amarak</v>
      </c>
    </row>
    <row r="360" spans="1:10" x14ac:dyDescent="0.3">
      <c r="A360" t="str">
        <f>""</f>
        <v/>
      </c>
      <c r="B360" t="str">
        <f>""</f>
        <v/>
      </c>
      <c r="G360" t="str">
        <f>""</f>
        <v/>
      </c>
      <c r="H360" t="str">
        <f>""</f>
        <v/>
      </c>
      <c r="J360" t="str">
        <f>"Walmart"</f>
        <v>Walmart</v>
      </c>
    </row>
    <row r="361" spans="1:10" x14ac:dyDescent="0.3">
      <c r="A361" t="str">
        <f>"01"</f>
        <v>01</v>
      </c>
      <c r="B361" t="str">
        <f>"CARD"</f>
        <v>CARD</v>
      </c>
      <c r="C361" t="s">
        <v>103</v>
      </c>
      <c r="D361">
        <v>0</v>
      </c>
      <c r="E361" s="2">
        <v>1474.15</v>
      </c>
      <c r="F361" s="1">
        <v>42961</v>
      </c>
      <c r="G361" t="str">
        <f>"STATEMENT 7/23/17"</f>
        <v>STATEMENT 7/23/17</v>
      </c>
      <c r="H361" t="str">
        <f>"STATEMENT 0574"</f>
        <v>STATEMENT 0574</v>
      </c>
      <c r="I361" s="2">
        <v>1474.15</v>
      </c>
      <c r="J361" t="str">
        <f>"BAKERSFIELD EXXON"</f>
        <v>BAKERSFIELD EXXON</v>
      </c>
    </row>
    <row r="362" spans="1:10" x14ac:dyDescent="0.3">
      <c r="A362" t="str">
        <f>""</f>
        <v/>
      </c>
      <c r="B362" t="str">
        <f>""</f>
        <v/>
      </c>
      <c r="G362" t="str">
        <f>""</f>
        <v/>
      </c>
      <c r="H362" t="str">
        <f>""</f>
        <v/>
      </c>
      <c r="J362" t="str">
        <f>"FINANCE CHG CREDIT"</f>
        <v>FINANCE CHG CREDIT</v>
      </c>
    </row>
    <row r="363" spans="1:10" x14ac:dyDescent="0.3">
      <c r="A363" t="str">
        <f>""</f>
        <v/>
      </c>
      <c r="B363" t="str">
        <f>""</f>
        <v/>
      </c>
      <c r="G363" t="str">
        <f>""</f>
        <v/>
      </c>
      <c r="H363" t="str">
        <f>""</f>
        <v/>
      </c>
      <c r="J363" t="str">
        <f>"LATE FEE CREDIT"</f>
        <v>LATE FEE CREDIT</v>
      </c>
    </row>
    <row r="364" spans="1:10" x14ac:dyDescent="0.3">
      <c r="A364" t="str">
        <f>""</f>
        <v/>
      </c>
      <c r="B364" t="str">
        <f>""</f>
        <v/>
      </c>
      <c r="G364" t="str">
        <f>""</f>
        <v/>
      </c>
      <c r="H364" t="str">
        <f>""</f>
        <v/>
      </c>
      <c r="J364" t="str">
        <f>"FINANCE CHRG CREDIT"</f>
        <v>FINANCE CHRG CREDIT</v>
      </c>
    </row>
    <row r="365" spans="1:10" x14ac:dyDescent="0.3">
      <c r="A365" t="str">
        <f>""</f>
        <v/>
      </c>
      <c r="B365" t="str">
        <f>""</f>
        <v/>
      </c>
      <c r="G365" t="str">
        <f>""</f>
        <v/>
      </c>
      <c r="H365" t="str">
        <f>""</f>
        <v/>
      </c>
      <c r="J365" t="str">
        <f>"ACADEMY - BINOCULARS"</f>
        <v>ACADEMY - BINOCULARS</v>
      </c>
    </row>
    <row r="366" spans="1:10" x14ac:dyDescent="0.3">
      <c r="A366" t="str">
        <f>""</f>
        <v/>
      </c>
      <c r="B366" t="str">
        <f>""</f>
        <v/>
      </c>
      <c r="G366" t="str">
        <f>""</f>
        <v/>
      </c>
      <c r="H366" t="str">
        <f>""</f>
        <v/>
      </c>
      <c r="J366" t="str">
        <f>"TRAINING LODGING"</f>
        <v>TRAINING LODGING</v>
      </c>
    </row>
    <row r="367" spans="1:10" x14ac:dyDescent="0.3">
      <c r="A367" t="str">
        <f>""</f>
        <v/>
      </c>
      <c r="B367" t="str">
        <f>""</f>
        <v/>
      </c>
      <c r="G367" t="str">
        <f>""</f>
        <v/>
      </c>
      <c r="H367" t="str">
        <f>""</f>
        <v/>
      </c>
      <c r="J367" t="str">
        <f>"TRAINING LODGING"</f>
        <v>TRAINING LODGING</v>
      </c>
    </row>
    <row r="368" spans="1:10" x14ac:dyDescent="0.3">
      <c r="A368" t="str">
        <f>"01"</f>
        <v>01</v>
      </c>
      <c r="B368" t="str">
        <f>"T12770"</f>
        <v>T12770</v>
      </c>
      <c r="C368" t="s">
        <v>104</v>
      </c>
      <c r="D368">
        <v>72215</v>
      </c>
      <c r="E368" s="2">
        <v>913</v>
      </c>
      <c r="F368" s="1">
        <v>42976</v>
      </c>
      <c r="G368" t="str">
        <f>"17-17898"</f>
        <v>17-17898</v>
      </c>
      <c r="H368" t="str">
        <f>"INV B002584394"</f>
        <v>INV B002584394</v>
      </c>
      <c r="I368" s="2">
        <v>913</v>
      </c>
      <c r="J368" t="str">
        <f>"INV B002584394"</f>
        <v>INV B002584394</v>
      </c>
    </row>
    <row r="369" spans="1:10" x14ac:dyDescent="0.3">
      <c r="A369" t="str">
        <f>"01"</f>
        <v>01</v>
      </c>
      <c r="B369" t="str">
        <f>"003650"</f>
        <v>003650</v>
      </c>
      <c r="C369" t="s">
        <v>105</v>
      </c>
      <c r="D369">
        <v>71951</v>
      </c>
      <c r="E369" s="2">
        <v>745.95</v>
      </c>
      <c r="F369" s="1">
        <v>42961</v>
      </c>
      <c r="G369" t="str">
        <f>"LODGING-M. COOK"</f>
        <v>LODGING-M. COOK</v>
      </c>
      <c r="H369" t="str">
        <f>"LODGING"</f>
        <v>LODGING</v>
      </c>
      <c r="I369" s="2">
        <v>745.95</v>
      </c>
      <c r="J369" t="str">
        <f>"LODGING"</f>
        <v>LODGING</v>
      </c>
    </row>
    <row r="370" spans="1:10" x14ac:dyDescent="0.3">
      <c r="A370" t="str">
        <f>"01"</f>
        <v>01</v>
      </c>
      <c r="B370" t="str">
        <f>"T4871"</f>
        <v>T4871</v>
      </c>
      <c r="C370" t="s">
        <v>106</v>
      </c>
      <c r="D370">
        <v>0</v>
      </c>
      <c r="E370" s="2">
        <v>161.05000000000001</v>
      </c>
      <c r="F370" s="1">
        <v>42961</v>
      </c>
      <c r="G370" t="str">
        <f>"GST9816"</f>
        <v>GST9816</v>
      </c>
      <c r="H370" t="str">
        <f>"CUS#9566243/IT#1438525/1063395"</f>
        <v>CUS#9566243/IT#1438525/1063395</v>
      </c>
      <c r="I370" s="2">
        <v>161.05000000000001</v>
      </c>
      <c r="J370" t="str">
        <f>"CUS#9566243/IT#1438525/1063395"</f>
        <v>CUS#9566243/IT#1438525/1063395</v>
      </c>
    </row>
    <row r="371" spans="1:10" x14ac:dyDescent="0.3">
      <c r="A371" t="str">
        <f>"01"</f>
        <v>01</v>
      </c>
      <c r="B371" t="str">
        <f>"005182"</f>
        <v>005182</v>
      </c>
      <c r="C371" t="s">
        <v>107</v>
      </c>
      <c r="D371">
        <v>71952</v>
      </c>
      <c r="E371" s="2">
        <v>728.89</v>
      </c>
      <c r="F371" s="1">
        <v>42961</v>
      </c>
      <c r="G371" t="str">
        <f>"201708094160"</f>
        <v>201708094160</v>
      </c>
      <c r="H371" t="str">
        <f>"INDIGENT HEALTH"</f>
        <v>INDIGENT HEALTH</v>
      </c>
      <c r="I371" s="2">
        <v>728.89</v>
      </c>
    </row>
    <row r="372" spans="1:10" x14ac:dyDescent="0.3">
      <c r="A372" t="str">
        <f>"01"</f>
        <v>01</v>
      </c>
      <c r="B372" t="str">
        <f>"CTRPNT"</f>
        <v>CTRPNT</v>
      </c>
      <c r="C372" t="s">
        <v>108</v>
      </c>
      <c r="D372">
        <v>71890</v>
      </c>
      <c r="E372" s="2">
        <v>80.2</v>
      </c>
      <c r="F372" s="1">
        <v>42948</v>
      </c>
      <c r="G372" t="str">
        <f>"201707313971"</f>
        <v>201707313971</v>
      </c>
      <c r="H372" t="str">
        <f>"ACCT #3204433-1 / 7/26/17"</f>
        <v>ACCT #3204433-1 / 7/26/17</v>
      </c>
      <c r="I372" s="2">
        <v>40.1</v>
      </c>
      <c r="J372" t="str">
        <f>"ACCT #3204433-1"</f>
        <v>ACCT #3204433-1</v>
      </c>
    </row>
    <row r="373" spans="1:10" x14ac:dyDescent="0.3">
      <c r="A373" t="str">
        <f>""</f>
        <v/>
      </c>
      <c r="B373" t="str">
        <f>""</f>
        <v/>
      </c>
      <c r="G373" t="str">
        <f>"201707313972"</f>
        <v>201707313972</v>
      </c>
      <c r="H373" t="str">
        <f>"ACCT #6400890108-0 / 7/26/17"</f>
        <v>ACCT #6400890108-0 / 7/26/17</v>
      </c>
      <c r="I373" s="2">
        <v>40.1</v>
      </c>
      <c r="J373" t="str">
        <f>"ACCT #6400890108-0 / 7/26/17"</f>
        <v>ACCT #6400890108-0 / 7/26/17</v>
      </c>
    </row>
    <row r="374" spans="1:10" x14ac:dyDescent="0.3">
      <c r="A374" t="str">
        <f>"01"</f>
        <v>01</v>
      </c>
      <c r="B374" t="str">
        <f>"CTRPNT"</f>
        <v>CTRPNT</v>
      </c>
      <c r="C374" t="s">
        <v>108</v>
      </c>
      <c r="D374">
        <v>71895</v>
      </c>
      <c r="E374" s="2">
        <v>1423.26</v>
      </c>
      <c r="F374" s="1">
        <v>42957</v>
      </c>
      <c r="G374" t="str">
        <f>"201708094271"</f>
        <v>201708094271</v>
      </c>
      <c r="H374" t="str">
        <f>"ACCT#2959074-2 / 07312017"</f>
        <v>ACCT#2959074-2 / 07312017</v>
      </c>
      <c r="I374" s="2">
        <v>45.62</v>
      </c>
      <c r="J374" t="str">
        <f>"CENTERPOINT ENERGY"</f>
        <v>CENTERPOINT ENERGY</v>
      </c>
    </row>
    <row r="375" spans="1:10" x14ac:dyDescent="0.3">
      <c r="A375" t="str">
        <f>""</f>
        <v/>
      </c>
      <c r="B375" t="str">
        <f>""</f>
        <v/>
      </c>
      <c r="G375" t="str">
        <f>"201708094273"</f>
        <v>201708094273</v>
      </c>
      <c r="H375" t="str">
        <f>"ACCT#3204434-9 / 07312017"</f>
        <v>ACCT#3204434-9 / 07312017</v>
      </c>
      <c r="I375" s="2">
        <v>40.1</v>
      </c>
      <c r="J375" t="str">
        <f>"CENTERPOINT ENERGY"</f>
        <v>CENTERPOINT ENERGY</v>
      </c>
    </row>
    <row r="376" spans="1:10" x14ac:dyDescent="0.3">
      <c r="A376" t="str">
        <f>""</f>
        <v/>
      </c>
      <c r="B376" t="str">
        <f>""</f>
        <v/>
      </c>
      <c r="G376" t="str">
        <f>"201708094274"</f>
        <v>201708094274</v>
      </c>
      <c r="H376" t="str">
        <f>"ACCT#2974567-6 / 07312017"</f>
        <v>ACCT#2974567-6 / 07312017</v>
      </c>
      <c r="I376" s="2">
        <v>1337.54</v>
      </c>
      <c r="J376" t="str">
        <f>"CENTERPOINT ENERGY"</f>
        <v>CENTERPOINT ENERGY</v>
      </c>
    </row>
    <row r="377" spans="1:10" x14ac:dyDescent="0.3">
      <c r="A377" t="str">
        <f>"01"</f>
        <v>01</v>
      </c>
      <c r="B377" t="str">
        <f>"CTRPNT"</f>
        <v>CTRPNT</v>
      </c>
      <c r="C377" t="s">
        <v>108</v>
      </c>
      <c r="D377">
        <v>72162</v>
      </c>
      <c r="E377" s="2">
        <v>124.48</v>
      </c>
      <c r="F377" s="1">
        <v>42962</v>
      </c>
      <c r="G377" t="str">
        <f>"201708154292"</f>
        <v>201708154292</v>
      </c>
      <c r="H377" t="str">
        <f>"ACCT#6400893680-5/1125 DILDY"</f>
        <v>ACCT#6400893680-5/1125 DILDY</v>
      </c>
      <c r="I377" s="2">
        <v>43.86</v>
      </c>
      <c r="J377" t="str">
        <f>"ACCT#6400893680-5/1125 DILDY"</f>
        <v>ACCT#6400893680-5/1125 DILDY</v>
      </c>
    </row>
    <row r="378" spans="1:10" x14ac:dyDescent="0.3">
      <c r="A378" t="str">
        <f>""</f>
        <v/>
      </c>
      <c r="B378" t="str">
        <f>""</f>
        <v/>
      </c>
      <c r="G378" t="str">
        <f>"201708154293"</f>
        <v>201708154293</v>
      </c>
      <c r="H378" t="str">
        <f>"ACCT#2814197-6/305 ESKEW"</f>
        <v>ACCT#2814197-6/305 ESKEW</v>
      </c>
      <c r="I378" s="2">
        <v>40.1</v>
      </c>
      <c r="J378" t="str">
        <f>"ACCT#2814197-6/305 ESKEW"</f>
        <v>ACCT#2814197-6/305 ESKEW</v>
      </c>
    </row>
    <row r="379" spans="1:10" x14ac:dyDescent="0.3">
      <c r="A379" t="str">
        <f>""</f>
        <v/>
      </c>
      <c r="B379" t="str">
        <f>""</f>
        <v/>
      </c>
      <c r="G379" t="str">
        <f>"201708154294"</f>
        <v>201708154294</v>
      </c>
      <c r="H379" t="str">
        <f>"ACCT#2959097-3/218 S MAIN"</f>
        <v>ACCT#2959097-3/218 S MAIN</v>
      </c>
      <c r="I379" s="2">
        <v>40.520000000000003</v>
      </c>
      <c r="J379" t="str">
        <f>"ACCT#2959097-3/218 S MAIN"</f>
        <v>ACCT#2959097-3/218 S MAIN</v>
      </c>
    </row>
    <row r="380" spans="1:10" x14ac:dyDescent="0.3">
      <c r="A380" t="str">
        <f>"01"</f>
        <v>01</v>
      </c>
      <c r="B380" t="str">
        <f>"CENTEX"</f>
        <v>CENTEX</v>
      </c>
      <c r="C380" t="s">
        <v>109</v>
      </c>
      <c r="D380">
        <v>71953</v>
      </c>
      <c r="E380" s="2">
        <v>11479.59</v>
      </c>
      <c r="F380" s="1">
        <v>42961</v>
      </c>
      <c r="G380" t="str">
        <f>"30119720"</f>
        <v>30119720</v>
      </c>
      <c r="H380" t="str">
        <f t="shared" ref="H380:H385" si="5">"CUST#BASPCT3/ORD#37-19287/PCT3"</f>
        <v>CUST#BASPCT3/ORD#37-19287/PCT3</v>
      </c>
      <c r="I380" s="2">
        <v>1608.39</v>
      </c>
      <c r="J380" t="str">
        <f>"CUST#BASPCT3/ORD#37-19287/PCT3"</f>
        <v>CUST#BASPCT3/ORD#37-19287/PCT3</v>
      </c>
    </row>
    <row r="381" spans="1:10" x14ac:dyDescent="0.3">
      <c r="A381" t="str">
        <f>""</f>
        <v/>
      </c>
      <c r="B381" t="str">
        <f>""</f>
        <v/>
      </c>
      <c r="G381" t="str">
        <f>"30119753"</f>
        <v>30119753</v>
      </c>
      <c r="H381" t="str">
        <f t="shared" si="5"/>
        <v>CUST#BASPCT3/ORD#37-19287/PCT3</v>
      </c>
      <c r="I381" s="2">
        <v>320.67</v>
      </c>
      <c r="J381" t="str">
        <f>"CUST#BASPCT3/ORD#37-19287/PCT3"</f>
        <v>CUST#BASPCT3/ORD#37-19287/PCT3</v>
      </c>
    </row>
    <row r="382" spans="1:10" x14ac:dyDescent="0.3">
      <c r="A382" t="str">
        <f>""</f>
        <v/>
      </c>
      <c r="B382" t="str">
        <f>""</f>
        <v/>
      </c>
      <c r="G382" t="str">
        <f>"30119822"</f>
        <v>30119822</v>
      </c>
      <c r="H382" t="str">
        <f t="shared" si="5"/>
        <v>CUST#BASPCT3/ORD#37-19287/PCT3</v>
      </c>
      <c r="I382" s="2">
        <v>1003.32</v>
      </c>
      <c r="J382" t="str">
        <f>"CUST#BASPCT3/ORD#37-19287/PCT3"</f>
        <v>CUST#BASPCT3/ORD#37-19287/PCT3</v>
      </c>
    </row>
    <row r="383" spans="1:10" x14ac:dyDescent="0.3">
      <c r="A383" t="str">
        <f>""</f>
        <v/>
      </c>
      <c r="B383" t="str">
        <f>""</f>
        <v/>
      </c>
      <c r="G383" t="str">
        <f>"30119887"</f>
        <v>30119887</v>
      </c>
      <c r="H383" t="str">
        <f t="shared" si="5"/>
        <v>CUST#BASPCT3/ORD#37-19287/PCT3</v>
      </c>
      <c r="I383" s="2">
        <v>1637.64</v>
      </c>
      <c r="J383" t="str">
        <f>"CUST#BASPCT3/ORD#37-19287/PCT3"</f>
        <v>CUST#BASPCT3/ORD#37-19287/PCT3</v>
      </c>
    </row>
    <row r="384" spans="1:10" x14ac:dyDescent="0.3">
      <c r="A384" t="str">
        <f>""</f>
        <v/>
      </c>
      <c r="B384" t="str">
        <f>""</f>
        <v/>
      </c>
      <c r="G384" t="str">
        <f>"30119917"</f>
        <v>30119917</v>
      </c>
      <c r="H384" t="str">
        <f t="shared" si="5"/>
        <v>CUST#BASPCT3/ORD#37-19287/PCT3</v>
      </c>
      <c r="I384" s="2">
        <v>1622.43</v>
      </c>
      <c r="J384" t="str">
        <f>"CUST#BASPCT3/ORD#37-19287"</f>
        <v>CUST#BASPCT3/ORD#37-19287</v>
      </c>
    </row>
    <row r="385" spans="1:10" x14ac:dyDescent="0.3">
      <c r="A385" t="str">
        <f>""</f>
        <v/>
      </c>
      <c r="B385" t="str">
        <f>""</f>
        <v/>
      </c>
      <c r="G385" t="str">
        <f>"30119947"</f>
        <v>30119947</v>
      </c>
      <c r="H385" t="str">
        <f t="shared" si="5"/>
        <v>CUST#BASPCT3/ORD#37-19287/PCT3</v>
      </c>
      <c r="I385" s="2">
        <v>2861.28</v>
      </c>
      <c r="J385" t="str">
        <f>"CUST#BASPCT3/ORD#37-19287/PCT3"</f>
        <v>CUST#BASPCT3/ORD#37-19287/PCT3</v>
      </c>
    </row>
    <row r="386" spans="1:10" x14ac:dyDescent="0.3">
      <c r="A386" t="str">
        <f>""</f>
        <v/>
      </c>
      <c r="B386" t="str">
        <f>""</f>
        <v/>
      </c>
      <c r="G386" t="str">
        <f>"30119983"</f>
        <v>30119983</v>
      </c>
      <c r="H386" t="str">
        <f>"CUST#BASPCT1/ORD#30119983"</f>
        <v>CUST#BASPCT1/ORD#30119983</v>
      </c>
      <c r="I386" s="2">
        <v>395.55</v>
      </c>
      <c r="J386" t="str">
        <f>"CUST#BASPCT1/ORD#30119983"</f>
        <v>CUST#BASPCT1/ORD#30119983</v>
      </c>
    </row>
    <row r="387" spans="1:10" x14ac:dyDescent="0.3">
      <c r="A387" t="str">
        <f>""</f>
        <v/>
      </c>
      <c r="B387" t="str">
        <f>""</f>
        <v/>
      </c>
      <c r="G387" t="str">
        <f>"30119984"</f>
        <v>30119984</v>
      </c>
      <c r="H387" t="str">
        <f>"CUST#BASPCT3/ORD#37-19287"</f>
        <v>CUST#BASPCT3/ORD#37-19287</v>
      </c>
      <c r="I387" s="2">
        <v>1214.82</v>
      </c>
      <c r="J387" t="str">
        <f>"CUST#BASPCT3/ORD#37-19287"</f>
        <v>CUST#BASPCT3/ORD#37-19287</v>
      </c>
    </row>
    <row r="388" spans="1:10" x14ac:dyDescent="0.3">
      <c r="A388" t="str">
        <f>""</f>
        <v/>
      </c>
      <c r="B388" t="str">
        <f>""</f>
        <v/>
      </c>
      <c r="G388" t="str">
        <f>"30120093"</f>
        <v>30120093</v>
      </c>
      <c r="H388" t="str">
        <f>"CUST#BASPCT1/ORD#37-19558/PCT1"</f>
        <v>CUST#BASPCT1/ORD#37-19558/PCT1</v>
      </c>
      <c r="I388" s="2">
        <v>199.71</v>
      </c>
      <c r="J388" t="str">
        <f>"CUST#BASPCT1/ORD#37-19558/PCT1"</f>
        <v>CUST#BASPCT1/ORD#37-19558/PCT1</v>
      </c>
    </row>
    <row r="389" spans="1:10" x14ac:dyDescent="0.3">
      <c r="A389" t="str">
        <f>""</f>
        <v/>
      </c>
      <c r="B389" t="str">
        <f>""</f>
        <v/>
      </c>
      <c r="G389" t="str">
        <f>"30120094"</f>
        <v>30120094</v>
      </c>
      <c r="H389" t="str">
        <f>"CUST#BASPCT3/ORD#37-14580/PCT3"</f>
        <v>CUST#BASPCT3/ORD#37-14580/PCT3</v>
      </c>
      <c r="I389" s="2">
        <v>202.86</v>
      </c>
      <c r="J389" t="str">
        <f>"CUST#BASPCT3/ORD#37-14580/PCT3"</f>
        <v>CUST#BASPCT3/ORD#37-14580/PCT3</v>
      </c>
    </row>
    <row r="390" spans="1:10" x14ac:dyDescent="0.3">
      <c r="A390" t="str">
        <f>""</f>
        <v/>
      </c>
      <c r="B390" t="str">
        <f>""</f>
        <v/>
      </c>
      <c r="G390" t="str">
        <f>"30120129"</f>
        <v>30120129</v>
      </c>
      <c r="H390" t="str">
        <f>"CUSR#BASPCT1/ORD#37-19558/PCT1"</f>
        <v>CUSR#BASPCT1/ORD#37-19558/PCT1</v>
      </c>
      <c r="I390" s="2">
        <v>412.92</v>
      </c>
      <c r="J390" t="str">
        <f>"CUSR#BASPCT1/ORD#37-19558/PCT1"</f>
        <v>CUSR#BASPCT1/ORD#37-19558/PCT1</v>
      </c>
    </row>
    <row r="391" spans="1:10" x14ac:dyDescent="0.3">
      <c r="A391" t="str">
        <f>"01"</f>
        <v>01</v>
      </c>
      <c r="B391" t="str">
        <f>"CENTEX"</f>
        <v>CENTEX</v>
      </c>
      <c r="C391" t="s">
        <v>109</v>
      </c>
      <c r="D391">
        <v>72216</v>
      </c>
      <c r="E391" s="2">
        <v>2305.5300000000002</v>
      </c>
      <c r="F391" s="1">
        <v>42976</v>
      </c>
      <c r="G391" t="str">
        <f>"30120291"</f>
        <v>30120291</v>
      </c>
      <c r="H391" t="str">
        <f>"CUST#BASPCT4/ORD#37-19552/PCT4"</f>
        <v>CUST#BASPCT4/ORD#37-19552/PCT4</v>
      </c>
      <c r="I391" s="2">
        <v>419.4</v>
      </c>
      <c r="J391" t="str">
        <f>"CUST#BASPCT4/ORD#37-19552/PCT4"</f>
        <v>CUST#BASPCT4/ORD#37-19552/PCT4</v>
      </c>
    </row>
    <row r="392" spans="1:10" x14ac:dyDescent="0.3">
      <c r="A392" t="str">
        <f>""</f>
        <v/>
      </c>
      <c r="B392" t="str">
        <f>""</f>
        <v/>
      </c>
      <c r="G392" t="str">
        <f>"30120323"</f>
        <v>30120323</v>
      </c>
      <c r="H392" t="str">
        <f>"CUST#BASPCT4/ORD#37-19552/PCT4"</f>
        <v>CUST#BASPCT4/ORD#37-19552/PCT4</v>
      </c>
      <c r="I392" s="2">
        <v>1057.05</v>
      </c>
      <c r="J392" t="str">
        <f>"CUST#BASPCT4/ORD#37-19552/PCT4"</f>
        <v>CUST#BASPCT4/ORD#37-19552/PCT4</v>
      </c>
    </row>
    <row r="393" spans="1:10" x14ac:dyDescent="0.3">
      <c r="A393" t="str">
        <f>""</f>
        <v/>
      </c>
      <c r="B393" t="str">
        <f>""</f>
        <v/>
      </c>
      <c r="G393" t="str">
        <f>"30120351"</f>
        <v>30120351</v>
      </c>
      <c r="H393" t="str">
        <f>"CUST#BASPCT1/BASE/PCT#1"</f>
        <v>CUST#BASPCT1/BASE/PCT#1</v>
      </c>
      <c r="I393" s="2">
        <v>618.39</v>
      </c>
      <c r="J393" t="str">
        <f>"CUST#BASPCT1/BASE/PCT#1"</f>
        <v>CUST#BASPCT1/BASE/PCT#1</v>
      </c>
    </row>
    <row r="394" spans="1:10" x14ac:dyDescent="0.3">
      <c r="A394" t="str">
        <f>""</f>
        <v/>
      </c>
      <c r="B394" t="str">
        <f>""</f>
        <v/>
      </c>
      <c r="G394" t="str">
        <f>"30120360"</f>
        <v>30120360</v>
      </c>
      <c r="H394" t="str">
        <f>"CUST#BASPCT1/ORD#37-19558/PCT1"</f>
        <v>CUST#BASPCT1/ORD#37-19558/PCT1</v>
      </c>
      <c r="I394" s="2">
        <v>210.69</v>
      </c>
      <c r="J394" t="str">
        <f>"CUST#BASPCT1/ORD#37-19558/PCT1"</f>
        <v>CUST#BASPCT1/ORD#37-19558/PCT1</v>
      </c>
    </row>
    <row r="395" spans="1:10" x14ac:dyDescent="0.3">
      <c r="A395" t="str">
        <f>"01"</f>
        <v>01</v>
      </c>
      <c r="B395" t="str">
        <f>"002795"</f>
        <v>002795</v>
      </c>
      <c r="C395" t="s">
        <v>110</v>
      </c>
      <c r="D395">
        <v>71954</v>
      </c>
      <c r="E395" s="2">
        <v>4200</v>
      </c>
      <c r="F395" s="1">
        <v>42961</v>
      </c>
      <c r="G395" t="str">
        <f>"11768"</f>
        <v>11768</v>
      </c>
      <c r="H395" t="str">
        <f>"CTA 13117-D. FOOTE 3/2/2017"</f>
        <v>CTA 13117-D. FOOTE 3/2/2017</v>
      </c>
      <c r="I395" s="2">
        <v>2100</v>
      </c>
      <c r="J395" t="str">
        <f>"CTA 13117-D. FOOTE 3/2/2017"</f>
        <v>CTA 13117-D. FOOTE 3/2/2017</v>
      </c>
    </row>
    <row r="396" spans="1:10" x14ac:dyDescent="0.3">
      <c r="A396" t="str">
        <f>""</f>
        <v/>
      </c>
      <c r="B396" t="str">
        <f>""</f>
        <v/>
      </c>
      <c r="G396" t="str">
        <f>"11816"</f>
        <v>11816</v>
      </c>
      <c r="H396" t="str">
        <f>"CTA224-17-J.HUENERBERG 4/24/17"</f>
        <v>CTA224-17-J.HUENERBERG 4/24/17</v>
      </c>
      <c r="I396" s="2">
        <v>2100</v>
      </c>
      <c r="J396" t="str">
        <f>"CTA224-17-J.HUENERBERG 4/24/17"</f>
        <v>CTA224-17-J.HUENERBERG 4/24/17</v>
      </c>
    </row>
    <row r="397" spans="1:10" x14ac:dyDescent="0.3">
      <c r="A397" t="str">
        <f>"01"</f>
        <v>01</v>
      </c>
      <c r="B397" t="str">
        <f>"004648"</f>
        <v>004648</v>
      </c>
      <c r="C397" t="s">
        <v>111</v>
      </c>
      <c r="D397">
        <v>71955</v>
      </c>
      <c r="E397" s="2">
        <v>272.5</v>
      </c>
      <c r="F397" s="1">
        <v>42961</v>
      </c>
      <c r="G397" t="str">
        <f>"201707283895"</f>
        <v>201707283895</v>
      </c>
      <c r="H397" t="str">
        <f>"17-18229"</f>
        <v>17-18229</v>
      </c>
      <c r="I397" s="2">
        <v>100</v>
      </c>
      <c r="J397" t="str">
        <f>"17-18229"</f>
        <v>17-18229</v>
      </c>
    </row>
    <row r="398" spans="1:10" x14ac:dyDescent="0.3">
      <c r="A398" t="str">
        <f>""</f>
        <v/>
      </c>
      <c r="B398" t="str">
        <f>""</f>
        <v/>
      </c>
      <c r="G398" t="str">
        <f>"201707283896"</f>
        <v>201707283896</v>
      </c>
      <c r="H398" t="str">
        <f>"17-18250"</f>
        <v>17-18250</v>
      </c>
      <c r="I398" s="2">
        <v>172.5</v>
      </c>
      <c r="J398" t="str">
        <f>"17-18250"</f>
        <v>17-18250</v>
      </c>
    </row>
    <row r="399" spans="1:10" x14ac:dyDescent="0.3">
      <c r="A399" t="str">
        <f>"01"</f>
        <v>01</v>
      </c>
      <c r="B399" t="str">
        <f>"004648"</f>
        <v>004648</v>
      </c>
      <c r="C399" t="s">
        <v>111</v>
      </c>
      <c r="D399">
        <v>72217</v>
      </c>
      <c r="E399" s="2">
        <v>708.17</v>
      </c>
      <c r="F399" s="1">
        <v>42976</v>
      </c>
      <c r="G399" t="str">
        <f>"201708234382"</f>
        <v>201708234382</v>
      </c>
      <c r="H399" t="str">
        <f>"16-17734"</f>
        <v>16-17734</v>
      </c>
      <c r="I399" s="2">
        <v>100</v>
      </c>
      <c r="J399" t="str">
        <f>"16-17734"</f>
        <v>16-17734</v>
      </c>
    </row>
    <row r="400" spans="1:10" x14ac:dyDescent="0.3">
      <c r="A400" t="str">
        <f>""</f>
        <v/>
      </c>
      <c r="B400" t="str">
        <f>""</f>
        <v/>
      </c>
      <c r="G400" t="str">
        <f>"201708234383"</f>
        <v>201708234383</v>
      </c>
      <c r="H400" t="str">
        <f>"16-17913"</f>
        <v>16-17913</v>
      </c>
      <c r="I400" s="2">
        <v>100</v>
      </c>
      <c r="J400" t="str">
        <f>"16-17913"</f>
        <v>16-17913</v>
      </c>
    </row>
    <row r="401" spans="1:10" x14ac:dyDescent="0.3">
      <c r="A401" t="str">
        <f>""</f>
        <v/>
      </c>
      <c r="B401" t="str">
        <f>""</f>
        <v/>
      </c>
      <c r="G401" t="str">
        <f>"201708234385"</f>
        <v>201708234385</v>
      </c>
      <c r="H401" t="str">
        <f>"16-17591"</f>
        <v>16-17591</v>
      </c>
      <c r="I401" s="2">
        <v>100</v>
      </c>
      <c r="J401" t="str">
        <f>"16-17591"</f>
        <v>16-17591</v>
      </c>
    </row>
    <row r="402" spans="1:10" x14ac:dyDescent="0.3">
      <c r="A402" t="str">
        <f>""</f>
        <v/>
      </c>
      <c r="B402" t="str">
        <f>""</f>
        <v/>
      </c>
      <c r="G402" t="str">
        <f>"201708234386"</f>
        <v>201708234386</v>
      </c>
      <c r="H402" t="str">
        <f>"16-18043"</f>
        <v>16-18043</v>
      </c>
      <c r="I402" s="2">
        <v>100</v>
      </c>
      <c r="J402" t="str">
        <f>"16-18043"</f>
        <v>16-18043</v>
      </c>
    </row>
    <row r="403" spans="1:10" x14ac:dyDescent="0.3">
      <c r="A403" t="str">
        <f>""</f>
        <v/>
      </c>
      <c r="B403" t="str">
        <f>""</f>
        <v/>
      </c>
      <c r="G403" t="str">
        <f>"201708234387"</f>
        <v>201708234387</v>
      </c>
      <c r="H403" t="str">
        <f>"17-18449"</f>
        <v>17-18449</v>
      </c>
      <c r="I403" s="2">
        <v>100</v>
      </c>
      <c r="J403" t="str">
        <f>"17-18449"</f>
        <v>17-18449</v>
      </c>
    </row>
    <row r="404" spans="1:10" x14ac:dyDescent="0.3">
      <c r="A404" t="str">
        <f>""</f>
        <v/>
      </c>
      <c r="B404" t="str">
        <f>""</f>
        <v/>
      </c>
      <c r="G404" t="str">
        <f>"201708234388"</f>
        <v>201708234388</v>
      </c>
      <c r="H404" t="str">
        <f>"17-18229"</f>
        <v>17-18229</v>
      </c>
      <c r="I404" s="2">
        <v>208.17</v>
      </c>
      <c r="J404" t="str">
        <f>"17-18229"</f>
        <v>17-18229</v>
      </c>
    </row>
    <row r="405" spans="1:10" x14ac:dyDescent="0.3">
      <c r="A405" t="str">
        <f>"01"</f>
        <v>01</v>
      </c>
      <c r="B405" t="str">
        <f>"T11831"</f>
        <v>T11831</v>
      </c>
      <c r="C405" t="s">
        <v>112</v>
      </c>
      <c r="D405">
        <v>72218</v>
      </c>
      <c r="E405" s="2">
        <v>342.87</v>
      </c>
      <c r="F405" s="1">
        <v>42976</v>
      </c>
      <c r="G405" t="str">
        <f>"0145877-IN"</f>
        <v>0145877-IN</v>
      </c>
      <c r="H405" t="str">
        <f>"INV 0145877-IN"</f>
        <v>INV 0145877-IN</v>
      </c>
      <c r="I405" s="2">
        <v>342.87</v>
      </c>
      <c r="J405" t="str">
        <f>"INV 0145877-IN"</f>
        <v>INV 0145877-IN</v>
      </c>
    </row>
    <row r="406" spans="1:10" x14ac:dyDescent="0.3">
      <c r="A406" t="str">
        <f>"01"</f>
        <v>01</v>
      </c>
      <c r="B406" t="str">
        <f>"T9145"</f>
        <v>T9145</v>
      </c>
      <c r="C406" t="s">
        <v>113</v>
      </c>
      <c r="D406">
        <v>72219</v>
      </c>
      <c r="E406" s="2">
        <v>2250</v>
      </c>
      <c r="F406" s="1">
        <v>42976</v>
      </c>
      <c r="G406" t="str">
        <f>"201708214318"</f>
        <v>201708214318</v>
      </c>
      <c r="H406" t="str">
        <f>"CH20151223F"</f>
        <v>CH20151223F</v>
      </c>
      <c r="I406" s="2">
        <v>400</v>
      </c>
      <c r="J406" t="str">
        <f>"CH20151223F"</f>
        <v>CH20151223F</v>
      </c>
    </row>
    <row r="407" spans="1:10" x14ac:dyDescent="0.3">
      <c r="A407" t="str">
        <f>""</f>
        <v/>
      </c>
      <c r="B407" t="str">
        <f>""</f>
        <v/>
      </c>
      <c r="G407" t="str">
        <f>"201708214319"</f>
        <v>201708214319</v>
      </c>
      <c r="H407" t="str">
        <f>"15 986"</f>
        <v>15 986</v>
      </c>
      <c r="I407" s="2">
        <v>400</v>
      </c>
      <c r="J407" t="str">
        <f>"15 986"</f>
        <v>15 986</v>
      </c>
    </row>
    <row r="408" spans="1:10" x14ac:dyDescent="0.3">
      <c r="A408" t="str">
        <f>""</f>
        <v/>
      </c>
      <c r="B408" t="str">
        <f>""</f>
        <v/>
      </c>
      <c r="G408" t="str">
        <f>"201708214320"</f>
        <v>201708214320</v>
      </c>
      <c r="H408" t="str">
        <f>"16 304   15 785"</f>
        <v>16 304   15 785</v>
      </c>
      <c r="I408" s="2">
        <v>600</v>
      </c>
      <c r="J408" t="str">
        <f>"16 304   15 785"</f>
        <v>16 304   15 785</v>
      </c>
    </row>
    <row r="409" spans="1:10" x14ac:dyDescent="0.3">
      <c r="A409" t="str">
        <f>""</f>
        <v/>
      </c>
      <c r="B409" t="str">
        <f>""</f>
        <v/>
      </c>
      <c r="G409" t="str">
        <f>"201708214321"</f>
        <v>201708214321</v>
      </c>
      <c r="H409" t="str">
        <f>"CH20150523A"</f>
        <v>CH20150523A</v>
      </c>
      <c r="I409" s="2">
        <v>400</v>
      </c>
      <c r="J409" t="str">
        <f>"CH20150523A"</f>
        <v>CH20150523A</v>
      </c>
    </row>
    <row r="410" spans="1:10" x14ac:dyDescent="0.3">
      <c r="A410" t="str">
        <f>""</f>
        <v/>
      </c>
      <c r="B410" t="str">
        <f>""</f>
        <v/>
      </c>
      <c r="G410" t="str">
        <f>"201708234414"</f>
        <v>201708234414</v>
      </c>
      <c r="H410" t="str">
        <f>"16-18108"</f>
        <v>16-18108</v>
      </c>
      <c r="I410" s="2">
        <v>100</v>
      </c>
      <c r="J410" t="str">
        <f>"16-18108"</f>
        <v>16-18108</v>
      </c>
    </row>
    <row r="411" spans="1:10" x14ac:dyDescent="0.3">
      <c r="A411" t="str">
        <f>""</f>
        <v/>
      </c>
      <c r="B411" t="str">
        <f>""</f>
        <v/>
      </c>
      <c r="G411" t="str">
        <f>"201708234415"</f>
        <v>201708234415</v>
      </c>
      <c r="H411" t="str">
        <f>"16-17591"</f>
        <v>16-17591</v>
      </c>
      <c r="I411" s="2">
        <v>100</v>
      </c>
      <c r="J411" t="str">
        <f>"16-17591"</f>
        <v>16-17591</v>
      </c>
    </row>
    <row r="412" spans="1:10" x14ac:dyDescent="0.3">
      <c r="A412" t="str">
        <f>""</f>
        <v/>
      </c>
      <c r="B412" t="str">
        <f>""</f>
        <v/>
      </c>
      <c r="G412" t="str">
        <f>"201708234426"</f>
        <v>201708234426</v>
      </c>
      <c r="H412" t="str">
        <f>"55 337"</f>
        <v>55 337</v>
      </c>
      <c r="I412" s="2">
        <v>250</v>
      </c>
      <c r="J412" t="str">
        <f>"55 337"</f>
        <v>55 337</v>
      </c>
    </row>
    <row r="413" spans="1:10" x14ac:dyDescent="0.3">
      <c r="A413" t="str">
        <f>"01"</f>
        <v>01</v>
      </c>
      <c r="B413" t="str">
        <f>"T9145"</f>
        <v>T9145</v>
      </c>
      <c r="C413" t="s">
        <v>113</v>
      </c>
      <c r="D413">
        <v>999999</v>
      </c>
      <c r="E413" s="2">
        <v>1525</v>
      </c>
      <c r="F413" s="1">
        <v>42961</v>
      </c>
      <c r="G413" t="str">
        <f>"201707263867"</f>
        <v>201707263867</v>
      </c>
      <c r="H413" t="str">
        <f>"16 231"</f>
        <v>16 231</v>
      </c>
      <c r="I413" s="2">
        <v>400</v>
      </c>
      <c r="J413" t="str">
        <f>"16 231"</f>
        <v>16 231</v>
      </c>
    </row>
    <row r="414" spans="1:10" x14ac:dyDescent="0.3">
      <c r="A414" t="str">
        <f>""</f>
        <v/>
      </c>
      <c r="B414" t="str">
        <f>""</f>
        <v/>
      </c>
      <c r="G414" t="str">
        <f>"201707283897"</f>
        <v>201707283897</v>
      </c>
      <c r="H414" t="str">
        <f>"55 203  CH20160219-G"</f>
        <v>55 203  CH20160219-G</v>
      </c>
      <c r="I414" s="2">
        <v>375</v>
      </c>
      <c r="J414" t="str">
        <f>"55 203  CH20160219-G"</f>
        <v>55 203  CH20160219-G</v>
      </c>
    </row>
    <row r="415" spans="1:10" x14ac:dyDescent="0.3">
      <c r="A415" t="str">
        <f>""</f>
        <v/>
      </c>
      <c r="B415" t="str">
        <f>""</f>
        <v/>
      </c>
      <c r="G415" t="str">
        <f>"201707283898"</f>
        <v>201707283898</v>
      </c>
      <c r="H415" t="str">
        <f>"54 786"</f>
        <v>54 786</v>
      </c>
      <c r="I415" s="2">
        <v>250</v>
      </c>
      <c r="J415" t="str">
        <f>"54 786"</f>
        <v>54 786</v>
      </c>
    </row>
    <row r="416" spans="1:10" x14ac:dyDescent="0.3">
      <c r="A416" t="str">
        <f>""</f>
        <v/>
      </c>
      <c r="B416" t="str">
        <f>""</f>
        <v/>
      </c>
      <c r="G416" t="str">
        <f>"201707283899"</f>
        <v>201707283899</v>
      </c>
      <c r="H416" t="str">
        <f>"54 101"</f>
        <v>54 101</v>
      </c>
      <c r="I416" s="2">
        <v>250</v>
      </c>
      <c r="J416" t="str">
        <f>"54 101"</f>
        <v>54 101</v>
      </c>
    </row>
    <row r="417" spans="1:10" x14ac:dyDescent="0.3">
      <c r="A417" t="str">
        <f>""</f>
        <v/>
      </c>
      <c r="B417" t="str">
        <f>""</f>
        <v/>
      </c>
      <c r="G417" t="str">
        <f>"201708094215"</f>
        <v>201708094215</v>
      </c>
      <c r="H417" t="str">
        <f>"54 911"</f>
        <v>54 911</v>
      </c>
      <c r="I417" s="2">
        <v>250</v>
      </c>
      <c r="J417" t="str">
        <f>"54 911"</f>
        <v>54 911</v>
      </c>
    </row>
    <row r="418" spans="1:10" x14ac:dyDescent="0.3">
      <c r="A418" t="str">
        <f>"01"</f>
        <v>01</v>
      </c>
      <c r="B418" t="str">
        <f>"005030"</f>
        <v>005030</v>
      </c>
      <c r="C418" t="s">
        <v>114</v>
      </c>
      <c r="D418">
        <v>71956</v>
      </c>
      <c r="E418" s="2">
        <v>124.5</v>
      </c>
      <c r="F418" s="1">
        <v>42961</v>
      </c>
      <c r="G418" t="str">
        <f>"1006"</f>
        <v>1006</v>
      </c>
      <c r="H418" t="str">
        <f>"MONOWEB SUTURES/ANIMAL SHELT"</f>
        <v>MONOWEB SUTURES/ANIMAL SHELT</v>
      </c>
      <c r="I418" s="2">
        <v>124.5</v>
      </c>
      <c r="J418" t="str">
        <f>"MONOWEB SUTURES/ANIMAL SHELT"</f>
        <v>MONOWEB SUTURES/ANIMAL SHELT</v>
      </c>
    </row>
    <row r="419" spans="1:10" x14ac:dyDescent="0.3">
      <c r="A419" t="str">
        <f>"01"</f>
        <v>01</v>
      </c>
      <c r="B419" t="str">
        <f>"005030"</f>
        <v>005030</v>
      </c>
      <c r="C419" t="s">
        <v>114</v>
      </c>
      <c r="D419">
        <v>72220</v>
      </c>
      <c r="E419" s="2">
        <v>218.61</v>
      </c>
      <c r="F419" s="1">
        <v>42976</v>
      </c>
      <c r="G419" t="str">
        <f>"1007"</f>
        <v>1007</v>
      </c>
      <c r="H419" t="str">
        <f>"EVACUATION ACTIVATED CHARCOAL"</f>
        <v>EVACUATION ACTIVATED CHARCOAL</v>
      </c>
      <c r="I419" s="2">
        <v>31.05</v>
      </c>
      <c r="J419" t="str">
        <f>"EVACUATION ACTIVATED CHARCOAL"</f>
        <v>EVACUATION ACTIVATED CHARCOAL</v>
      </c>
    </row>
    <row r="420" spans="1:10" x14ac:dyDescent="0.3">
      <c r="A420" t="str">
        <f>""</f>
        <v/>
      </c>
      <c r="B420" t="str">
        <f>""</f>
        <v/>
      </c>
      <c r="G420" t="str">
        <f>"1008"</f>
        <v>1008</v>
      </c>
      <c r="H420" t="str">
        <f>"SURGICAL GLOVES"</f>
        <v>SURGICAL GLOVES</v>
      </c>
      <c r="I420" s="2">
        <v>187.56</v>
      </c>
      <c r="J420" t="str">
        <f>"SURGICAL GLOVES"</f>
        <v>SURGICAL GLOVES</v>
      </c>
    </row>
    <row r="421" spans="1:10" x14ac:dyDescent="0.3">
      <c r="A421" t="str">
        <f>"01"</f>
        <v>01</v>
      </c>
      <c r="B421" t="str">
        <f>"005190"</f>
        <v>005190</v>
      </c>
      <c r="C421" t="s">
        <v>115</v>
      </c>
      <c r="D421">
        <v>72221</v>
      </c>
      <c r="E421" s="2">
        <v>300</v>
      </c>
      <c r="F421" s="1">
        <v>42976</v>
      </c>
      <c r="G421" t="str">
        <f>"201708214312"</f>
        <v>201708214312</v>
      </c>
      <c r="H421" t="str">
        <f>"ATTORNEY AD LITEM-K. KING"</f>
        <v>ATTORNEY AD LITEM-K. KING</v>
      </c>
      <c r="I421" s="2">
        <v>300</v>
      </c>
      <c r="J421" t="str">
        <f>"ATTORNEY AD LITEM-K. KING"</f>
        <v>ATTORNEY AD LITEM-K. KING</v>
      </c>
    </row>
    <row r="422" spans="1:10" x14ac:dyDescent="0.3">
      <c r="A422" t="str">
        <f>"01"</f>
        <v>01</v>
      </c>
      <c r="B422" t="str">
        <f>"004228"</f>
        <v>004228</v>
      </c>
      <c r="C422" t="s">
        <v>116</v>
      </c>
      <c r="D422">
        <v>72222</v>
      </c>
      <c r="E422" s="2">
        <v>1112.77</v>
      </c>
      <c r="F422" s="1">
        <v>42976</v>
      </c>
      <c r="G422" t="str">
        <f>"201708234377"</f>
        <v>201708234377</v>
      </c>
      <c r="H422" t="str">
        <f>"REIMBURSE MILEAGE"</f>
        <v>REIMBURSE MILEAGE</v>
      </c>
      <c r="I422" s="2">
        <v>233.26</v>
      </c>
      <c r="J422" t="str">
        <f>"REIMBURSE MILEAGE"</f>
        <v>REIMBURSE MILEAGE</v>
      </c>
    </row>
    <row r="423" spans="1:10" x14ac:dyDescent="0.3">
      <c r="A423" t="str">
        <f>""</f>
        <v/>
      </c>
      <c r="B423" t="str">
        <f>""</f>
        <v/>
      </c>
      <c r="G423" t="str">
        <f>"201708234378"</f>
        <v>201708234378</v>
      </c>
      <c r="H423" t="str">
        <f>"REIMBURSE-HOTEL/FOOD/POSTAGE"</f>
        <v>REIMBURSE-HOTEL/FOOD/POSTAGE</v>
      </c>
      <c r="I423" s="2">
        <v>879.51</v>
      </c>
      <c r="J423" t="str">
        <f>"REIMBURSE-HOTEL/FOOD/POSTAGE"</f>
        <v>REIMBURSE-HOTEL/FOOD/POSTAGE</v>
      </c>
    </row>
    <row r="424" spans="1:10" x14ac:dyDescent="0.3">
      <c r="A424" t="str">
        <f>"01"</f>
        <v>01</v>
      </c>
      <c r="B424" t="str">
        <f>"CINTAS"</f>
        <v>CINTAS</v>
      </c>
      <c r="C424" t="s">
        <v>117</v>
      </c>
      <c r="D424">
        <v>71957</v>
      </c>
      <c r="E424" s="2">
        <v>125.95</v>
      </c>
      <c r="F424" s="1">
        <v>42961</v>
      </c>
      <c r="G424" t="str">
        <f>"5008178722"</f>
        <v>5008178722</v>
      </c>
      <c r="H424" t="str">
        <f>"CUST#0011167190-PCT#1"</f>
        <v>CUST#0011167190-PCT#1</v>
      </c>
      <c r="I424" s="2">
        <v>53.38</v>
      </c>
      <c r="J424" t="str">
        <f>"CUST#0011167190-PCT#1"</f>
        <v>CUST#0011167190-PCT#1</v>
      </c>
    </row>
    <row r="425" spans="1:10" x14ac:dyDescent="0.3">
      <c r="A425" t="str">
        <f>""</f>
        <v/>
      </c>
      <c r="B425" t="str">
        <f>""</f>
        <v/>
      </c>
      <c r="G425" t="str">
        <f>"5008336589"</f>
        <v>5008336589</v>
      </c>
      <c r="H425" t="str">
        <f>"CUST#0011167190/PCT#1"</f>
        <v>CUST#0011167190/PCT#1</v>
      </c>
      <c r="I425" s="2">
        <v>72.569999999999993</v>
      </c>
      <c r="J425" t="str">
        <f>"CUST#0011167190/PCT#1"</f>
        <v>CUST#0011167190/PCT#1</v>
      </c>
    </row>
    <row r="426" spans="1:10" x14ac:dyDescent="0.3">
      <c r="A426" t="str">
        <f>"01"</f>
        <v>01</v>
      </c>
      <c r="B426" t="str">
        <f>"CINTAS"</f>
        <v>CINTAS</v>
      </c>
      <c r="C426" t="s">
        <v>117</v>
      </c>
      <c r="D426">
        <v>72223</v>
      </c>
      <c r="E426" s="2">
        <v>65.41</v>
      </c>
      <c r="F426" s="1">
        <v>42976</v>
      </c>
      <c r="G426" t="str">
        <f>"5008615339"</f>
        <v>5008615339</v>
      </c>
      <c r="H426" t="str">
        <f>"CUST#0011167190/PCT#1"</f>
        <v>CUST#0011167190/PCT#1</v>
      </c>
      <c r="I426" s="2">
        <v>65.41</v>
      </c>
      <c r="J426" t="str">
        <f>"CUST#0011167190/PCT#1"</f>
        <v>CUST#0011167190/PCT#1</v>
      </c>
    </row>
    <row r="427" spans="1:10" x14ac:dyDescent="0.3">
      <c r="A427" t="str">
        <f>"01"</f>
        <v>01</v>
      </c>
      <c r="B427" t="str">
        <f>"005132"</f>
        <v>005132</v>
      </c>
      <c r="C427" t="s">
        <v>118</v>
      </c>
      <c r="D427">
        <v>71958</v>
      </c>
      <c r="E427" s="2">
        <v>391.23</v>
      </c>
      <c r="F427" s="1">
        <v>42961</v>
      </c>
      <c r="G427" t="str">
        <f>"8403262177"</f>
        <v>8403262177</v>
      </c>
      <c r="H427" t="str">
        <f>"CUST#10377368"</f>
        <v>CUST#10377368</v>
      </c>
      <c r="I427" s="2">
        <v>391.23</v>
      </c>
      <c r="J427" t="str">
        <f>"CUST#10377368"</f>
        <v>CUST#10377368</v>
      </c>
    </row>
    <row r="428" spans="1:10" x14ac:dyDescent="0.3">
      <c r="A428" t="str">
        <f>"01"</f>
        <v>01</v>
      </c>
      <c r="B428" t="str">
        <f>"004728"</f>
        <v>004728</v>
      </c>
      <c r="C428" t="s">
        <v>119</v>
      </c>
      <c r="D428">
        <v>71959</v>
      </c>
      <c r="E428" s="2">
        <v>2924.54</v>
      </c>
      <c r="F428" s="1">
        <v>42961</v>
      </c>
      <c r="G428" t="str">
        <f>"201708044007"</f>
        <v>201708044007</v>
      </c>
      <c r="H428" t="str">
        <f>"ACCT#086-11451"</f>
        <v>ACCT#086-11451</v>
      </c>
      <c r="I428" s="2">
        <v>41.56</v>
      </c>
      <c r="J428" t="str">
        <f>"ACCT#086-11451"</f>
        <v>ACCT#086-11451</v>
      </c>
    </row>
    <row r="429" spans="1:10" x14ac:dyDescent="0.3">
      <c r="A429" t="str">
        <f>""</f>
        <v/>
      </c>
      <c r="B429" t="str">
        <f>""</f>
        <v/>
      </c>
      <c r="G429" t="str">
        <f>"201708044009"</f>
        <v>201708044009</v>
      </c>
      <c r="H429" t="str">
        <f>"ACCT#086-11451/PCT#1"</f>
        <v>ACCT#086-11451/PCT#1</v>
      </c>
      <c r="I429" s="2">
        <v>613.9</v>
      </c>
      <c r="J429" t="str">
        <f>"ACCT#086-11451/PCT#1"</f>
        <v>ACCT#086-11451/PCT#1</v>
      </c>
    </row>
    <row r="430" spans="1:10" x14ac:dyDescent="0.3">
      <c r="A430" t="str">
        <f>""</f>
        <v/>
      </c>
      <c r="B430" t="str">
        <f>""</f>
        <v/>
      </c>
      <c r="G430" t="str">
        <f>"201708044010"</f>
        <v>201708044010</v>
      </c>
      <c r="H430" t="str">
        <f>"ACCT#086-11386/PCT#4"</f>
        <v>ACCT#086-11386/PCT#4</v>
      </c>
      <c r="I430" s="2">
        <v>652.9</v>
      </c>
      <c r="J430" t="str">
        <f>"ACCT#086-11386/PCT#4"</f>
        <v>ACCT#086-11386/PCT#4</v>
      </c>
    </row>
    <row r="431" spans="1:10" x14ac:dyDescent="0.3">
      <c r="A431" t="str">
        <f>""</f>
        <v/>
      </c>
      <c r="B431" t="str">
        <f>""</f>
        <v/>
      </c>
      <c r="G431" t="str">
        <f>"201708074112"</f>
        <v>201708074112</v>
      </c>
      <c r="H431" t="str">
        <f>"ACCT#086-11381/JULY '17"</f>
        <v>ACCT#086-11381/JULY '17</v>
      </c>
      <c r="I431" s="2">
        <v>691.25</v>
      </c>
      <c r="J431" t="str">
        <f>"ACCT#086-11381/JULY '17"</f>
        <v>ACCT#086-11381/JULY '17</v>
      </c>
    </row>
    <row r="432" spans="1:10" x14ac:dyDescent="0.3">
      <c r="A432" t="str">
        <f>""</f>
        <v/>
      </c>
      <c r="B432" t="str">
        <f>""</f>
        <v/>
      </c>
      <c r="G432" t="str">
        <f>"201708084125"</f>
        <v>201708084125</v>
      </c>
      <c r="H432" t="str">
        <f>"ACCT#086-11458/ANIMAL SHELT"</f>
        <v>ACCT#086-11458/ANIMAL SHELT</v>
      </c>
      <c r="I432" s="2">
        <v>279.68</v>
      </c>
      <c r="J432" t="str">
        <f>"ACCT#086-11458/ANIMAL SHELT"</f>
        <v>ACCT#086-11458/ANIMAL SHELT</v>
      </c>
    </row>
    <row r="433" spans="1:10" x14ac:dyDescent="0.3">
      <c r="A433" t="str">
        <f>""</f>
        <v/>
      </c>
      <c r="B433" t="str">
        <f>""</f>
        <v/>
      </c>
      <c r="G433" t="str">
        <f>"201708084144"</f>
        <v>201708084144</v>
      </c>
      <c r="H433" t="str">
        <f>"ACCT#086-11375/PCT#2"</f>
        <v>ACCT#086-11375/PCT#2</v>
      </c>
      <c r="I433" s="2">
        <v>645.25</v>
      </c>
      <c r="J433" t="str">
        <f>"ACCT#086-11375/PCT#2"</f>
        <v>ACCT#086-11375/PCT#2</v>
      </c>
    </row>
    <row r="434" spans="1:10" x14ac:dyDescent="0.3">
      <c r="A434" t="str">
        <f>"01"</f>
        <v>01</v>
      </c>
      <c r="B434" t="str">
        <f>"005132"</f>
        <v>005132</v>
      </c>
      <c r="C434" t="s">
        <v>118</v>
      </c>
      <c r="D434">
        <v>72224</v>
      </c>
      <c r="E434" s="2">
        <v>180.87</v>
      </c>
      <c r="F434" s="1">
        <v>42976</v>
      </c>
      <c r="G434" t="str">
        <f>"84032917674"</f>
        <v>84032917674</v>
      </c>
      <c r="H434" t="str">
        <f>"CUST#10377368/PCT#2"</f>
        <v>CUST#10377368/PCT#2</v>
      </c>
      <c r="I434" s="2">
        <v>73.72</v>
      </c>
      <c r="J434" t="str">
        <f>"CUST#10377368/PCT#2"</f>
        <v>CUST#10377368/PCT#2</v>
      </c>
    </row>
    <row r="435" spans="1:10" x14ac:dyDescent="0.3">
      <c r="A435" t="str">
        <f>""</f>
        <v/>
      </c>
      <c r="B435" t="str">
        <f>""</f>
        <v/>
      </c>
      <c r="G435" t="str">
        <f>"8403299691"</f>
        <v>8403299691</v>
      </c>
      <c r="H435" t="str">
        <f>"CUST#10377368/PCT#3"</f>
        <v>CUST#10377368/PCT#3</v>
      </c>
      <c r="I435" s="2">
        <v>107.15</v>
      </c>
      <c r="J435" t="str">
        <f>"CUST#10377368/PCT#3"</f>
        <v>CUST#10377368/PCT#3</v>
      </c>
    </row>
    <row r="436" spans="1:10" x14ac:dyDescent="0.3">
      <c r="A436" t="str">
        <f>"01"</f>
        <v>01</v>
      </c>
      <c r="B436" t="str">
        <f>"BCO"</f>
        <v>BCO</v>
      </c>
      <c r="C436" t="s">
        <v>120</v>
      </c>
      <c r="D436">
        <v>71896</v>
      </c>
      <c r="E436" s="2">
        <v>51993.93</v>
      </c>
      <c r="F436" s="1">
        <v>42957</v>
      </c>
      <c r="G436" t="str">
        <f>"201708094275"</f>
        <v>201708094275</v>
      </c>
      <c r="H436" t="str">
        <f>"COUNTY DEVELOPEMENT CENTER"</f>
        <v>COUNTY DEVELOPEMENT CENTER</v>
      </c>
      <c r="I436" s="2">
        <v>2835.2</v>
      </c>
      <c r="J436" t="str">
        <f>"CITY OF BASTROP"</f>
        <v>CITY OF BASTROP</v>
      </c>
    </row>
    <row r="437" spans="1:10" x14ac:dyDescent="0.3">
      <c r="A437" t="str">
        <f>""</f>
        <v/>
      </c>
      <c r="B437" t="str">
        <f>""</f>
        <v/>
      </c>
      <c r="G437" t="str">
        <f>"201708094276"</f>
        <v>201708094276</v>
      </c>
      <c r="H437" t="str">
        <f>"LAW ENFORCEMENT CENTER"</f>
        <v>LAW ENFORCEMENT CENTER</v>
      </c>
      <c r="I437" s="2">
        <v>31708.18</v>
      </c>
      <c r="J437" t="str">
        <f>"CITY OF BASTROP"</f>
        <v>CITY OF BASTROP</v>
      </c>
    </row>
    <row r="438" spans="1:10" x14ac:dyDescent="0.3">
      <c r="A438" t="str">
        <f>""</f>
        <v/>
      </c>
      <c r="B438" t="str">
        <f>""</f>
        <v/>
      </c>
      <c r="G438" t="str">
        <f>"201708094277"</f>
        <v>201708094277</v>
      </c>
      <c r="H438" t="str">
        <f>"COUNTY COURTHOUSE"</f>
        <v>COUNTY COURTHOUSE</v>
      </c>
      <c r="I438" s="2">
        <v>17450.55</v>
      </c>
      <c r="J438" t="str">
        <f>"CITY OF BASTROP"</f>
        <v>CITY OF BASTROP</v>
      </c>
    </row>
    <row r="439" spans="1:10" x14ac:dyDescent="0.3">
      <c r="A439" t="str">
        <f>"01"</f>
        <v>01</v>
      </c>
      <c r="B439" t="str">
        <f>"COB"</f>
        <v>COB</v>
      </c>
      <c r="C439" t="s">
        <v>120</v>
      </c>
      <c r="D439">
        <v>72225</v>
      </c>
      <c r="E439" s="2">
        <v>500</v>
      </c>
      <c r="F439" s="1">
        <v>42976</v>
      </c>
      <c r="G439" t="str">
        <f>"201708214300"</f>
        <v>201708214300</v>
      </c>
      <c r="H439" t="str">
        <f>"PARKING LOT RENTAL"</f>
        <v>PARKING LOT RENTAL</v>
      </c>
      <c r="I439" s="2">
        <v>500</v>
      </c>
      <c r="J439" t="str">
        <f>"PARKING LOT RENTAL"</f>
        <v>PARKING LOT RENTAL</v>
      </c>
    </row>
    <row r="440" spans="1:10" x14ac:dyDescent="0.3">
      <c r="A440" t="str">
        <f>"01"</f>
        <v>01</v>
      </c>
      <c r="B440" t="str">
        <f>"SCO"</f>
        <v>SCO</v>
      </c>
      <c r="C440" t="s">
        <v>121</v>
      </c>
      <c r="D440">
        <v>71891</v>
      </c>
      <c r="E440" s="2">
        <v>2432.2199999999998</v>
      </c>
      <c r="F440" s="1">
        <v>42948</v>
      </c>
      <c r="G440" t="str">
        <f>"201707313956"</f>
        <v>201707313956</v>
      </c>
      <c r="H440" t="str">
        <f>"ACCT #001-0000183-000"</f>
        <v>ACCT #001-0000183-000</v>
      </c>
      <c r="I440" s="2">
        <v>118.97</v>
      </c>
      <c r="J440" t="str">
        <f>"ACCT #001-0000183-000"</f>
        <v>ACCT #001-0000183-000</v>
      </c>
    </row>
    <row r="441" spans="1:10" x14ac:dyDescent="0.3">
      <c r="A441" t="str">
        <f>""</f>
        <v/>
      </c>
      <c r="B441" t="str">
        <f>""</f>
        <v/>
      </c>
      <c r="G441" t="str">
        <f>"201707313957"</f>
        <v>201707313957</v>
      </c>
      <c r="H441" t="str">
        <f>"ACCT #007-0000338-000"</f>
        <v>ACCT #007-0000338-000</v>
      </c>
      <c r="I441" s="2">
        <v>667.16</v>
      </c>
      <c r="J441" t="str">
        <f>"CITY OF SMITHVILLE"</f>
        <v>CITY OF SMITHVILLE</v>
      </c>
    </row>
    <row r="442" spans="1:10" x14ac:dyDescent="0.3">
      <c r="A442" t="str">
        <f>""</f>
        <v/>
      </c>
      <c r="B442" t="str">
        <f>""</f>
        <v/>
      </c>
      <c r="G442" t="str">
        <f>"201707313958"</f>
        <v>201707313958</v>
      </c>
      <c r="H442" t="str">
        <f>"ACCT #007-0000389-000"</f>
        <v>ACCT #007-0000389-000</v>
      </c>
      <c r="I442" s="2">
        <v>42.38</v>
      </c>
      <c r="J442" t="str">
        <f>"ACCT #007-0000389-000"</f>
        <v>ACCT #007-0000389-000</v>
      </c>
    </row>
    <row r="443" spans="1:10" x14ac:dyDescent="0.3">
      <c r="A443" t="str">
        <f>""</f>
        <v/>
      </c>
      <c r="B443" t="str">
        <f>""</f>
        <v/>
      </c>
      <c r="G443" t="str">
        <f>"201707313959"</f>
        <v>201707313959</v>
      </c>
      <c r="H443" t="str">
        <f>"ACCT #044-0001240-000"</f>
        <v>ACCT #044-0001240-000</v>
      </c>
      <c r="I443" s="2">
        <v>388.6</v>
      </c>
      <c r="J443" t="str">
        <f>"CITY OF SMITHVILLE"</f>
        <v>CITY OF SMITHVILLE</v>
      </c>
    </row>
    <row r="444" spans="1:10" x14ac:dyDescent="0.3">
      <c r="A444" t="str">
        <f>""</f>
        <v/>
      </c>
      <c r="B444" t="str">
        <f>""</f>
        <v/>
      </c>
      <c r="G444" t="str">
        <f>"201707313960"</f>
        <v>201707313960</v>
      </c>
      <c r="H444" t="str">
        <f>"ACCT# 044-0001250-000"</f>
        <v>ACCT# 044-0001250-000</v>
      </c>
      <c r="I444" s="2">
        <v>101.82</v>
      </c>
      <c r="J444" t="str">
        <f>"ACCT# 044-0001250-000"</f>
        <v>ACCT# 044-0001250-000</v>
      </c>
    </row>
    <row r="445" spans="1:10" x14ac:dyDescent="0.3">
      <c r="A445" t="str">
        <f>""</f>
        <v/>
      </c>
      <c r="B445" t="str">
        <f>""</f>
        <v/>
      </c>
      <c r="G445" t="str">
        <f>"201707313961"</f>
        <v>201707313961</v>
      </c>
      <c r="H445" t="str">
        <f>"ACCT #044-0001252-000"</f>
        <v>ACCT #044-0001252-000</v>
      </c>
      <c r="I445" s="2">
        <v>796.47</v>
      </c>
      <c r="J445" t="str">
        <f>"ACCT #044-0001252-000"</f>
        <v>ACCT #044-0001252-000</v>
      </c>
    </row>
    <row r="446" spans="1:10" x14ac:dyDescent="0.3">
      <c r="A446" t="str">
        <f>""</f>
        <v/>
      </c>
      <c r="B446" t="str">
        <f>""</f>
        <v/>
      </c>
      <c r="G446" t="str">
        <f>"201707313962"</f>
        <v>201707313962</v>
      </c>
      <c r="H446" t="str">
        <f>"ACCT #044-0001253-000"</f>
        <v>ACCT #044-0001253-000</v>
      </c>
      <c r="I446" s="2">
        <v>316.82</v>
      </c>
      <c r="J446" t="str">
        <f>"ACCT #044-0001253-000"</f>
        <v>ACCT #044-0001253-000</v>
      </c>
    </row>
    <row r="447" spans="1:10" x14ac:dyDescent="0.3">
      <c r="A447" t="str">
        <f>"01"</f>
        <v>01</v>
      </c>
      <c r="B447" t="str">
        <f>"005061"</f>
        <v>005061</v>
      </c>
      <c r="C447" t="s">
        <v>122</v>
      </c>
      <c r="D447">
        <v>71960</v>
      </c>
      <c r="E447" s="2">
        <v>5058.54</v>
      </c>
      <c r="F447" s="1">
        <v>42961</v>
      </c>
      <c r="G447" t="str">
        <f>"TRAILER REPAIR"</f>
        <v>TRAILER REPAIR</v>
      </c>
      <c r="H447" t="str">
        <f>"Trailer Repair"</f>
        <v>Trailer Repair</v>
      </c>
      <c r="I447" s="2">
        <v>5058.54</v>
      </c>
      <c r="J447" t="str">
        <f>"Trailer Repair"</f>
        <v>Trailer Repair</v>
      </c>
    </row>
    <row r="448" spans="1:10" x14ac:dyDescent="0.3">
      <c r="A448" t="str">
        <f>"01"</f>
        <v>01</v>
      </c>
      <c r="B448" t="str">
        <f>"CLINIC"</f>
        <v>CLINIC</v>
      </c>
      <c r="C448" t="s">
        <v>123</v>
      </c>
      <c r="D448">
        <v>71961</v>
      </c>
      <c r="E448" s="2">
        <v>241.99</v>
      </c>
      <c r="F448" s="1">
        <v>42961</v>
      </c>
      <c r="G448" t="str">
        <f>"201708094161"</f>
        <v>201708094161</v>
      </c>
      <c r="H448" t="str">
        <f>"INDIGENT HEALTH"</f>
        <v>INDIGENT HEALTH</v>
      </c>
      <c r="I448" s="2">
        <v>241.99</v>
      </c>
      <c r="J448" t="str">
        <f>"INDIGENT HEALTH"</f>
        <v>INDIGENT HEALTH</v>
      </c>
    </row>
    <row r="449" spans="1:10" x14ac:dyDescent="0.3">
      <c r="A449" t="str">
        <f>""</f>
        <v/>
      </c>
      <c r="B449" t="str">
        <f>""</f>
        <v/>
      </c>
      <c r="G449" t="str">
        <f>""</f>
        <v/>
      </c>
      <c r="H449" t="str">
        <f>""</f>
        <v/>
      </c>
      <c r="J449" t="str">
        <f>"INDIGENT HEALTH"</f>
        <v>INDIGENT HEALTH</v>
      </c>
    </row>
    <row r="450" spans="1:10" x14ac:dyDescent="0.3">
      <c r="A450" t="str">
        <f t="shared" ref="A450:A455" si="6">"01"</f>
        <v>01</v>
      </c>
      <c r="B450" t="str">
        <f>"CLINIC"</f>
        <v>CLINIC</v>
      </c>
      <c r="C450" t="s">
        <v>123</v>
      </c>
      <c r="D450">
        <v>72226</v>
      </c>
      <c r="E450" s="2">
        <v>317.25</v>
      </c>
      <c r="F450" s="1">
        <v>42976</v>
      </c>
      <c r="G450" t="str">
        <f>"201708234396"</f>
        <v>201708234396</v>
      </c>
      <c r="H450" t="str">
        <f>"INDIGENT HEALTH"</f>
        <v>INDIGENT HEALTH</v>
      </c>
      <c r="I450" s="2">
        <v>317.25</v>
      </c>
      <c r="J450" t="str">
        <f>"INDIGENT HEALTH"</f>
        <v>INDIGENT HEALTH</v>
      </c>
    </row>
    <row r="451" spans="1:10" x14ac:dyDescent="0.3">
      <c r="A451" t="str">
        <f t="shared" si="6"/>
        <v>01</v>
      </c>
      <c r="B451" t="str">
        <f>"T8825"</f>
        <v>T8825</v>
      </c>
      <c r="C451" t="s">
        <v>124</v>
      </c>
      <c r="D451">
        <v>72227</v>
      </c>
      <c r="E451" s="2">
        <v>356</v>
      </c>
      <c r="F451" s="1">
        <v>42976</v>
      </c>
      <c r="G451" t="str">
        <f>"201708214316"</f>
        <v>201708214316</v>
      </c>
      <c r="H451" t="str">
        <f>"BOND#71174567/TX PE BLKT #3"</f>
        <v>BOND#71174567/TX PE BLKT #3</v>
      </c>
      <c r="I451" s="2">
        <v>356</v>
      </c>
      <c r="J451" t="str">
        <f>"BOND#71174567/TX PE BLKT #3"</f>
        <v>BOND#71174567/TX PE BLKT #3</v>
      </c>
    </row>
    <row r="452" spans="1:10" x14ac:dyDescent="0.3">
      <c r="A452" t="str">
        <f t="shared" si="6"/>
        <v>01</v>
      </c>
      <c r="B452" t="str">
        <f>"002539"</f>
        <v>002539</v>
      </c>
      <c r="C452" t="s">
        <v>125</v>
      </c>
      <c r="D452">
        <v>72228</v>
      </c>
      <c r="E452" s="2">
        <v>75</v>
      </c>
      <c r="F452" s="1">
        <v>42976</v>
      </c>
      <c r="G452" t="str">
        <f>"12530"</f>
        <v>12530</v>
      </c>
      <c r="H452" t="str">
        <f>"SERVICE 6/14/17"</f>
        <v>SERVICE 6/14/17</v>
      </c>
      <c r="I452" s="2">
        <v>75</v>
      </c>
      <c r="J452" t="str">
        <f>"SERVICE 6/14/17"</f>
        <v>SERVICE 6/14/17</v>
      </c>
    </row>
    <row r="453" spans="1:10" x14ac:dyDescent="0.3">
      <c r="A453" t="str">
        <f t="shared" si="6"/>
        <v>01</v>
      </c>
      <c r="B453" t="str">
        <f>"002480"</f>
        <v>002480</v>
      </c>
      <c r="C453" t="s">
        <v>126</v>
      </c>
      <c r="D453">
        <v>72229</v>
      </c>
      <c r="E453" s="2">
        <v>150</v>
      </c>
      <c r="F453" s="1">
        <v>42976</v>
      </c>
      <c r="G453" t="str">
        <f>"12539"</f>
        <v>12539</v>
      </c>
      <c r="H453" t="str">
        <f>"SERVICE 6/14/17"</f>
        <v>SERVICE 6/14/17</v>
      </c>
      <c r="I453" s="2">
        <v>150</v>
      </c>
      <c r="J453" t="str">
        <f>"SERVICE 6/14/17"</f>
        <v>SERVICE 6/14/17</v>
      </c>
    </row>
    <row r="454" spans="1:10" x14ac:dyDescent="0.3">
      <c r="A454" t="str">
        <f t="shared" si="6"/>
        <v>01</v>
      </c>
      <c r="B454" t="str">
        <f>"002809"</f>
        <v>002809</v>
      </c>
      <c r="C454" t="s">
        <v>127</v>
      </c>
      <c r="D454">
        <v>71962</v>
      </c>
      <c r="E454" s="2">
        <v>164</v>
      </c>
      <c r="F454" s="1">
        <v>42961</v>
      </c>
      <c r="G454" t="str">
        <f>"12463721250"</f>
        <v>12463721250</v>
      </c>
      <c r="H454" t="str">
        <f>"COFFEE  INV12463721250"</f>
        <v>COFFEE  INV12463721250</v>
      </c>
      <c r="I454" s="2">
        <v>164</v>
      </c>
      <c r="J454" t="str">
        <f>"COFFEE  INV12463721250"</f>
        <v>COFFEE  INV12463721250</v>
      </c>
    </row>
    <row r="455" spans="1:10" x14ac:dyDescent="0.3">
      <c r="A455" t="str">
        <f t="shared" si="6"/>
        <v>01</v>
      </c>
      <c r="B455" t="str">
        <f>"CONTEC"</f>
        <v>CONTEC</v>
      </c>
      <c r="C455" t="s">
        <v>128</v>
      </c>
      <c r="D455">
        <v>71963</v>
      </c>
      <c r="E455" s="2">
        <v>7200</v>
      </c>
      <c r="F455" s="1">
        <v>42961</v>
      </c>
      <c r="G455" t="str">
        <f>"15278879"</f>
        <v>15278879</v>
      </c>
      <c r="H455" t="str">
        <f>"REF#12226539SO/PCT#3"</f>
        <v>REF#12226539SO/PCT#3</v>
      </c>
      <c r="I455" s="2">
        <v>4032</v>
      </c>
      <c r="J455" t="str">
        <f>"REF#12226539SO/PCT#3"</f>
        <v>REF#12226539SO/PCT#3</v>
      </c>
    </row>
    <row r="456" spans="1:10" x14ac:dyDescent="0.3">
      <c r="A456" t="str">
        <f>""</f>
        <v/>
      </c>
      <c r="B456" t="str">
        <f>""</f>
        <v/>
      </c>
      <c r="G456" t="str">
        <f>"15278880"</f>
        <v>15278880</v>
      </c>
      <c r="H456" t="str">
        <f>"REF#12227161SO/PCT#3"</f>
        <v>REF#12227161SO/PCT#3</v>
      </c>
      <c r="I456" s="2">
        <v>3168</v>
      </c>
      <c r="J456" t="str">
        <f>"REF#12227161SO/PCT#3"</f>
        <v>REF#12227161SO/PCT#3</v>
      </c>
    </row>
    <row r="457" spans="1:10" x14ac:dyDescent="0.3">
      <c r="A457" t="str">
        <f>"01"</f>
        <v>01</v>
      </c>
      <c r="B457" t="str">
        <f>"005059"</f>
        <v>005059</v>
      </c>
      <c r="C457" t="s">
        <v>129</v>
      </c>
      <c r="D457">
        <v>71964</v>
      </c>
      <c r="E457" s="2">
        <v>240</v>
      </c>
      <c r="F457" s="1">
        <v>42961</v>
      </c>
      <c r="G457" t="str">
        <f>"289250"</f>
        <v>289250</v>
      </c>
      <c r="H457" t="str">
        <f>"TINT WINDOW-TREASURER'S OFFICE"</f>
        <v>TINT WINDOW-TREASURER'S OFFICE</v>
      </c>
      <c r="I457" s="2">
        <v>240</v>
      </c>
      <c r="J457" t="str">
        <f>"TINT WINDOW-TREASURER'S OFFICE"</f>
        <v>TINT WINDOW-TREASURER'S OFFICE</v>
      </c>
    </row>
    <row r="458" spans="1:10" x14ac:dyDescent="0.3">
      <c r="A458" t="str">
        <f>"01"</f>
        <v>01</v>
      </c>
      <c r="B458" t="str">
        <f>"CEC"</f>
        <v>CEC</v>
      </c>
      <c r="C458" t="s">
        <v>130</v>
      </c>
      <c r="D458">
        <v>71965</v>
      </c>
      <c r="E458" s="2">
        <v>650.78</v>
      </c>
      <c r="F458" s="1">
        <v>42961</v>
      </c>
      <c r="G458" t="str">
        <f>"IN44987"</f>
        <v>IN44987</v>
      </c>
      <c r="H458" t="str">
        <f>"FREIGHT CHARGES"</f>
        <v>FREIGHT CHARGES</v>
      </c>
      <c r="I458" s="2">
        <v>99.42</v>
      </c>
      <c r="J458" t="str">
        <f>"FREIGHT CHARGES"</f>
        <v>FREIGHT CHARGES</v>
      </c>
    </row>
    <row r="459" spans="1:10" x14ac:dyDescent="0.3">
      <c r="A459" t="str">
        <f>""</f>
        <v/>
      </c>
      <c r="B459" t="str">
        <f>""</f>
        <v/>
      </c>
      <c r="G459" t="str">
        <f>"IN45012"</f>
        <v>IN45012</v>
      </c>
      <c r="H459" t="str">
        <f>"ACCT#353/PARTS/PCT#1"</f>
        <v>ACCT#353/PARTS/PCT#1</v>
      </c>
      <c r="I459" s="2">
        <v>362.37</v>
      </c>
      <c r="J459" t="str">
        <f>"ACCT#353/PARTS/PCT#1"</f>
        <v>ACCT#353/PARTS/PCT#1</v>
      </c>
    </row>
    <row r="460" spans="1:10" x14ac:dyDescent="0.3">
      <c r="A460" t="str">
        <f>""</f>
        <v/>
      </c>
      <c r="B460" t="str">
        <f>""</f>
        <v/>
      </c>
      <c r="G460" t="str">
        <f>"IN45033"</f>
        <v>IN45033</v>
      </c>
      <c r="H460" t="str">
        <f>"ACCT#353/FRT CHRGS/PCT#2"</f>
        <v>ACCT#353/FRT CHRGS/PCT#2</v>
      </c>
      <c r="I460" s="2">
        <v>188.99</v>
      </c>
      <c r="J460" t="str">
        <f>"ACCT#353/FRT CHRGS/PCT#2"</f>
        <v>ACCT#353/FRT CHRGS/PCT#2</v>
      </c>
    </row>
    <row r="461" spans="1:10" x14ac:dyDescent="0.3">
      <c r="A461" t="str">
        <f>"01"</f>
        <v>01</v>
      </c>
      <c r="B461" t="str">
        <f>"002553"</f>
        <v>002553</v>
      </c>
      <c r="C461" t="s">
        <v>131</v>
      </c>
      <c r="D461">
        <v>72230</v>
      </c>
      <c r="E461" s="2">
        <v>60</v>
      </c>
      <c r="F461" s="1">
        <v>42976</v>
      </c>
      <c r="G461" t="str">
        <f>"12309"</f>
        <v>12309</v>
      </c>
      <c r="H461" t="str">
        <f>"SERVICE 6/14/17"</f>
        <v>SERVICE 6/14/17</v>
      </c>
      <c r="I461" s="2">
        <v>60</v>
      </c>
      <c r="J461" t="str">
        <f>"SERVICE 6/14/17"</f>
        <v>SERVICE 6/14/17</v>
      </c>
    </row>
    <row r="462" spans="1:10" x14ac:dyDescent="0.3">
      <c r="A462" t="str">
        <f>"01"</f>
        <v>01</v>
      </c>
      <c r="B462" t="str">
        <f>"001457"</f>
        <v>001457</v>
      </c>
      <c r="C462" t="s">
        <v>132</v>
      </c>
      <c r="D462">
        <v>71966</v>
      </c>
      <c r="E462" s="2">
        <v>430</v>
      </c>
      <c r="F462" s="1">
        <v>42961</v>
      </c>
      <c r="G462" t="str">
        <f>"JCW-30016-01"</f>
        <v>JCW-30016-01</v>
      </c>
      <c r="H462" t="str">
        <f>"COTHRON SECURITY SOLUTIONS LLC"</f>
        <v>COTHRON SECURITY SOLUTIONS LLC</v>
      </c>
      <c r="I462" s="2">
        <v>430</v>
      </c>
      <c r="J462" t="str">
        <f>"16PortSwitch"</f>
        <v>16PortSwitch</v>
      </c>
    </row>
    <row r="463" spans="1:10" x14ac:dyDescent="0.3">
      <c r="A463" t="str">
        <f>""</f>
        <v/>
      </c>
      <c r="B463" t="str">
        <f>""</f>
        <v/>
      </c>
      <c r="G463" t="str">
        <f>""</f>
        <v/>
      </c>
      <c r="H463" t="str">
        <f>""</f>
        <v/>
      </c>
      <c r="J463" t="str">
        <f>"Shipping"</f>
        <v>Shipping</v>
      </c>
    </row>
    <row r="464" spans="1:10" x14ac:dyDescent="0.3">
      <c r="A464" t="str">
        <f>"01"</f>
        <v>01</v>
      </c>
      <c r="B464" t="str">
        <f>"001457"</f>
        <v>001457</v>
      </c>
      <c r="C464" t="s">
        <v>132</v>
      </c>
      <c r="D464">
        <v>72231</v>
      </c>
      <c r="E464" s="2">
        <v>438</v>
      </c>
      <c r="F464" s="1">
        <v>42976</v>
      </c>
      <c r="G464" t="str">
        <f>"201708224370"</f>
        <v>201708224370</v>
      </c>
      <c r="H464" t="str">
        <f>"ACCT#2449/TCKT#16007"</f>
        <v>ACCT#2449/TCKT#16007</v>
      </c>
      <c r="I464" s="2">
        <v>438</v>
      </c>
      <c r="J464" t="str">
        <f>"ACCT#2449/TCKT#16007"</f>
        <v>ACCT#2449/TCKT#16007</v>
      </c>
    </row>
    <row r="465" spans="1:10" x14ac:dyDescent="0.3">
      <c r="A465" t="str">
        <f>"01"</f>
        <v>01</v>
      </c>
      <c r="B465" t="str">
        <f>"001894"</f>
        <v>001894</v>
      </c>
      <c r="C465" t="s">
        <v>133</v>
      </c>
      <c r="D465">
        <v>71967</v>
      </c>
      <c r="E465" s="2">
        <v>131.04</v>
      </c>
      <c r="F465" s="1">
        <v>42961</v>
      </c>
      <c r="G465" t="str">
        <f>"P23089"</f>
        <v>P23089</v>
      </c>
      <c r="H465" t="str">
        <f>"CUST#BASTR002/PCT#4"</f>
        <v>CUST#BASTR002/PCT#4</v>
      </c>
      <c r="I465" s="2">
        <v>131.04</v>
      </c>
      <c r="J465" t="str">
        <f>"CUST#BASTR002/PCT#4"</f>
        <v>CUST#BASTR002/PCT#4</v>
      </c>
    </row>
    <row r="466" spans="1:10" x14ac:dyDescent="0.3">
      <c r="A466" t="str">
        <f>"01"</f>
        <v>01</v>
      </c>
      <c r="B466" t="str">
        <f>"CCO"</f>
        <v>CCO</v>
      </c>
      <c r="C466" t="s">
        <v>134</v>
      </c>
      <c r="D466">
        <v>999999</v>
      </c>
      <c r="E466" s="2">
        <v>321.44</v>
      </c>
      <c r="F466" s="1">
        <v>42961</v>
      </c>
      <c r="G466" t="str">
        <f>"218885CVW"</f>
        <v>218885CVW</v>
      </c>
      <c r="H466" t="str">
        <f>"CUST#4011/GLASS/PCT#4"</f>
        <v>CUST#4011/GLASS/PCT#4</v>
      </c>
      <c r="I466" s="2">
        <v>88</v>
      </c>
      <c r="J466" t="str">
        <f>"CUST#4011/GLASS/PCT#4"</f>
        <v>CUST#4011/GLASS/PCT#4</v>
      </c>
    </row>
    <row r="467" spans="1:10" x14ac:dyDescent="0.3">
      <c r="A467" t="str">
        <f>""</f>
        <v/>
      </c>
      <c r="B467" t="str">
        <f>""</f>
        <v/>
      </c>
      <c r="G467" t="str">
        <f>"218967CVW"</f>
        <v>218967CVW</v>
      </c>
      <c r="H467" t="str">
        <f>"CUST#4011/PARTS/PCT#3"</f>
        <v>CUST#4011/PARTS/PCT#3</v>
      </c>
      <c r="I467" s="2">
        <v>233.44</v>
      </c>
      <c r="J467" t="str">
        <f>"CUST#4011/PARTS/PCT#3"</f>
        <v>CUST#4011/PARTS/PCT#3</v>
      </c>
    </row>
    <row r="468" spans="1:10" x14ac:dyDescent="0.3">
      <c r="A468" t="str">
        <f>"01"</f>
        <v>01</v>
      </c>
      <c r="B468" t="str">
        <f>"004106"</f>
        <v>004106</v>
      </c>
      <c r="C468" t="s">
        <v>135</v>
      </c>
      <c r="D468">
        <v>71968</v>
      </c>
      <c r="E468" s="2">
        <v>2000</v>
      </c>
      <c r="F468" s="1">
        <v>42961</v>
      </c>
      <c r="G468" t="str">
        <f>"JULY PSYCH EVALS"</f>
        <v>JULY PSYCH EVALS</v>
      </c>
      <c r="H468" t="str">
        <f>"JULY PSYCH EVALS"</f>
        <v>JULY PSYCH EVALS</v>
      </c>
      <c r="I468" s="2">
        <v>750</v>
      </c>
    </row>
    <row r="469" spans="1:10" x14ac:dyDescent="0.3">
      <c r="A469" t="str">
        <f>""</f>
        <v/>
      </c>
      <c r="B469" t="str">
        <f>""</f>
        <v/>
      </c>
      <c r="G469" t="str">
        <f>"JUNE'17 PSYCH EVAL"</f>
        <v>JUNE'17 PSYCH EVAL</v>
      </c>
      <c r="H469" t="str">
        <f>"PSYCH EVALS"</f>
        <v>PSYCH EVALS</v>
      </c>
      <c r="I469" s="2">
        <v>1250</v>
      </c>
    </row>
    <row r="470" spans="1:10" x14ac:dyDescent="0.3">
      <c r="A470" t="str">
        <f>"01"</f>
        <v>01</v>
      </c>
      <c r="B470" t="str">
        <f>"004106"</f>
        <v>004106</v>
      </c>
      <c r="C470" t="s">
        <v>135</v>
      </c>
      <c r="D470">
        <v>72232</v>
      </c>
      <c r="E470" s="2">
        <v>1000</v>
      </c>
      <c r="F470" s="1">
        <v>42976</v>
      </c>
      <c r="G470" t="str">
        <f>"AUGUST PSYC EVALS"</f>
        <v>AUGUST PSYC EVALS</v>
      </c>
      <c r="H470" t="str">
        <f>"AUGUST INVOICE"</f>
        <v>AUGUST INVOICE</v>
      </c>
      <c r="I470" s="2">
        <v>1000</v>
      </c>
    </row>
    <row r="471" spans="1:10" x14ac:dyDescent="0.3">
      <c r="A471" t="str">
        <f>"01"</f>
        <v>01</v>
      </c>
      <c r="B471" t="str">
        <f>"T11708"</f>
        <v>T11708</v>
      </c>
      <c r="C471" t="s">
        <v>136</v>
      </c>
      <c r="D471">
        <v>71969</v>
      </c>
      <c r="E471" s="2">
        <v>150</v>
      </c>
      <c r="F471" s="1">
        <v>42961</v>
      </c>
      <c r="G471" t="str">
        <f>"201707283881"</f>
        <v>201707283881</v>
      </c>
      <c r="H471" t="str">
        <f>"CLEANING-JULY 14TH-24TH"</f>
        <v>CLEANING-JULY 14TH-24TH</v>
      </c>
      <c r="I471" s="2">
        <v>150</v>
      </c>
      <c r="J471" t="str">
        <f>"CLEANING-JULY 14TH-24TH"</f>
        <v>CLEANING-JULY 14TH-24TH</v>
      </c>
    </row>
    <row r="472" spans="1:10" x14ac:dyDescent="0.3">
      <c r="A472" t="str">
        <f>"01"</f>
        <v>01</v>
      </c>
      <c r="B472" t="str">
        <f>"003136"</f>
        <v>003136</v>
      </c>
      <c r="C472" t="s">
        <v>137</v>
      </c>
      <c r="D472">
        <v>72042</v>
      </c>
      <c r="E472" s="2">
        <v>16.75</v>
      </c>
      <c r="F472" s="1">
        <v>42961</v>
      </c>
      <c r="G472" t="str">
        <f>"PHO222"</f>
        <v>PHO222</v>
      </c>
      <c r="H472" t="str">
        <f>"TOLL FEES/PLATE#1165326/PCT#2"</f>
        <v>TOLL FEES/PLATE#1165326/PCT#2</v>
      </c>
      <c r="I472" s="2">
        <v>16.75</v>
      </c>
      <c r="J472" t="str">
        <f>"TOLL FEES/PLATE#1165326/PCT#2"</f>
        <v>TOLL FEES/PLATE#1165326/PCT#2</v>
      </c>
    </row>
    <row r="473" spans="1:10" x14ac:dyDescent="0.3">
      <c r="A473" t="str">
        <f>"01"</f>
        <v>01</v>
      </c>
      <c r="B473" t="str">
        <f>"T14390"</f>
        <v>T14390</v>
      </c>
      <c r="C473" t="s">
        <v>138</v>
      </c>
      <c r="D473">
        <v>71970</v>
      </c>
      <c r="E473" s="2">
        <v>1456.35</v>
      </c>
      <c r="F473" s="1">
        <v>42961</v>
      </c>
      <c r="G473" t="str">
        <f>"GV08726-231962"</f>
        <v>GV08726-231962</v>
      </c>
      <c r="H473" t="str">
        <f>"ACCT#0008726/QRTLY VALUATION"</f>
        <v>ACCT#0008726/QRTLY VALUATION</v>
      </c>
      <c r="I473" s="2">
        <v>1456.35</v>
      </c>
      <c r="J473" t="str">
        <f>"ACCT#0008726/QRTLY VALUATION"</f>
        <v>ACCT#0008726/QRTLY VALUATION</v>
      </c>
    </row>
    <row r="474" spans="1:10" x14ac:dyDescent="0.3">
      <c r="A474" t="str">
        <f>"01"</f>
        <v>01</v>
      </c>
      <c r="B474" t="str">
        <f>"T9280"</f>
        <v>T9280</v>
      </c>
      <c r="C474" t="s">
        <v>139</v>
      </c>
      <c r="D474">
        <v>71971</v>
      </c>
      <c r="E474" s="2">
        <v>1488.33</v>
      </c>
      <c r="F474" s="1">
        <v>42961</v>
      </c>
      <c r="G474" t="str">
        <f>"292164"</f>
        <v>292164</v>
      </c>
      <c r="H474" t="str">
        <f>"Inv# 292164"</f>
        <v>Inv# 292164</v>
      </c>
      <c r="I474" s="2">
        <v>1488.33</v>
      </c>
      <c r="J474" t="str">
        <f>"RSH8108P2450"</f>
        <v>RSH8108P2450</v>
      </c>
    </row>
    <row r="475" spans="1:10" x14ac:dyDescent="0.3">
      <c r="A475" t="str">
        <f>""</f>
        <v/>
      </c>
      <c r="B475" t="str">
        <f>""</f>
        <v/>
      </c>
      <c r="G475" t="str">
        <f>""</f>
        <v/>
      </c>
      <c r="H475" t="str">
        <f>""</f>
        <v/>
      </c>
      <c r="J475" t="str">
        <f>"RSH7725122450"</f>
        <v>RSH7725122450</v>
      </c>
    </row>
    <row r="476" spans="1:10" x14ac:dyDescent="0.3">
      <c r="A476" t="str">
        <f>""</f>
        <v/>
      </c>
      <c r="B476" t="str">
        <f>""</f>
        <v/>
      </c>
      <c r="G476" t="str">
        <f>""</f>
        <v/>
      </c>
      <c r="H476" t="str">
        <f>""</f>
        <v/>
      </c>
      <c r="J476" t="str">
        <f>"BA080HWH0924SNSRD"</f>
        <v>BA080HWH0924SNSRD</v>
      </c>
    </row>
    <row r="477" spans="1:10" x14ac:dyDescent="0.3">
      <c r="A477" t="str">
        <f>""</f>
        <v/>
      </c>
      <c r="B477" t="str">
        <f>""</f>
        <v/>
      </c>
      <c r="G477" t="str">
        <f>""</f>
        <v/>
      </c>
      <c r="H477" t="str">
        <f>""</f>
        <v/>
      </c>
      <c r="J477" t="str">
        <f>"SHIPPING"</f>
        <v>SHIPPING</v>
      </c>
    </row>
    <row r="478" spans="1:10" x14ac:dyDescent="0.3">
      <c r="A478" t="str">
        <f>"01"</f>
        <v>01</v>
      </c>
      <c r="B478" t="str">
        <f>"004072"</f>
        <v>004072</v>
      </c>
      <c r="C478" t="s">
        <v>140</v>
      </c>
      <c r="D478">
        <v>71972</v>
      </c>
      <c r="E478" s="2">
        <v>182.2</v>
      </c>
      <c r="F478" s="1">
        <v>42961</v>
      </c>
      <c r="G478" t="str">
        <f>"IN1288947"</f>
        <v>IN1288947</v>
      </c>
      <c r="H478" t="str">
        <f>"ACCT#BC113:40R756"</f>
        <v>ACCT#BC113:40R756</v>
      </c>
      <c r="I478" s="2">
        <v>182.2</v>
      </c>
      <c r="J478" t="str">
        <f>"ACCT#BC113:40R756"</f>
        <v>ACCT#BC113:40R756</v>
      </c>
    </row>
    <row r="479" spans="1:10" x14ac:dyDescent="0.3">
      <c r="A479" t="str">
        <f>"01"</f>
        <v>01</v>
      </c>
      <c r="B479" t="str">
        <f>"T7935"</f>
        <v>T7935</v>
      </c>
      <c r="C479" t="s">
        <v>141</v>
      </c>
      <c r="D479">
        <v>72234</v>
      </c>
      <c r="E479" s="2">
        <v>140.32</v>
      </c>
      <c r="F479" s="1">
        <v>42976</v>
      </c>
      <c r="G479" t="str">
        <f>"31512381 - 50"</f>
        <v>31512381 - 50</v>
      </c>
      <c r="H479" t="str">
        <f>"COPIER LEASE-PURCHASING"</f>
        <v>COPIER LEASE-PURCHASING</v>
      </c>
      <c r="I479" s="2">
        <v>140.32</v>
      </c>
      <c r="J479" t="str">
        <f>"COPIER LEASE-PURCHASING"</f>
        <v>COPIER LEASE-PURCHASING</v>
      </c>
    </row>
    <row r="480" spans="1:10" x14ac:dyDescent="0.3">
      <c r="A480" t="str">
        <f>"01"</f>
        <v>01</v>
      </c>
      <c r="B480" t="str">
        <f>"002352"</f>
        <v>002352</v>
      </c>
      <c r="C480" t="s">
        <v>142</v>
      </c>
      <c r="D480">
        <v>72235</v>
      </c>
      <c r="E480" s="2">
        <v>80</v>
      </c>
      <c r="F480" s="1">
        <v>42976</v>
      </c>
      <c r="G480" t="str">
        <f>"12459"</f>
        <v>12459</v>
      </c>
      <c r="H480" t="str">
        <f>"SERVICE 6/14/17"</f>
        <v>SERVICE 6/14/17</v>
      </c>
      <c r="I480" s="2">
        <v>80</v>
      </c>
      <c r="J480" t="str">
        <f>"SERVICE 6/14/17"</f>
        <v>SERVICE 6/14/17</v>
      </c>
    </row>
    <row r="481" spans="1:10" x14ac:dyDescent="0.3">
      <c r="A481" t="str">
        <f>"01"</f>
        <v>01</v>
      </c>
      <c r="B481" t="str">
        <f>"004962"</f>
        <v>004962</v>
      </c>
      <c r="C481" t="s">
        <v>143</v>
      </c>
      <c r="D481">
        <v>71973</v>
      </c>
      <c r="E481" s="2">
        <v>110.93</v>
      </c>
      <c r="F481" s="1">
        <v>42961</v>
      </c>
      <c r="G481" t="str">
        <f>"201708023986"</f>
        <v>201708023986</v>
      </c>
      <c r="H481" t="str">
        <f>"MILEAGE REIMBURSEMENT-TCDRS"</f>
        <v>MILEAGE REIMBURSEMENT-TCDRS</v>
      </c>
      <c r="I481" s="2">
        <v>105.93</v>
      </c>
      <c r="J481" t="str">
        <f>"MILEAGE REIMBURSEMENT-TCDRS"</f>
        <v>MILEAGE REIMBURSEMENT-TCDRS</v>
      </c>
    </row>
    <row r="482" spans="1:10" x14ac:dyDescent="0.3">
      <c r="A482" t="str">
        <f>""</f>
        <v/>
      </c>
      <c r="B482" t="str">
        <f>""</f>
        <v/>
      </c>
      <c r="G482" t="str">
        <f>"201708023991"</f>
        <v>201708023991</v>
      </c>
      <c r="H482" t="str">
        <f>"REIMBURSE PARKING FEE-TCDRS"</f>
        <v>REIMBURSE PARKING FEE-TCDRS</v>
      </c>
      <c r="I482" s="2">
        <v>5</v>
      </c>
      <c r="J482" t="str">
        <f>"REIMBURSE PARKING FEE-TCDRS"</f>
        <v>REIMBURSE PARKING FEE-TCDRS</v>
      </c>
    </row>
    <row r="483" spans="1:10" x14ac:dyDescent="0.3">
      <c r="A483" t="str">
        <f>"01"</f>
        <v>01</v>
      </c>
      <c r="B483" t="str">
        <f>"BROOKS"</f>
        <v>BROOKS</v>
      </c>
      <c r="C483" t="s">
        <v>144</v>
      </c>
      <c r="D483">
        <v>72236</v>
      </c>
      <c r="E483" s="2">
        <v>100</v>
      </c>
      <c r="F483" s="1">
        <v>42976</v>
      </c>
      <c r="G483" t="str">
        <f>"201708214313"</f>
        <v>201708214313</v>
      </c>
      <c r="H483" t="str">
        <f>"LEGAL SVCS/JULY 2017"</f>
        <v>LEGAL SVCS/JULY 2017</v>
      </c>
      <c r="I483" s="2">
        <v>100</v>
      </c>
      <c r="J483" t="str">
        <f>"LEGAL SVCS/JULY 2017"</f>
        <v>LEGAL SVCS/JULY 2017</v>
      </c>
    </row>
    <row r="484" spans="1:10" x14ac:dyDescent="0.3">
      <c r="A484" t="str">
        <f>"01"</f>
        <v>01</v>
      </c>
      <c r="B484" t="str">
        <f>"003335"</f>
        <v>003335</v>
      </c>
      <c r="C484" t="s">
        <v>145</v>
      </c>
      <c r="D484">
        <v>999999</v>
      </c>
      <c r="E484" s="2">
        <v>1432.5</v>
      </c>
      <c r="F484" s="1">
        <v>42961</v>
      </c>
      <c r="G484" t="str">
        <f>"201707283900"</f>
        <v>201707283900</v>
      </c>
      <c r="H484" t="str">
        <f>"16-17934"</f>
        <v>16-17934</v>
      </c>
      <c r="I484" s="2">
        <v>145</v>
      </c>
      <c r="J484" t="str">
        <f>"16-17934"</f>
        <v>16-17934</v>
      </c>
    </row>
    <row r="485" spans="1:10" x14ac:dyDescent="0.3">
      <c r="A485" t="str">
        <f>""</f>
        <v/>
      </c>
      <c r="B485" t="str">
        <f>""</f>
        <v/>
      </c>
      <c r="G485" t="str">
        <f>"201707283901"</f>
        <v>201707283901</v>
      </c>
      <c r="H485" t="str">
        <f>"15-17035"</f>
        <v>15-17035</v>
      </c>
      <c r="I485" s="2">
        <v>212.5</v>
      </c>
      <c r="J485" t="str">
        <f>"15-17035"</f>
        <v>15-17035</v>
      </c>
    </row>
    <row r="486" spans="1:10" x14ac:dyDescent="0.3">
      <c r="A486" t="str">
        <f>""</f>
        <v/>
      </c>
      <c r="B486" t="str">
        <f>""</f>
        <v/>
      </c>
      <c r="G486" t="str">
        <f>"201707283902"</f>
        <v>201707283902</v>
      </c>
      <c r="H486" t="str">
        <f>"15-17513"</f>
        <v>15-17513</v>
      </c>
      <c r="I486" s="2">
        <v>630</v>
      </c>
      <c r="J486" t="str">
        <f>"15-17513"</f>
        <v>15-17513</v>
      </c>
    </row>
    <row r="487" spans="1:10" x14ac:dyDescent="0.3">
      <c r="A487" t="str">
        <f>""</f>
        <v/>
      </c>
      <c r="B487" t="str">
        <f>""</f>
        <v/>
      </c>
      <c r="G487" t="str">
        <f>"201708094216"</f>
        <v>201708094216</v>
      </c>
      <c r="H487" t="str">
        <f>"15-17513"</f>
        <v>15-17513</v>
      </c>
      <c r="I487" s="2">
        <v>445</v>
      </c>
      <c r="J487" t="str">
        <f>"15-17513"</f>
        <v>15-17513</v>
      </c>
    </row>
    <row r="488" spans="1:10" x14ac:dyDescent="0.3">
      <c r="A488" t="str">
        <f>"01"</f>
        <v>01</v>
      </c>
      <c r="B488" t="str">
        <f>"DELL"</f>
        <v>DELL</v>
      </c>
      <c r="C488" t="s">
        <v>146</v>
      </c>
      <c r="D488">
        <v>71974</v>
      </c>
      <c r="E488" s="2">
        <v>9176.23</v>
      </c>
      <c r="F488" s="1">
        <v>42961</v>
      </c>
      <c r="G488" t="str">
        <f>"10171114974"</f>
        <v>10171114974</v>
      </c>
      <c r="H488" t="str">
        <f>"Extended Warrenty Service"</f>
        <v>Extended Warrenty Service</v>
      </c>
      <c r="I488" s="2">
        <v>8872.09</v>
      </c>
      <c r="J488" t="str">
        <f>"Ext. Service 3CHQQV1"</f>
        <v>Ext. Service 3CHQQV1</v>
      </c>
    </row>
    <row r="489" spans="1:10" x14ac:dyDescent="0.3">
      <c r="A489" t="str">
        <f>""</f>
        <v/>
      </c>
      <c r="B489" t="str">
        <f>""</f>
        <v/>
      </c>
      <c r="G489" t="str">
        <f>""</f>
        <v/>
      </c>
      <c r="H489" t="str">
        <f>""</f>
        <v/>
      </c>
      <c r="J489" t="str">
        <f>"Ext. Service 1CHQQV1"</f>
        <v>Ext. Service 1CHQQV1</v>
      </c>
    </row>
    <row r="490" spans="1:10" x14ac:dyDescent="0.3">
      <c r="A490" t="str">
        <f>""</f>
        <v/>
      </c>
      <c r="B490" t="str">
        <f>""</f>
        <v/>
      </c>
      <c r="G490" t="str">
        <f>""</f>
        <v/>
      </c>
      <c r="H490" t="str">
        <f>""</f>
        <v/>
      </c>
      <c r="J490" t="str">
        <f>"Ext. Service 2CGQQV1"</f>
        <v>Ext. Service 2CGQQV1</v>
      </c>
    </row>
    <row r="491" spans="1:10" x14ac:dyDescent="0.3">
      <c r="A491" t="str">
        <f>""</f>
        <v/>
      </c>
      <c r="B491" t="str">
        <f>""</f>
        <v/>
      </c>
      <c r="G491" t="str">
        <f>""</f>
        <v/>
      </c>
      <c r="H491" t="str">
        <f>""</f>
        <v/>
      </c>
      <c r="J491" t="str">
        <f>"Ext. Service GJPQQV1"</f>
        <v>Ext. Service GJPQQV1</v>
      </c>
    </row>
    <row r="492" spans="1:10" x14ac:dyDescent="0.3">
      <c r="A492" t="str">
        <f>""</f>
        <v/>
      </c>
      <c r="B492" t="str">
        <f>""</f>
        <v/>
      </c>
      <c r="G492" t="str">
        <f>""</f>
        <v/>
      </c>
      <c r="H492" t="str">
        <f>""</f>
        <v/>
      </c>
      <c r="J492" t="str">
        <f>"Ext. Service FJPQQV1"</f>
        <v>Ext. Service FJPQQV1</v>
      </c>
    </row>
    <row r="493" spans="1:10" x14ac:dyDescent="0.3">
      <c r="A493" t="str">
        <f>""</f>
        <v/>
      </c>
      <c r="B493" t="str">
        <f>""</f>
        <v/>
      </c>
      <c r="G493" t="str">
        <f>""</f>
        <v/>
      </c>
      <c r="H493" t="str">
        <f>""</f>
        <v/>
      </c>
      <c r="J493" t="str">
        <f>"Ext. Service CMJLW12"</f>
        <v>Ext. Service CMJLW12</v>
      </c>
    </row>
    <row r="494" spans="1:10" x14ac:dyDescent="0.3">
      <c r="A494" t="str">
        <f>""</f>
        <v/>
      </c>
      <c r="B494" t="str">
        <f>""</f>
        <v/>
      </c>
      <c r="G494" t="str">
        <f>""</f>
        <v/>
      </c>
      <c r="H494" t="str">
        <f>""</f>
        <v/>
      </c>
      <c r="J494" t="str">
        <f>"DISCOUNT"</f>
        <v>DISCOUNT</v>
      </c>
    </row>
    <row r="495" spans="1:10" x14ac:dyDescent="0.3">
      <c r="A495" t="str">
        <f>""</f>
        <v/>
      </c>
      <c r="B495" t="str">
        <f>""</f>
        <v/>
      </c>
      <c r="G495" t="str">
        <f>"10180984004"</f>
        <v>10180984004</v>
      </c>
      <c r="H495" t="str">
        <f>"CUST#7792907/ORD#7792907"</f>
        <v>CUST#7792907/ORD#7792907</v>
      </c>
      <c r="I495" s="2">
        <v>304.14</v>
      </c>
      <c r="J495" t="str">
        <f>"CUST#7792907/ORD#7792907"</f>
        <v>CUST#7792907/ORD#7792907</v>
      </c>
    </row>
    <row r="496" spans="1:10" x14ac:dyDescent="0.3">
      <c r="A496" t="str">
        <f>"01"</f>
        <v>01</v>
      </c>
      <c r="B496" t="str">
        <f>"DELL"</f>
        <v>DELL</v>
      </c>
      <c r="C496" t="s">
        <v>146</v>
      </c>
      <c r="D496">
        <v>72237</v>
      </c>
      <c r="E496" s="2">
        <v>4944.45</v>
      </c>
      <c r="F496" s="1">
        <v>42976</v>
      </c>
      <c r="G496" t="str">
        <f>"10182305049"</f>
        <v>10182305049</v>
      </c>
      <c r="H496" t="str">
        <f>"CUST#7792907"</f>
        <v>CUST#7792907</v>
      </c>
      <c r="I496" s="2">
        <v>145.62</v>
      </c>
      <c r="J496" t="str">
        <f>"CUST#7792907"</f>
        <v>CUST#7792907</v>
      </c>
    </row>
    <row r="497" spans="1:10" x14ac:dyDescent="0.3">
      <c r="A497" t="str">
        <f>""</f>
        <v/>
      </c>
      <c r="B497" t="str">
        <f>""</f>
        <v/>
      </c>
      <c r="G497" t="str">
        <f>"10183631663"</f>
        <v>10183631663</v>
      </c>
      <c r="H497" t="str">
        <f>"Quote# 1026901137343"</f>
        <v>Quote# 1026901137343</v>
      </c>
      <c r="I497" s="2">
        <v>4798.83</v>
      </c>
      <c r="J497" t="str">
        <f>"Quote# 1026901137343"</f>
        <v>Quote# 1026901137343</v>
      </c>
    </row>
    <row r="498" spans="1:10" x14ac:dyDescent="0.3">
      <c r="A498" t="str">
        <f t="shared" ref="A498:A503" si="7">"01"</f>
        <v>01</v>
      </c>
      <c r="B498" t="str">
        <f>"US"</f>
        <v>US</v>
      </c>
      <c r="C498" t="s">
        <v>147</v>
      </c>
      <c r="D498">
        <v>71975</v>
      </c>
      <c r="E498" s="2">
        <v>922</v>
      </c>
      <c r="F498" s="1">
        <v>42961</v>
      </c>
      <c r="G498" t="str">
        <f>"201708094194"</f>
        <v>201708094194</v>
      </c>
      <c r="H498" t="str">
        <f>"SANE EXAM-CASE#17-S-00627"</f>
        <v>SANE EXAM-CASE#17-S-00627</v>
      </c>
      <c r="I498" s="2">
        <v>922</v>
      </c>
      <c r="J498" t="str">
        <f>"SANE EXAM-CASE#17-S-00627"</f>
        <v>SANE EXAM-CASE#17-S-00627</v>
      </c>
    </row>
    <row r="499" spans="1:10" x14ac:dyDescent="0.3">
      <c r="A499" t="str">
        <f t="shared" si="7"/>
        <v>01</v>
      </c>
      <c r="B499" t="str">
        <f>"004270"</f>
        <v>004270</v>
      </c>
      <c r="C499" t="s">
        <v>148</v>
      </c>
      <c r="D499">
        <v>71976</v>
      </c>
      <c r="E499" s="2">
        <v>26.24</v>
      </c>
      <c r="F499" s="1">
        <v>42961</v>
      </c>
      <c r="G499" t="str">
        <f>"10171766171"</f>
        <v>10171766171</v>
      </c>
      <c r="H499" t="str">
        <f>"SOUNDBAR"</f>
        <v>SOUNDBAR</v>
      </c>
      <c r="I499" s="2">
        <v>26.24</v>
      </c>
      <c r="J499" t="str">
        <f>"SOUNDBAR"</f>
        <v>SOUNDBAR</v>
      </c>
    </row>
    <row r="500" spans="1:10" x14ac:dyDescent="0.3">
      <c r="A500" t="str">
        <f t="shared" si="7"/>
        <v>01</v>
      </c>
      <c r="B500" t="str">
        <f>"003791"</f>
        <v>003791</v>
      </c>
      <c r="C500" t="s">
        <v>149</v>
      </c>
      <c r="D500">
        <v>72238</v>
      </c>
      <c r="E500" s="2">
        <v>75</v>
      </c>
      <c r="F500" s="1">
        <v>42976</v>
      </c>
      <c r="G500" t="str">
        <f>"12507"</f>
        <v>12507</v>
      </c>
      <c r="H500" t="str">
        <f>"SERVICE 6/14/17"</f>
        <v>SERVICE 6/14/17</v>
      </c>
      <c r="I500" s="2">
        <v>75</v>
      </c>
      <c r="J500" t="str">
        <f>"SERVICE 6/14/17"</f>
        <v>SERVICE 6/14/17</v>
      </c>
    </row>
    <row r="501" spans="1:10" x14ac:dyDescent="0.3">
      <c r="A501" t="str">
        <f t="shared" si="7"/>
        <v>01</v>
      </c>
      <c r="B501" t="str">
        <f>"DENTRU"</f>
        <v>DENTRU</v>
      </c>
      <c r="C501" t="s">
        <v>150</v>
      </c>
      <c r="D501">
        <v>72239</v>
      </c>
      <c r="E501" s="2">
        <v>1480</v>
      </c>
      <c r="F501" s="1">
        <v>42976</v>
      </c>
      <c r="G501" t="str">
        <f>"BATX014828"</f>
        <v>BATX014828</v>
      </c>
      <c r="H501" t="str">
        <f>"INV BATX014828"</f>
        <v>INV BATX014828</v>
      </c>
      <c r="I501" s="2">
        <v>1480</v>
      </c>
      <c r="J501" t="str">
        <f>"INV BATX014828"</f>
        <v>INV BATX014828</v>
      </c>
    </row>
    <row r="502" spans="1:10" x14ac:dyDescent="0.3">
      <c r="A502" t="str">
        <f t="shared" si="7"/>
        <v>01</v>
      </c>
      <c r="B502" t="str">
        <f>"003766"</f>
        <v>003766</v>
      </c>
      <c r="C502" t="s">
        <v>151</v>
      </c>
      <c r="D502">
        <v>72240</v>
      </c>
      <c r="E502" s="2">
        <v>1272</v>
      </c>
      <c r="F502" s="1">
        <v>42976</v>
      </c>
      <c r="G502" t="str">
        <f>"97182"</f>
        <v>97182</v>
      </c>
      <c r="H502" t="str">
        <f>"INV 97182"</f>
        <v>INV 97182</v>
      </c>
      <c r="I502" s="2">
        <v>1272</v>
      </c>
      <c r="J502" t="str">
        <f>"INV 97182"</f>
        <v>INV 97182</v>
      </c>
    </row>
    <row r="503" spans="1:10" x14ac:dyDescent="0.3">
      <c r="A503" t="str">
        <f t="shared" si="7"/>
        <v>01</v>
      </c>
      <c r="B503" t="str">
        <f>"003766"</f>
        <v>003766</v>
      </c>
      <c r="C503" t="s">
        <v>151</v>
      </c>
      <c r="D503">
        <v>999999</v>
      </c>
      <c r="E503" s="2">
        <v>1060</v>
      </c>
      <c r="F503" s="1">
        <v>42961</v>
      </c>
      <c r="G503" t="str">
        <f>"96478"</f>
        <v>96478</v>
      </c>
      <c r="H503" t="str">
        <f>"EXAM GLOVES"</f>
        <v>EXAM GLOVES</v>
      </c>
      <c r="I503" s="2">
        <v>1060</v>
      </c>
      <c r="J503" t="str">
        <f>"EXAM GLOVES"</f>
        <v>EXAM GLOVES</v>
      </c>
    </row>
    <row r="504" spans="1:10" x14ac:dyDescent="0.3">
      <c r="A504" t="str">
        <f>""</f>
        <v/>
      </c>
      <c r="B504" t="str">
        <f>""</f>
        <v/>
      </c>
      <c r="G504" t="str">
        <f>""</f>
        <v/>
      </c>
      <c r="H504" t="str">
        <f>""</f>
        <v/>
      </c>
      <c r="J504" t="str">
        <f>"EXAM GLOVES"</f>
        <v>EXAM GLOVES</v>
      </c>
    </row>
    <row r="505" spans="1:10" x14ac:dyDescent="0.3">
      <c r="A505" t="str">
        <f>""</f>
        <v/>
      </c>
      <c r="B505" t="str">
        <f>""</f>
        <v/>
      </c>
      <c r="G505" t="str">
        <f>""</f>
        <v/>
      </c>
      <c r="H505" t="str">
        <f>""</f>
        <v/>
      </c>
      <c r="J505" t="str">
        <f>"EXAM GLOVES"</f>
        <v>EXAM GLOVES</v>
      </c>
    </row>
    <row r="506" spans="1:10" x14ac:dyDescent="0.3">
      <c r="A506" t="str">
        <f>"01"</f>
        <v>01</v>
      </c>
      <c r="B506" t="str">
        <f>"T5686"</f>
        <v>T5686</v>
      </c>
      <c r="C506" t="s">
        <v>152</v>
      </c>
      <c r="D506">
        <v>71977</v>
      </c>
      <c r="E506" s="2">
        <v>116.95</v>
      </c>
      <c r="F506" s="1">
        <v>42961</v>
      </c>
      <c r="G506" t="str">
        <f>"23656"</f>
        <v>23656</v>
      </c>
      <c r="H506" t="str">
        <f>"SERVICE CALL/REKEY"</f>
        <v>SERVICE CALL/REKEY</v>
      </c>
      <c r="I506" s="2">
        <v>85</v>
      </c>
      <c r="J506" t="str">
        <f>"SERVICE CALL/REKEY"</f>
        <v>SERVICE CALL/REKEY</v>
      </c>
    </row>
    <row r="507" spans="1:10" x14ac:dyDescent="0.3">
      <c r="A507" t="str">
        <f>""</f>
        <v/>
      </c>
      <c r="B507" t="str">
        <f>""</f>
        <v/>
      </c>
      <c r="G507" t="str">
        <f>"23678"</f>
        <v>23678</v>
      </c>
      <c r="H507" t="str">
        <f>"MASTER COMBO LOCK/GEN SVCS"</f>
        <v>MASTER COMBO LOCK/GEN SVCS</v>
      </c>
      <c r="I507" s="2">
        <v>31.95</v>
      </c>
      <c r="J507" t="str">
        <f>"MASTER COMBO LOCK/GEN SVCS"</f>
        <v>MASTER COMBO LOCK/GEN SVCS</v>
      </c>
    </row>
    <row r="508" spans="1:10" x14ac:dyDescent="0.3">
      <c r="A508" t="str">
        <f>"01"</f>
        <v>01</v>
      </c>
      <c r="B508" t="str">
        <f>"T5686"</f>
        <v>T5686</v>
      </c>
      <c r="C508" t="s">
        <v>152</v>
      </c>
      <c r="D508">
        <v>72241</v>
      </c>
      <c r="E508" s="2">
        <v>252.64</v>
      </c>
      <c r="F508" s="1">
        <v>42976</v>
      </c>
      <c r="G508" t="str">
        <f>"23716"</f>
        <v>23716</v>
      </c>
      <c r="H508" t="str">
        <f>"KEY SVCS/MIKE FISHER BLDG"</f>
        <v>KEY SVCS/MIKE FISHER BLDG</v>
      </c>
      <c r="I508" s="2">
        <v>177</v>
      </c>
      <c r="J508" t="str">
        <f>"KEY SVCS/MIKE FISHER BLDG"</f>
        <v>KEY SVCS/MIKE FISHER BLDG</v>
      </c>
    </row>
    <row r="509" spans="1:10" x14ac:dyDescent="0.3">
      <c r="A509" t="str">
        <f>""</f>
        <v/>
      </c>
      <c r="B509" t="str">
        <f>""</f>
        <v/>
      </c>
      <c r="G509" t="str">
        <f>"23718"</f>
        <v>23718</v>
      </c>
      <c r="H509" t="str">
        <f>"KEY SERVICES"</f>
        <v>KEY SERVICES</v>
      </c>
      <c r="I509" s="2">
        <v>71.64</v>
      </c>
      <c r="J509" t="str">
        <f>"KEY SERVICES"</f>
        <v>KEY SERVICES</v>
      </c>
    </row>
    <row r="510" spans="1:10" x14ac:dyDescent="0.3">
      <c r="A510" t="str">
        <f>""</f>
        <v/>
      </c>
      <c r="B510" t="str">
        <f>""</f>
        <v/>
      </c>
      <c r="G510" t="str">
        <f>"23762"</f>
        <v>23762</v>
      </c>
      <c r="H510" t="str">
        <f>"KEY SVCS/GEN SVCS"</f>
        <v>KEY SVCS/GEN SVCS</v>
      </c>
      <c r="I510" s="2">
        <v>4</v>
      </c>
      <c r="J510" t="str">
        <f>"KEY SVCS/GEN SVCS"</f>
        <v>KEY SVCS/GEN SVCS</v>
      </c>
    </row>
    <row r="511" spans="1:10" x14ac:dyDescent="0.3">
      <c r="A511" t="str">
        <f>"01"</f>
        <v>01</v>
      </c>
      <c r="B511" t="str">
        <f>"001911"</f>
        <v>001911</v>
      </c>
      <c r="C511" t="s">
        <v>153</v>
      </c>
      <c r="D511">
        <v>71978</v>
      </c>
      <c r="E511" s="2">
        <v>2371.91</v>
      </c>
      <c r="F511" s="1">
        <v>42961</v>
      </c>
      <c r="G511" t="str">
        <f>"17061118N"</f>
        <v>17061118N</v>
      </c>
      <c r="H511" t="str">
        <f>"CUST#PKE5000-6/1/17-6/30/17"</f>
        <v>CUST#PKE5000-6/1/17-6/30/17</v>
      </c>
      <c r="I511" s="2">
        <v>2371.91</v>
      </c>
      <c r="J511" t="str">
        <f>"CUST#PKE5000-6/1/17-6/30/17"</f>
        <v>CUST#PKE5000-6/1/17-6/30/17</v>
      </c>
    </row>
    <row r="512" spans="1:10" x14ac:dyDescent="0.3">
      <c r="A512" t="str">
        <f>""</f>
        <v/>
      </c>
      <c r="B512" t="str">
        <f>""</f>
        <v/>
      </c>
      <c r="G512" t="str">
        <f>""</f>
        <v/>
      </c>
      <c r="H512" t="str">
        <f>""</f>
        <v/>
      </c>
      <c r="J512" t="str">
        <f>"CUST#PKE5000-6/1/17-6/30/17"</f>
        <v>CUST#PKE5000-6/1/17-6/30/17</v>
      </c>
    </row>
    <row r="513" spans="1:10" x14ac:dyDescent="0.3">
      <c r="A513" t="str">
        <f>"01"</f>
        <v>01</v>
      </c>
      <c r="B513" t="str">
        <f>"001911"</f>
        <v>001911</v>
      </c>
      <c r="C513" t="s">
        <v>153</v>
      </c>
      <c r="D513">
        <v>72242</v>
      </c>
      <c r="E513" s="2">
        <v>2356.77</v>
      </c>
      <c r="F513" s="1">
        <v>42976</v>
      </c>
      <c r="G513" t="str">
        <f>"17071118N"</f>
        <v>17071118N</v>
      </c>
      <c r="H513" t="str">
        <f>"CUST#PKE5000/P#33133133133000"</f>
        <v>CUST#PKE5000/P#33133133133000</v>
      </c>
      <c r="I513" s="2">
        <v>2356.77</v>
      </c>
      <c r="J513" t="str">
        <f>"CUST#PKE5000/P#33133133133000"</f>
        <v>CUST#PKE5000/P#33133133133000</v>
      </c>
    </row>
    <row r="514" spans="1:10" x14ac:dyDescent="0.3">
      <c r="A514" t="str">
        <f>""</f>
        <v/>
      </c>
      <c r="B514" t="str">
        <f>""</f>
        <v/>
      </c>
      <c r="G514" t="str">
        <f>""</f>
        <v/>
      </c>
      <c r="H514" t="str">
        <f>""</f>
        <v/>
      </c>
      <c r="J514" t="str">
        <f>"CUST#PKE5000/P#33133133133000"</f>
        <v>CUST#PKE5000/P#33133133133000</v>
      </c>
    </row>
    <row r="515" spans="1:10" x14ac:dyDescent="0.3">
      <c r="A515" t="str">
        <f>"01"</f>
        <v>01</v>
      </c>
      <c r="B515" t="str">
        <f>"000573"</f>
        <v>000573</v>
      </c>
      <c r="C515" t="s">
        <v>154</v>
      </c>
      <c r="D515">
        <v>71979</v>
      </c>
      <c r="E515" s="2">
        <v>81.38</v>
      </c>
      <c r="F515" s="1">
        <v>42961</v>
      </c>
      <c r="G515" t="str">
        <f>"85959"</f>
        <v>85959</v>
      </c>
      <c r="H515" t="s">
        <v>155</v>
      </c>
      <c r="I515" s="2">
        <v>10.35</v>
      </c>
      <c r="J515" t="s">
        <v>155</v>
      </c>
    </row>
    <row r="516" spans="1:10" x14ac:dyDescent="0.3">
      <c r="A516" t="str">
        <f>""</f>
        <v/>
      </c>
      <c r="B516" t="str">
        <f>""</f>
        <v/>
      </c>
      <c r="G516" t="str">
        <f>"87017"</f>
        <v>87017</v>
      </c>
      <c r="H516" t="str">
        <f>"ACCT#21541/PCT#1"</f>
        <v>ACCT#21541/PCT#1</v>
      </c>
      <c r="I516" s="2">
        <v>71.03</v>
      </c>
      <c r="J516" t="str">
        <f>"ACCT#21541/PCT#1"</f>
        <v>ACCT#21541/PCT#1</v>
      </c>
    </row>
    <row r="517" spans="1:10" x14ac:dyDescent="0.3">
      <c r="A517" t="str">
        <f>"01"</f>
        <v>01</v>
      </c>
      <c r="B517" t="str">
        <f>"004924"</f>
        <v>004924</v>
      </c>
      <c r="C517" t="s">
        <v>156</v>
      </c>
      <c r="D517">
        <v>72243</v>
      </c>
      <c r="E517" s="2">
        <v>849.4</v>
      </c>
      <c r="F517" s="1">
        <v>42976</v>
      </c>
      <c r="G517" t="str">
        <f>"201708224361"</f>
        <v>201708224361</v>
      </c>
      <c r="H517" t="str">
        <f>"ID#405900029213/5540 FM 535"</f>
        <v>ID#405900029213/5540 FM 535</v>
      </c>
      <c r="I517" s="2">
        <v>474.7</v>
      </c>
      <c r="J517" t="str">
        <f>"ID#405900029213"</f>
        <v>ID#405900029213</v>
      </c>
    </row>
    <row r="518" spans="1:10" x14ac:dyDescent="0.3">
      <c r="A518" t="str">
        <f>""</f>
        <v/>
      </c>
      <c r="B518" t="str">
        <f>""</f>
        <v/>
      </c>
      <c r="G518" t="str">
        <f>"201708224362"</f>
        <v>201708224362</v>
      </c>
      <c r="H518" t="str">
        <f>"ID#405900029225/5785 FM 535"</f>
        <v>ID#405900029225/5785 FM 535</v>
      </c>
      <c r="I518" s="2">
        <v>187.35</v>
      </c>
      <c r="J518" t="str">
        <f>"ID#405900029225/5785 FM 535"</f>
        <v>ID#405900029225/5785 FM 535</v>
      </c>
    </row>
    <row r="519" spans="1:10" x14ac:dyDescent="0.3">
      <c r="A519" t="str">
        <f>""</f>
        <v/>
      </c>
      <c r="B519" t="str">
        <f>""</f>
        <v/>
      </c>
      <c r="G519" t="str">
        <f>"201708224364"</f>
        <v>201708224364</v>
      </c>
      <c r="H519" t="str">
        <f>"ID#405900028789/192 FOHN RD"</f>
        <v>ID#405900028789/192 FOHN RD</v>
      </c>
      <c r="I519" s="2">
        <v>187.35</v>
      </c>
      <c r="J519" t="str">
        <f>"ID#405900028789/192 FOHN RD"</f>
        <v>ID#405900028789/192 FOHN RD</v>
      </c>
    </row>
    <row r="520" spans="1:10" x14ac:dyDescent="0.3">
      <c r="A520" t="str">
        <f>"01"</f>
        <v>01</v>
      </c>
      <c r="B520" t="str">
        <f>"T9323"</f>
        <v>T9323</v>
      </c>
      <c r="C520" t="s">
        <v>157</v>
      </c>
      <c r="D520">
        <v>72244</v>
      </c>
      <c r="E520" s="2">
        <v>5075</v>
      </c>
      <c r="F520" s="1">
        <v>42976</v>
      </c>
      <c r="G520" t="str">
        <f>"201708214322"</f>
        <v>201708214322</v>
      </c>
      <c r="H520" t="str">
        <f>"16056"</f>
        <v>16056</v>
      </c>
      <c r="I520" s="2">
        <v>400</v>
      </c>
      <c r="J520" t="str">
        <f>"16056"</f>
        <v>16056</v>
      </c>
    </row>
    <row r="521" spans="1:10" x14ac:dyDescent="0.3">
      <c r="A521" t="str">
        <f>""</f>
        <v/>
      </c>
      <c r="B521" t="str">
        <f>""</f>
        <v/>
      </c>
      <c r="G521" t="str">
        <f>"201708214323"</f>
        <v>201708214323</v>
      </c>
      <c r="H521" t="str">
        <f>"15433"</f>
        <v>15433</v>
      </c>
      <c r="I521" s="2">
        <v>400</v>
      </c>
      <c r="J521" t="str">
        <f>"15433"</f>
        <v>15433</v>
      </c>
    </row>
    <row r="522" spans="1:10" x14ac:dyDescent="0.3">
      <c r="A522" t="str">
        <f>""</f>
        <v/>
      </c>
      <c r="B522" t="str">
        <f>""</f>
        <v/>
      </c>
      <c r="G522" t="str">
        <f>"201708214324"</f>
        <v>201708214324</v>
      </c>
      <c r="H522" t="str">
        <f>"15903"</f>
        <v>15903</v>
      </c>
      <c r="I522" s="2">
        <v>400</v>
      </c>
      <c r="J522" t="str">
        <f>"15903"</f>
        <v>15903</v>
      </c>
    </row>
    <row r="523" spans="1:10" x14ac:dyDescent="0.3">
      <c r="A523" t="str">
        <f>""</f>
        <v/>
      </c>
      <c r="B523" t="str">
        <f>""</f>
        <v/>
      </c>
      <c r="G523" t="str">
        <f>"201708214325"</f>
        <v>201708214325</v>
      </c>
      <c r="H523" t="str">
        <f>"02-0309-4   1JP526172"</f>
        <v>02-0309-4   1JP526172</v>
      </c>
      <c r="I523" s="2">
        <v>600</v>
      </c>
      <c r="J523" t="str">
        <f>"02-0309-4   1JP526172"</f>
        <v>02-0309-4   1JP526172</v>
      </c>
    </row>
    <row r="524" spans="1:10" x14ac:dyDescent="0.3">
      <c r="A524" t="str">
        <f>""</f>
        <v/>
      </c>
      <c r="B524" t="str">
        <f>""</f>
        <v/>
      </c>
      <c r="G524" t="str">
        <f>"201708214326"</f>
        <v>201708214326</v>
      </c>
      <c r="H524" t="str">
        <f>"15275"</f>
        <v>15275</v>
      </c>
      <c r="I524" s="2">
        <v>400</v>
      </c>
      <c r="J524" t="str">
        <f>"15275"</f>
        <v>15275</v>
      </c>
    </row>
    <row r="525" spans="1:10" x14ac:dyDescent="0.3">
      <c r="A525" t="str">
        <f>""</f>
        <v/>
      </c>
      <c r="B525" t="str">
        <f>""</f>
        <v/>
      </c>
      <c r="G525" t="str">
        <f>"201708214327"</f>
        <v>201708214327</v>
      </c>
      <c r="H525" t="str">
        <f>"16149CT1/16149CT2/311092016B"</f>
        <v>16149CT1/16149CT2/311092016B</v>
      </c>
      <c r="I525" s="2">
        <v>2000</v>
      </c>
      <c r="J525" t="str">
        <f>"16149CT1/16149CT2/311092016B"</f>
        <v>16149CT1/16149CT2/311092016B</v>
      </c>
    </row>
    <row r="526" spans="1:10" x14ac:dyDescent="0.3">
      <c r="A526" t="str">
        <f>""</f>
        <v/>
      </c>
      <c r="B526" t="str">
        <f>""</f>
        <v/>
      </c>
      <c r="G526" t="str">
        <f>"201708234438"</f>
        <v>201708234438</v>
      </c>
      <c r="H526" t="str">
        <f>"54578   54579"</f>
        <v>54578   54579</v>
      </c>
      <c r="I526" s="2">
        <v>375</v>
      </c>
      <c r="J526" t="str">
        <f>"54578   54579"</f>
        <v>54578   54579</v>
      </c>
    </row>
    <row r="527" spans="1:10" x14ac:dyDescent="0.3">
      <c r="A527" t="str">
        <f>""</f>
        <v/>
      </c>
      <c r="B527" t="str">
        <f>""</f>
        <v/>
      </c>
      <c r="G527" t="str">
        <f>"201708234439"</f>
        <v>201708234439</v>
      </c>
      <c r="H527" t="str">
        <f>"52431"</f>
        <v>52431</v>
      </c>
      <c r="I527" s="2">
        <v>250</v>
      </c>
      <c r="J527" t="str">
        <f>"52431"</f>
        <v>52431</v>
      </c>
    </row>
    <row r="528" spans="1:10" x14ac:dyDescent="0.3">
      <c r="A528" t="str">
        <f>""</f>
        <v/>
      </c>
      <c r="B528" t="str">
        <f>""</f>
        <v/>
      </c>
      <c r="G528" t="str">
        <f>"201708234442"</f>
        <v>201708234442</v>
      </c>
      <c r="H528" t="str">
        <f>"55330"</f>
        <v>55330</v>
      </c>
      <c r="I528" s="2">
        <v>250</v>
      </c>
      <c r="J528" t="str">
        <f>"55330"</f>
        <v>55330</v>
      </c>
    </row>
    <row r="529" spans="1:10" x14ac:dyDescent="0.3">
      <c r="A529" t="str">
        <f>"01"</f>
        <v>01</v>
      </c>
      <c r="B529" t="str">
        <f>"T9323"</f>
        <v>T9323</v>
      </c>
      <c r="C529" t="s">
        <v>157</v>
      </c>
      <c r="D529">
        <v>999999</v>
      </c>
      <c r="E529" s="2">
        <v>5765</v>
      </c>
      <c r="F529" s="1">
        <v>42961</v>
      </c>
      <c r="G529" t="str">
        <f>"201707263868"</f>
        <v>201707263868</v>
      </c>
      <c r="H529" t="str">
        <f>"CH-2016111-A"</f>
        <v>CH-2016111-A</v>
      </c>
      <c r="I529" s="2">
        <v>400</v>
      </c>
      <c r="J529" t="str">
        <f>"CH-2016111-A"</f>
        <v>CH-2016111-A</v>
      </c>
    </row>
    <row r="530" spans="1:10" x14ac:dyDescent="0.3">
      <c r="A530" t="str">
        <f>""</f>
        <v/>
      </c>
      <c r="B530" t="str">
        <f>""</f>
        <v/>
      </c>
      <c r="G530" t="str">
        <f>"201707263869"</f>
        <v>201707263869</v>
      </c>
      <c r="H530" t="str">
        <f>"16260  307262016A"</f>
        <v>16260  307262016A</v>
      </c>
      <c r="I530" s="2">
        <v>600</v>
      </c>
      <c r="J530" t="str">
        <f>"16260  307262016A"</f>
        <v>16260  307262016A</v>
      </c>
    </row>
    <row r="531" spans="1:10" x14ac:dyDescent="0.3">
      <c r="A531" t="str">
        <f>""</f>
        <v/>
      </c>
      <c r="B531" t="str">
        <f>""</f>
        <v/>
      </c>
      <c r="G531" t="str">
        <f>"201707263870"</f>
        <v>201707263870</v>
      </c>
      <c r="H531" t="str">
        <f>"15755"</f>
        <v>15755</v>
      </c>
      <c r="I531" s="2">
        <v>400</v>
      </c>
      <c r="J531" t="str">
        <f>"15755"</f>
        <v>15755</v>
      </c>
    </row>
    <row r="532" spans="1:10" x14ac:dyDescent="0.3">
      <c r="A532" t="str">
        <f>""</f>
        <v/>
      </c>
      <c r="B532" t="str">
        <f>""</f>
        <v/>
      </c>
      <c r="G532" t="str">
        <f>"201707283883"</f>
        <v>201707283883</v>
      </c>
      <c r="H532" t="str">
        <f>"4092443M   5/11/16"</f>
        <v>4092443M   5/11/16</v>
      </c>
      <c r="I532" s="2">
        <v>400</v>
      </c>
      <c r="J532" t="str">
        <f>"4092443M   5/11/16"</f>
        <v>4092443M   5/11/16</v>
      </c>
    </row>
    <row r="533" spans="1:10" x14ac:dyDescent="0.3">
      <c r="A533" t="str">
        <f>""</f>
        <v/>
      </c>
      <c r="B533" t="str">
        <f>""</f>
        <v/>
      </c>
      <c r="G533" t="str">
        <f>"201707283884"</f>
        <v>201707283884</v>
      </c>
      <c r="H533" t="str">
        <f>"307092017C"</f>
        <v>307092017C</v>
      </c>
      <c r="I533" s="2">
        <v>400</v>
      </c>
      <c r="J533" t="str">
        <f>"307092017C"</f>
        <v>307092017C</v>
      </c>
    </row>
    <row r="534" spans="1:10" x14ac:dyDescent="0.3">
      <c r="A534" t="str">
        <f>""</f>
        <v/>
      </c>
      <c r="B534" t="str">
        <f>""</f>
        <v/>
      </c>
      <c r="G534" t="str">
        <f>"201707283903"</f>
        <v>201707283903</v>
      </c>
      <c r="H534" t="str">
        <f>"16-17909"</f>
        <v>16-17909</v>
      </c>
      <c r="I534" s="2">
        <v>180</v>
      </c>
      <c r="J534" t="str">
        <f>"16-17909"</f>
        <v>16-17909</v>
      </c>
    </row>
    <row r="535" spans="1:10" x14ac:dyDescent="0.3">
      <c r="A535" t="str">
        <f>""</f>
        <v/>
      </c>
      <c r="B535" t="str">
        <f>""</f>
        <v/>
      </c>
      <c r="G535" t="str">
        <f>"201707283904"</f>
        <v>201707283904</v>
      </c>
      <c r="H535" t="str">
        <f>"308082017A"</f>
        <v>308082017A</v>
      </c>
      <c r="I535" s="2">
        <v>250</v>
      </c>
      <c r="J535" t="str">
        <f>"308082017A"</f>
        <v>308082017A</v>
      </c>
    </row>
    <row r="536" spans="1:10" x14ac:dyDescent="0.3">
      <c r="A536" t="str">
        <f>""</f>
        <v/>
      </c>
      <c r="B536" t="str">
        <f>""</f>
        <v/>
      </c>
      <c r="G536" t="str">
        <f>"201707283905"</f>
        <v>201707283905</v>
      </c>
      <c r="H536" t="str">
        <f>"54888"</f>
        <v>54888</v>
      </c>
      <c r="I536" s="2">
        <v>250</v>
      </c>
      <c r="J536" t="str">
        <f>"54888"</f>
        <v>54888</v>
      </c>
    </row>
    <row r="537" spans="1:10" x14ac:dyDescent="0.3">
      <c r="A537" t="str">
        <f>""</f>
        <v/>
      </c>
      <c r="B537" t="str">
        <f>""</f>
        <v/>
      </c>
      <c r="G537" t="str">
        <f>"201707283906"</f>
        <v>201707283906</v>
      </c>
      <c r="H537" t="str">
        <f>"17-18493"</f>
        <v>17-18493</v>
      </c>
      <c r="I537" s="2">
        <v>260</v>
      </c>
      <c r="J537" t="str">
        <f>"17-18493"</f>
        <v>17-18493</v>
      </c>
    </row>
    <row r="538" spans="1:10" x14ac:dyDescent="0.3">
      <c r="A538" t="str">
        <f>""</f>
        <v/>
      </c>
      <c r="B538" t="str">
        <f>""</f>
        <v/>
      </c>
      <c r="G538" t="str">
        <f>"201708094217"</f>
        <v>201708094217</v>
      </c>
      <c r="H538" t="str">
        <f>"J-3082"</f>
        <v>J-3082</v>
      </c>
      <c r="I538" s="2">
        <v>250</v>
      </c>
      <c r="J538" t="str">
        <f>"J-3082"</f>
        <v>J-3082</v>
      </c>
    </row>
    <row r="539" spans="1:10" x14ac:dyDescent="0.3">
      <c r="A539" t="str">
        <f>""</f>
        <v/>
      </c>
      <c r="B539" t="str">
        <f>""</f>
        <v/>
      </c>
      <c r="G539" t="str">
        <f>"201708094218"</f>
        <v>201708094218</v>
      </c>
      <c r="H539" t="str">
        <f>"54696  307092017A  30703201B"</f>
        <v>54696  307092017A  30703201B</v>
      </c>
      <c r="I539" s="2">
        <v>500</v>
      </c>
      <c r="J539" t="str">
        <f>"54696  307092017A  30703201B"</f>
        <v>54696  307092017A  30703201B</v>
      </c>
    </row>
    <row r="540" spans="1:10" x14ac:dyDescent="0.3">
      <c r="A540" t="str">
        <f>""</f>
        <v/>
      </c>
      <c r="B540" t="str">
        <f>""</f>
        <v/>
      </c>
      <c r="G540" t="str">
        <f>"201708094219"</f>
        <v>201708094219</v>
      </c>
      <c r="H540" t="str">
        <f>"301192017B"</f>
        <v>301192017B</v>
      </c>
      <c r="I540" s="2">
        <v>250</v>
      </c>
      <c r="J540" t="str">
        <f>"301192017B"</f>
        <v>301192017B</v>
      </c>
    </row>
    <row r="541" spans="1:10" x14ac:dyDescent="0.3">
      <c r="A541" t="str">
        <f>""</f>
        <v/>
      </c>
      <c r="B541" t="str">
        <f>""</f>
        <v/>
      </c>
      <c r="G541" t="str">
        <f>"201708094220"</f>
        <v>201708094220</v>
      </c>
      <c r="H541" t="str">
        <f>"CH-20161111-B"</f>
        <v>CH-20161111-B</v>
      </c>
      <c r="I541" s="2">
        <v>250</v>
      </c>
      <c r="J541" t="str">
        <f>"CH-20161111-B"</f>
        <v>CH-20161111-B</v>
      </c>
    </row>
    <row r="542" spans="1:10" x14ac:dyDescent="0.3">
      <c r="A542" t="str">
        <f>""</f>
        <v/>
      </c>
      <c r="B542" t="str">
        <f>""</f>
        <v/>
      </c>
      <c r="G542" t="str">
        <f>"201708094221"</f>
        <v>201708094221</v>
      </c>
      <c r="H542" t="str">
        <f>"54829  CH-20160524-C"</f>
        <v>54829  CH-20160524-C</v>
      </c>
      <c r="I542" s="2">
        <v>375</v>
      </c>
      <c r="J542" t="str">
        <f>"54829  CH-20160524-C"</f>
        <v>54829  CH-20160524-C</v>
      </c>
    </row>
    <row r="543" spans="1:10" x14ac:dyDescent="0.3">
      <c r="A543" t="str">
        <f>""</f>
        <v/>
      </c>
      <c r="B543" t="str">
        <f>""</f>
        <v/>
      </c>
      <c r="G543" t="str">
        <f>"201708094222"</f>
        <v>201708094222</v>
      </c>
      <c r="H543" t="str">
        <f>"55315"</f>
        <v>55315</v>
      </c>
      <c r="I543" s="2">
        <v>250</v>
      </c>
      <c r="J543" t="str">
        <f>"55315"</f>
        <v>55315</v>
      </c>
    </row>
    <row r="544" spans="1:10" x14ac:dyDescent="0.3">
      <c r="A544" t="str">
        <f>""</f>
        <v/>
      </c>
      <c r="B544" t="str">
        <f>""</f>
        <v/>
      </c>
      <c r="G544" t="str">
        <f>"201708094223"</f>
        <v>201708094223</v>
      </c>
      <c r="H544" t="str">
        <f>"53840   53841"</f>
        <v>53840   53841</v>
      </c>
      <c r="I544" s="2">
        <v>375</v>
      </c>
      <c r="J544" t="str">
        <f>"53840   53841"</f>
        <v>53840   53841</v>
      </c>
    </row>
    <row r="545" spans="1:10" x14ac:dyDescent="0.3">
      <c r="A545" t="str">
        <f>""</f>
        <v/>
      </c>
      <c r="B545" t="str">
        <f>""</f>
        <v/>
      </c>
      <c r="G545" t="str">
        <f>"201708094224"</f>
        <v>201708094224</v>
      </c>
      <c r="H545" t="str">
        <f>"54745"</f>
        <v>54745</v>
      </c>
      <c r="I545" s="2">
        <v>375</v>
      </c>
      <c r="J545" t="str">
        <f>"54745"</f>
        <v>54745</v>
      </c>
    </row>
    <row r="546" spans="1:10" x14ac:dyDescent="0.3">
      <c r="A546" t="str">
        <f>"01"</f>
        <v>01</v>
      </c>
      <c r="B546" t="str">
        <f>"ECOLAB"</f>
        <v>ECOLAB</v>
      </c>
      <c r="C546" t="s">
        <v>158</v>
      </c>
      <c r="D546">
        <v>72245</v>
      </c>
      <c r="E546" s="2">
        <v>1456.4</v>
      </c>
      <c r="F546" s="1">
        <v>42976</v>
      </c>
      <c r="G546" t="str">
        <f>"6643284 6630375"</f>
        <v>6643284 6630375</v>
      </c>
      <c r="H546" t="str">
        <f>"MULTIPLE INVOICES"</f>
        <v>MULTIPLE INVOICES</v>
      </c>
      <c r="I546" s="2">
        <v>1283.33</v>
      </c>
      <c r="J546" t="str">
        <f>"6643284"</f>
        <v>6643284</v>
      </c>
    </row>
    <row r="547" spans="1:10" x14ac:dyDescent="0.3">
      <c r="A547" t="str">
        <f>""</f>
        <v/>
      </c>
      <c r="B547" t="str">
        <f>""</f>
        <v/>
      </c>
      <c r="G547" t="str">
        <f>""</f>
        <v/>
      </c>
      <c r="H547" t="str">
        <f>""</f>
        <v/>
      </c>
      <c r="J547" t="str">
        <f>"6630375"</f>
        <v>6630375</v>
      </c>
    </row>
    <row r="548" spans="1:10" x14ac:dyDescent="0.3">
      <c r="A548" t="str">
        <f>""</f>
        <v/>
      </c>
      <c r="B548" t="str">
        <f>""</f>
        <v/>
      </c>
      <c r="G548" t="str">
        <f>"94920224"</f>
        <v>94920224</v>
      </c>
      <c r="H548" t="str">
        <f>"INV 94920224"</f>
        <v>INV 94920224</v>
      </c>
      <c r="I548" s="2">
        <v>173.07</v>
      </c>
      <c r="J548" t="str">
        <f>"INV 94920224"</f>
        <v>INV 94920224</v>
      </c>
    </row>
    <row r="549" spans="1:10" x14ac:dyDescent="0.3">
      <c r="A549" t="str">
        <f>"01"</f>
        <v>01</v>
      </c>
      <c r="B549" t="str">
        <f>"ECOLAB"</f>
        <v>ECOLAB</v>
      </c>
      <c r="C549" t="s">
        <v>158</v>
      </c>
      <c r="D549">
        <v>999999</v>
      </c>
      <c r="E549" s="2">
        <v>813.76</v>
      </c>
      <c r="F549" s="1">
        <v>42961</v>
      </c>
      <c r="G549" t="str">
        <f>"6412832"</f>
        <v>6412832</v>
      </c>
      <c r="H549" t="str">
        <f>"KITCHEN SUPPLIES INV64128"</f>
        <v>KITCHEN SUPPLIES INV64128</v>
      </c>
      <c r="I549" s="2">
        <v>813.76</v>
      </c>
      <c r="J549" t="str">
        <f>"KITCHEN SUPPLIES INV64128"</f>
        <v>KITCHEN SUPPLIES INV64128</v>
      </c>
    </row>
    <row r="550" spans="1:10" x14ac:dyDescent="0.3">
      <c r="A550" t="str">
        <f>"01"</f>
        <v>01</v>
      </c>
      <c r="B550" t="str">
        <f>"EC"</f>
        <v>EC</v>
      </c>
      <c r="C550" t="s">
        <v>159</v>
      </c>
      <c r="D550">
        <v>71980</v>
      </c>
      <c r="E550" s="2">
        <v>32</v>
      </c>
      <c r="F550" s="1">
        <v>42961</v>
      </c>
      <c r="G550" t="str">
        <f>"52421-6730"</f>
        <v>52421-6730</v>
      </c>
      <c r="H550" t="str">
        <f>"Public Notice-Public Hear"</f>
        <v>Public Notice-Public Hear</v>
      </c>
      <c r="I550" s="2">
        <v>32</v>
      </c>
      <c r="J550" t="str">
        <f>"Public Notice-Public Hear"</f>
        <v>Public Notice-Public Hear</v>
      </c>
    </row>
    <row r="551" spans="1:10" x14ac:dyDescent="0.3">
      <c r="A551" t="str">
        <f>"01"</f>
        <v>01</v>
      </c>
      <c r="B551" t="str">
        <f>"T13343"</f>
        <v>T13343</v>
      </c>
      <c r="C551" t="s">
        <v>160</v>
      </c>
      <c r="D551">
        <v>71981</v>
      </c>
      <c r="E551" s="2">
        <v>1495.27</v>
      </c>
      <c r="F551" s="1">
        <v>42961</v>
      </c>
      <c r="G551" t="str">
        <f>"10648"</f>
        <v>10648</v>
      </c>
      <c r="H551" t="str">
        <f>"INV#690399/690845/690846"</f>
        <v>INV#690399/690845/690846</v>
      </c>
      <c r="I551" s="2">
        <v>1495.27</v>
      </c>
      <c r="J551" t="str">
        <f>"INV#690399/690845/690846"</f>
        <v>INV#690399/690845/690846</v>
      </c>
    </row>
    <row r="552" spans="1:10" x14ac:dyDescent="0.3">
      <c r="A552" t="str">
        <f>"01"</f>
        <v>01</v>
      </c>
      <c r="B552" t="str">
        <f>"EU"</f>
        <v>EU</v>
      </c>
      <c r="C552" t="s">
        <v>161</v>
      </c>
      <c r="D552">
        <v>71897</v>
      </c>
      <c r="E552" s="2">
        <v>1152.76</v>
      </c>
      <c r="F552" s="1">
        <v>42957</v>
      </c>
      <c r="G552" t="str">
        <f>"201708094278"</f>
        <v>201708094278</v>
      </c>
      <c r="H552" t="str">
        <f>"ACCT#007-008410-002 / 07312017"</f>
        <v>ACCT#007-008410-002 / 07312017</v>
      </c>
      <c r="I552" s="2">
        <v>122.89</v>
      </c>
      <c r="J552" t="str">
        <f>"CITY OF ELGIN UTILITIES"</f>
        <v>CITY OF ELGIN UTILITIES</v>
      </c>
    </row>
    <row r="553" spans="1:10" x14ac:dyDescent="0.3">
      <c r="A553" t="str">
        <f>""</f>
        <v/>
      </c>
      <c r="B553" t="str">
        <f>""</f>
        <v/>
      </c>
      <c r="G553" t="str">
        <f>"201708094279"</f>
        <v>201708094279</v>
      </c>
      <c r="H553" t="str">
        <f>"ACCT#007-0011501-000/07312017"</f>
        <v>ACCT#007-0011501-000/07312017</v>
      </c>
      <c r="I553" s="2">
        <v>215.02</v>
      </c>
      <c r="J553" t="str">
        <f>"CITY OF ELGIN UTILITIES"</f>
        <v>CITY OF ELGIN UTILITIES</v>
      </c>
    </row>
    <row r="554" spans="1:10" x14ac:dyDescent="0.3">
      <c r="A554" t="str">
        <f>""</f>
        <v/>
      </c>
      <c r="B554" t="str">
        <f>""</f>
        <v/>
      </c>
      <c r="G554" t="str">
        <f>"201708094280"</f>
        <v>201708094280</v>
      </c>
      <c r="H554" t="str">
        <f>"ACCT#007-0011510-000/07312017"</f>
        <v>ACCT#007-0011510-000/07312017</v>
      </c>
      <c r="I554" s="2">
        <v>204.21</v>
      </c>
      <c r="J554" t="str">
        <f>"CITY OF ELGIN UTILITIES"</f>
        <v>CITY OF ELGIN UTILITIES</v>
      </c>
    </row>
    <row r="555" spans="1:10" x14ac:dyDescent="0.3">
      <c r="A555" t="str">
        <f>""</f>
        <v/>
      </c>
      <c r="B555" t="str">
        <f>""</f>
        <v/>
      </c>
      <c r="G555" t="str">
        <f>"201708094281"</f>
        <v>201708094281</v>
      </c>
      <c r="H555" t="str">
        <f>"ACCT#007-0011530-000/07312017"</f>
        <v>ACCT#007-0011530-000/07312017</v>
      </c>
      <c r="I555" s="2">
        <v>77.09</v>
      </c>
      <c r="J555" t="str">
        <f>"ACCT#007-0011530-000/07312017"</f>
        <v>ACCT#007-0011530-000/07312017</v>
      </c>
    </row>
    <row r="556" spans="1:10" x14ac:dyDescent="0.3">
      <c r="A556" t="str">
        <f>""</f>
        <v/>
      </c>
      <c r="B556" t="str">
        <f>""</f>
        <v/>
      </c>
      <c r="G556" t="str">
        <f>"201708094282"</f>
        <v>201708094282</v>
      </c>
      <c r="H556" t="str">
        <f>"ACCT#007-0011534-001/07312017"</f>
        <v>ACCT#007-0011534-001/07312017</v>
      </c>
      <c r="I556" s="2">
        <v>128.81</v>
      </c>
      <c r="J556" t="str">
        <f>"ACCT#007-0011534-001/07312017"</f>
        <v>ACCT#007-0011534-001/07312017</v>
      </c>
    </row>
    <row r="557" spans="1:10" x14ac:dyDescent="0.3">
      <c r="A557" t="str">
        <f>""</f>
        <v/>
      </c>
      <c r="B557" t="str">
        <f>""</f>
        <v/>
      </c>
      <c r="G557" t="str">
        <f>"201708094283"</f>
        <v>201708094283</v>
      </c>
      <c r="H557" t="str">
        <f>"ACCT#007-0011535-000/07312017"</f>
        <v>ACCT#007-0011535-000/07312017</v>
      </c>
      <c r="I557" s="2">
        <v>312.06</v>
      </c>
      <c r="J557" t="str">
        <f>"CITY OF ELGIN UTILITIES"</f>
        <v>CITY OF ELGIN UTILITIES</v>
      </c>
    </row>
    <row r="558" spans="1:10" x14ac:dyDescent="0.3">
      <c r="A558" t="str">
        <f>""</f>
        <v/>
      </c>
      <c r="B558" t="str">
        <f>""</f>
        <v/>
      </c>
      <c r="G558" t="str">
        <f>"201708094284"</f>
        <v>201708094284</v>
      </c>
      <c r="H558" t="str">
        <f>"ACCT#007-0011544-001/07312017"</f>
        <v>ACCT#007-0011544-001/07312017</v>
      </c>
      <c r="I558" s="2">
        <v>89.34</v>
      </c>
      <c r="J558" t="str">
        <f>"CITY OF ELGIN UTILITIES"</f>
        <v>CITY OF ELGIN UTILITIES</v>
      </c>
    </row>
    <row r="559" spans="1:10" x14ac:dyDescent="0.3">
      <c r="A559" t="str">
        <f>""</f>
        <v/>
      </c>
      <c r="B559" t="str">
        <f>""</f>
        <v/>
      </c>
      <c r="G559" t="str">
        <f>"201708094285"</f>
        <v>201708094285</v>
      </c>
      <c r="H559" t="str">
        <f>"ACCT#007-0071128-001/07312017"</f>
        <v>ACCT#007-0071128-001/07312017</v>
      </c>
      <c r="I559" s="2">
        <v>3.34</v>
      </c>
      <c r="J559" t="str">
        <f>"ACCT#007-0071128-001/07312017"</f>
        <v>ACCT#007-0071128-001/07312017</v>
      </c>
    </row>
    <row r="560" spans="1:10" x14ac:dyDescent="0.3">
      <c r="A560" t="str">
        <f>"01"</f>
        <v>01</v>
      </c>
      <c r="B560" t="str">
        <f>"003027"</f>
        <v>003027</v>
      </c>
      <c r="C560" t="s">
        <v>162</v>
      </c>
      <c r="D560">
        <v>71982</v>
      </c>
      <c r="E560" s="2">
        <v>846.41</v>
      </c>
      <c r="F560" s="1">
        <v>42961</v>
      </c>
      <c r="G560" t="str">
        <f>"201707283882"</f>
        <v>201707283882</v>
      </c>
      <c r="H560" t="str">
        <f>"CUST#0888336/ELECTRICAL SVCS"</f>
        <v>CUST#0888336/ELECTRICAL SVCS</v>
      </c>
      <c r="I560" s="2">
        <v>830.48</v>
      </c>
      <c r="J560" t="str">
        <f>"CUST#0888336/ELECTRICAL SVCS"</f>
        <v>CUST#0888336/ELECTRICAL SVCS</v>
      </c>
    </row>
    <row r="561" spans="1:10" x14ac:dyDescent="0.3">
      <c r="A561" t="str">
        <f>""</f>
        <v/>
      </c>
      <c r="B561" t="str">
        <f>""</f>
        <v/>
      </c>
      <c r="G561" t="str">
        <f>"201707283885"</f>
        <v>201707283885</v>
      </c>
      <c r="H561" t="str">
        <f>"CUST#0888336/ELECTRICAL SVCS"</f>
        <v>CUST#0888336/ELECTRICAL SVCS</v>
      </c>
      <c r="I561" s="2">
        <v>15.93</v>
      </c>
      <c r="J561" t="str">
        <f>"CUST#0888336/ELECTRICAL SVCS"</f>
        <v>CUST#0888336/ELECTRICAL SVCS</v>
      </c>
    </row>
    <row r="562" spans="1:10" x14ac:dyDescent="0.3">
      <c r="A562" t="str">
        <f>"01"</f>
        <v>01</v>
      </c>
      <c r="B562" t="str">
        <f>"003027"</f>
        <v>003027</v>
      </c>
      <c r="C562" t="s">
        <v>162</v>
      </c>
      <c r="D562">
        <v>72246</v>
      </c>
      <c r="E562" s="2">
        <v>10251.33</v>
      </c>
      <c r="F562" s="1">
        <v>42976</v>
      </c>
      <c r="G562" t="str">
        <f>"145-07562-01"</f>
        <v>145-07562-01</v>
      </c>
      <c r="H562" t="str">
        <f>"ELECTRICAL/GEN SVCS"</f>
        <v>ELECTRICAL/GEN SVCS</v>
      </c>
      <c r="I562" s="2">
        <v>9792</v>
      </c>
      <c r="J562" t="str">
        <f>"ELECTRICAL/GEN SVCS"</f>
        <v>ELECTRICAL/GEN SVCS</v>
      </c>
    </row>
    <row r="563" spans="1:10" x14ac:dyDescent="0.3">
      <c r="A563" t="str">
        <f>""</f>
        <v/>
      </c>
      <c r="B563" t="str">
        <f>""</f>
        <v/>
      </c>
      <c r="G563" t="str">
        <f>"145-09505-01"</f>
        <v>145-09505-01</v>
      </c>
      <c r="H563" t="str">
        <f>"ELECTRICAL SVCS/PCT#1"</f>
        <v>ELECTRICAL SVCS/PCT#1</v>
      </c>
      <c r="I563" s="2">
        <v>355.12</v>
      </c>
      <c r="J563" t="str">
        <f>"ELECTRICAL SVCS/PCT#1"</f>
        <v>ELECTRICAL SVCS/PCT#1</v>
      </c>
    </row>
    <row r="564" spans="1:10" x14ac:dyDescent="0.3">
      <c r="A564" t="str">
        <f>""</f>
        <v/>
      </c>
      <c r="B564" t="str">
        <f>""</f>
        <v/>
      </c>
      <c r="G564" t="str">
        <f>"145-09538-01"</f>
        <v>145-09538-01</v>
      </c>
      <c r="H564" t="str">
        <f>"INV 145-09538-01"</f>
        <v>INV 145-09538-01</v>
      </c>
      <c r="I564" s="2">
        <v>104.21</v>
      </c>
      <c r="J564" t="str">
        <f>"INV 145-09538-01"</f>
        <v>INV 145-09538-01</v>
      </c>
    </row>
    <row r="565" spans="1:10" x14ac:dyDescent="0.3">
      <c r="A565" t="str">
        <f>"01"</f>
        <v>01</v>
      </c>
      <c r="B565" t="str">
        <f>"002424"</f>
        <v>002424</v>
      </c>
      <c r="C565" t="s">
        <v>163</v>
      </c>
      <c r="D565">
        <v>71983</v>
      </c>
      <c r="E565" s="2">
        <v>54.41</v>
      </c>
      <c r="F565" s="1">
        <v>42961</v>
      </c>
      <c r="G565" t="str">
        <f>"201708094163"</f>
        <v>201708094163</v>
      </c>
      <c r="H565" t="str">
        <f>"INDIGENT HEALTH"</f>
        <v>INDIGENT HEALTH</v>
      </c>
      <c r="I565" s="2">
        <v>54.41</v>
      </c>
      <c r="J565" t="str">
        <f>"INDIGENT HEALTH"</f>
        <v>INDIGENT HEALTH</v>
      </c>
    </row>
    <row r="566" spans="1:10" x14ac:dyDescent="0.3">
      <c r="A566" t="str">
        <f>"01"</f>
        <v>01</v>
      </c>
      <c r="B566" t="str">
        <f>"000589"</f>
        <v>000589</v>
      </c>
      <c r="C566" t="s">
        <v>164</v>
      </c>
      <c r="D566">
        <v>71984</v>
      </c>
      <c r="E566" s="2">
        <v>3839.54</v>
      </c>
      <c r="F566" s="1">
        <v>42961</v>
      </c>
      <c r="G566" t="str">
        <f>"9401674209"</f>
        <v>9401674209</v>
      </c>
      <c r="H566" t="str">
        <f>"CUST#912897/BOL#20381/PCT#3"</f>
        <v>CUST#912897/BOL#20381/PCT#3</v>
      </c>
      <c r="I566" s="2">
        <v>240</v>
      </c>
      <c r="J566" t="str">
        <f>"CUST#912897/BOL#20381/PCT#3"</f>
        <v>CUST#912897/BOL#20381/PCT#3</v>
      </c>
    </row>
    <row r="567" spans="1:10" x14ac:dyDescent="0.3">
      <c r="A567" t="str">
        <f>""</f>
        <v/>
      </c>
      <c r="B567" t="str">
        <f>""</f>
        <v/>
      </c>
      <c r="G567" t="str">
        <f>"9401674405"</f>
        <v>9401674405</v>
      </c>
      <c r="H567" t="str">
        <f>"CUST#912922/BOL#20502/PCT#1"</f>
        <v>CUST#912922/BOL#20502/PCT#1</v>
      </c>
      <c r="I567" s="2">
        <v>3599.54</v>
      </c>
      <c r="J567" t="str">
        <f>"CUST#912922/BOL#20502/PCT#1"</f>
        <v>CUST#912922/BOL#20502/PCT#1</v>
      </c>
    </row>
    <row r="568" spans="1:10" x14ac:dyDescent="0.3">
      <c r="A568" t="str">
        <f>"01"</f>
        <v>01</v>
      </c>
      <c r="B568" t="str">
        <f>"000589"</f>
        <v>000589</v>
      </c>
      <c r="C568" t="s">
        <v>164</v>
      </c>
      <c r="D568">
        <v>72247</v>
      </c>
      <c r="E568" s="2">
        <v>30637.54</v>
      </c>
      <c r="F568" s="1">
        <v>42976</v>
      </c>
      <c r="G568" t="str">
        <f>"9401690567"</f>
        <v>9401690567</v>
      </c>
      <c r="H568" t="str">
        <f>"CUST#912922/PCT#1"</f>
        <v>CUST#912922/PCT#1</v>
      </c>
      <c r="I568" s="2">
        <v>3446.16</v>
      </c>
      <c r="J568" t="str">
        <f>"CUST#912922/PCT#1"</f>
        <v>CUST#912922/PCT#1</v>
      </c>
    </row>
    <row r="569" spans="1:10" x14ac:dyDescent="0.3">
      <c r="A569" t="str">
        <f>""</f>
        <v/>
      </c>
      <c r="B569" t="str">
        <f>""</f>
        <v/>
      </c>
      <c r="G569" t="str">
        <f>"9401691380"</f>
        <v>9401691380</v>
      </c>
      <c r="H569" t="str">
        <f>"CUST#912922/BOL#20697/PCT#1"</f>
        <v>CUST#912922/BOL#20697/PCT#1</v>
      </c>
      <c r="I569" s="2">
        <v>3515</v>
      </c>
      <c r="J569" t="str">
        <f>"CUST#912922/BOL#20697/PCT#1"</f>
        <v>CUST#912922/BOL#20697/PCT#1</v>
      </c>
    </row>
    <row r="570" spans="1:10" x14ac:dyDescent="0.3">
      <c r="A570" t="str">
        <f>""</f>
        <v/>
      </c>
      <c r="B570" t="str">
        <f>""</f>
        <v/>
      </c>
      <c r="G570" t="str">
        <f>"9401691538"</f>
        <v>9401691538</v>
      </c>
      <c r="H570" t="str">
        <f>"ACCT#912897/BOL#20702/PCT#3"</f>
        <v>ACCT#912897/BOL#20702/PCT#3</v>
      </c>
      <c r="I570" s="2">
        <v>11717.42</v>
      </c>
      <c r="J570" t="str">
        <f>"ACCT#912897/BOL#20702/PCT#3"</f>
        <v>ACCT#912897/BOL#20702/PCT#3</v>
      </c>
    </row>
    <row r="571" spans="1:10" x14ac:dyDescent="0.3">
      <c r="A571" t="str">
        <f>""</f>
        <v/>
      </c>
      <c r="B571" t="str">
        <f>""</f>
        <v/>
      </c>
      <c r="G571" t="str">
        <f>"9401692201"</f>
        <v>9401692201</v>
      </c>
      <c r="H571" t="str">
        <f>"ACCT#912897/BID#17BCP04E/PCT#3"</f>
        <v>ACCT#912897/BID#17BCP04E/PCT#3</v>
      </c>
      <c r="I571" s="2">
        <v>11958.96</v>
      </c>
      <c r="J571" t="str">
        <f>"ACCT#912897/BID#17BCP04E/PCT#3"</f>
        <v>ACCT#912897/BID#17BCP04E/PCT#3</v>
      </c>
    </row>
    <row r="572" spans="1:10" x14ac:dyDescent="0.3">
      <c r="A572" t="str">
        <f>"01"</f>
        <v>01</v>
      </c>
      <c r="B572" t="str">
        <f>"T2788"</f>
        <v>T2788</v>
      </c>
      <c r="C572" t="s">
        <v>165</v>
      </c>
      <c r="D572">
        <v>999999</v>
      </c>
      <c r="E572" s="2">
        <v>685.22</v>
      </c>
      <c r="F572" s="1">
        <v>42961</v>
      </c>
      <c r="G572" t="str">
        <f>"3413932"</f>
        <v>3413932</v>
      </c>
      <c r="H572" t="str">
        <f>"CUST#00405/PCT#3"</f>
        <v>CUST#00405/PCT#3</v>
      </c>
      <c r="I572" s="2">
        <v>431.93</v>
      </c>
      <c r="J572" t="str">
        <f>"CUST#00405/PCT#3"</f>
        <v>CUST#00405/PCT#3</v>
      </c>
    </row>
    <row r="573" spans="1:10" x14ac:dyDescent="0.3">
      <c r="A573" t="str">
        <f>""</f>
        <v/>
      </c>
      <c r="B573" t="str">
        <f>""</f>
        <v/>
      </c>
      <c r="G573" t="str">
        <f>"3413999"</f>
        <v>3413999</v>
      </c>
      <c r="H573" t="str">
        <f>"CUST#00405/512-848-3413"</f>
        <v>CUST#00405/512-848-3413</v>
      </c>
      <c r="I573" s="2">
        <v>91.91</v>
      </c>
      <c r="J573" t="str">
        <f>"CUST#00405/512-848-3413"</f>
        <v>CUST#00405/512-848-3413</v>
      </c>
    </row>
    <row r="574" spans="1:10" x14ac:dyDescent="0.3">
      <c r="A574" t="str">
        <f>""</f>
        <v/>
      </c>
      <c r="B574" t="str">
        <f>""</f>
        <v/>
      </c>
      <c r="G574" t="str">
        <f>"3414105"</f>
        <v>3414105</v>
      </c>
      <c r="H574" t="str">
        <f>"CUST#00405/PCT#1"</f>
        <v>CUST#00405/PCT#1</v>
      </c>
      <c r="I574" s="2">
        <v>161.38</v>
      </c>
      <c r="J574" t="str">
        <f>"CUST#00405/PCT#1"</f>
        <v>CUST#00405/PCT#1</v>
      </c>
    </row>
    <row r="575" spans="1:10" x14ac:dyDescent="0.3">
      <c r="A575" t="str">
        <f t="shared" ref="A575:A580" si="8">"01"</f>
        <v>01</v>
      </c>
      <c r="B575" t="str">
        <f>"004780"</f>
        <v>004780</v>
      </c>
      <c r="C575" t="s">
        <v>166</v>
      </c>
      <c r="D575">
        <v>999999</v>
      </c>
      <c r="E575" s="2">
        <v>250.77</v>
      </c>
      <c r="F575" s="1">
        <v>42961</v>
      </c>
      <c r="G575" t="str">
        <f>"201708084119"</f>
        <v>201708084119</v>
      </c>
      <c r="H575" t="str">
        <f>"CUST#702402-0001/LIGHTING"</f>
        <v>CUST#702402-0001/LIGHTING</v>
      </c>
      <c r="I575" s="2">
        <v>250.77</v>
      </c>
      <c r="J575" t="str">
        <f>"CUST#702402-0001/LIGHTING"</f>
        <v>CUST#702402-0001/LIGHTING</v>
      </c>
    </row>
    <row r="576" spans="1:10" x14ac:dyDescent="0.3">
      <c r="A576" t="str">
        <f t="shared" si="8"/>
        <v>01</v>
      </c>
      <c r="B576" t="str">
        <f>"FCC"</f>
        <v>FCC</v>
      </c>
      <c r="C576" t="s">
        <v>167</v>
      </c>
      <c r="D576">
        <v>72248</v>
      </c>
      <c r="E576" s="2">
        <v>6109.52</v>
      </c>
      <c r="F576" s="1">
        <v>42976</v>
      </c>
      <c r="G576" t="str">
        <f>"201708214301"</f>
        <v>201708214301</v>
      </c>
      <c r="H576" t="str">
        <f>"GRANT REIMB-2014-WE-AX-0053"</f>
        <v>GRANT REIMB-2014-WE-AX-0053</v>
      </c>
      <c r="I576" s="2">
        <v>6109.52</v>
      </c>
      <c r="J576" t="str">
        <f>"GRANT REIMB-2014-WE-AX-0053"</f>
        <v>GRANT REIMB-2014-WE-AX-0053</v>
      </c>
    </row>
    <row r="577" spans="1:10" x14ac:dyDescent="0.3">
      <c r="A577" t="str">
        <f t="shared" si="8"/>
        <v>01</v>
      </c>
      <c r="B577" t="str">
        <f>"003066"</f>
        <v>003066</v>
      </c>
      <c r="C577" t="s">
        <v>169</v>
      </c>
      <c r="D577">
        <v>71985</v>
      </c>
      <c r="E577" s="2">
        <v>46.73</v>
      </c>
      <c r="F577" s="1">
        <v>42961</v>
      </c>
      <c r="G577" t="str">
        <f>"201708094164"</f>
        <v>201708094164</v>
      </c>
      <c r="H577" t="str">
        <f>"INDIGENT HEALTH"</f>
        <v>INDIGENT HEALTH</v>
      </c>
      <c r="I577" s="2">
        <v>46.73</v>
      </c>
      <c r="J577" t="str">
        <f>"INDIGENT HEALTH"</f>
        <v>INDIGENT HEALTH</v>
      </c>
    </row>
    <row r="578" spans="1:10" x14ac:dyDescent="0.3">
      <c r="A578" t="str">
        <f t="shared" si="8"/>
        <v>01</v>
      </c>
      <c r="B578" t="str">
        <f>"003066"</f>
        <v>003066</v>
      </c>
      <c r="C578" t="s">
        <v>169</v>
      </c>
      <c r="D578">
        <v>72249</v>
      </c>
      <c r="E578" s="2">
        <v>46.73</v>
      </c>
      <c r="F578" s="1">
        <v>42976</v>
      </c>
      <c r="G578" t="str">
        <f>"201708234397"</f>
        <v>201708234397</v>
      </c>
      <c r="H578" t="str">
        <f>"INDIGENT HEALTH"</f>
        <v>INDIGENT HEALTH</v>
      </c>
      <c r="I578" s="2">
        <v>46.73</v>
      </c>
      <c r="J578" t="str">
        <f>"INDIGENT HEALTH"</f>
        <v>INDIGENT HEALTH</v>
      </c>
    </row>
    <row r="579" spans="1:10" x14ac:dyDescent="0.3">
      <c r="A579" t="str">
        <f t="shared" si="8"/>
        <v>01</v>
      </c>
      <c r="B579" t="str">
        <f>"T526"</f>
        <v>T526</v>
      </c>
      <c r="C579" t="s">
        <v>170</v>
      </c>
      <c r="D579">
        <v>71986</v>
      </c>
      <c r="E579" s="2">
        <v>16.75</v>
      </c>
      <c r="F579" s="1">
        <v>42961</v>
      </c>
      <c r="G579" t="str">
        <f>"5-870-63291"</f>
        <v>5-870-63291</v>
      </c>
      <c r="H579" t="str">
        <f>"INV 5-870-63291"</f>
        <v>INV 5-870-63291</v>
      </c>
      <c r="I579" s="2">
        <v>16.75</v>
      </c>
      <c r="J579" t="str">
        <f>"INV 5-870-63291"</f>
        <v>INV 5-870-63291</v>
      </c>
    </row>
    <row r="580" spans="1:10" x14ac:dyDescent="0.3">
      <c r="A580" t="str">
        <f t="shared" si="8"/>
        <v>01</v>
      </c>
      <c r="B580" t="str">
        <f>"T8083"</f>
        <v>T8083</v>
      </c>
      <c r="C580" t="s">
        <v>171</v>
      </c>
      <c r="D580">
        <v>72250</v>
      </c>
      <c r="E580" s="2">
        <v>694.87</v>
      </c>
      <c r="F580" s="1">
        <v>42976</v>
      </c>
      <c r="G580" t="str">
        <f>"4897367"</f>
        <v>4897367</v>
      </c>
      <c r="H580" t="str">
        <f>"CUST#306066/GEN SVCS"</f>
        <v>CUST#306066/GEN SVCS</v>
      </c>
      <c r="I580" s="2">
        <v>240.19</v>
      </c>
      <c r="J580" t="str">
        <f>"CUST#306066/GEN SVCS"</f>
        <v>CUST#306066/GEN SVCS</v>
      </c>
    </row>
    <row r="581" spans="1:10" x14ac:dyDescent="0.3">
      <c r="A581" t="str">
        <f>""</f>
        <v/>
      </c>
      <c r="B581" t="str">
        <f>""</f>
        <v/>
      </c>
      <c r="G581" t="str">
        <f>"4897433"</f>
        <v>4897433</v>
      </c>
      <c r="H581" t="str">
        <f>"CUST#306066/GEN SVCS"</f>
        <v>CUST#306066/GEN SVCS</v>
      </c>
      <c r="I581" s="2">
        <v>454.68</v>
      </c>
      <c r="J581" t="str">
        <f>"CUST#306066/GEN SVCS"</f>
        <v>CUST#306066/GEN SVCS</v>
      </c>
    </row>
    <row r="582" spans="1:10" x14ac:dyDescent="0.3">
      <c r="A582" t="str">
        <f>"01"</f>
        <v>01</v>
      </c>
      <c r="B582" t="str">
        <f>"004691"</f>
        <v>004691</v>
      </c>
      <c r="C582" t="s">
        <v>172</v>
      </c>
      <c r="D582">
        <v>71987</v>
      </c>
      <c r="E582" s="2">
        <v>21838.92</v>
      </c>
      <c r="F582" s="1">
        <v>42961</v>
      </c>
      <c r="G582" t="str">
        <f>"BG2153944 A"</f>
        <v>BG2153944 A</v>
      </c>
      <c r="H582" t="str">
        <f>"Stmt# NP51085703"</f>
        <v>Stmt# NP51085703</v>
      </c>
      <c r="I582" s="2">
        <v>315.5</v>
      </c>
      <c r="J582" t="str">
        <f>"Payment"</f>
        <v>Payment</v>
      </c>
    </row>
    <row r="583" spans="1:10" x14ac:dyDescent="0.3">
      <c r="A583" t="str">
        <f>""</f>
        <v/>
      </c>
      <c r="B583" t="str">
        <f>""</f>
        <v/>
      </c>
      <c r="G583" t="str">
        <f>"BG361495 A"</f>
        <v>BG361495 A</v>
      </c>
      <c r="H583" t="str">
        <f>"Stmt# NP51085461"</f>
        <v>Stmt# NP51085461</v>
      </c>
      <c r="I583" s="2">
        <v>557.23</v>
      </c>
      <c r="J583" t="str">
        <f>"General Service"</f>
        <v>General Service</v>
      </c>
    </row>
    <row r="584" spans="1:10" x14ac:dyDescent="0.3">
      <c r="A584" t="str">
        <f>""</f>
        <v/>
      </c>
      <c r="B584" t="str">
        <f>""</f>
        <v/>
      </c>
      <c r="G584" t="str">
        <f>""</f>
        <v/>
      </c>
      <c r="H584" t="str">
        <f>""</f>
        <v/>
      </c>
      <c r="J584" t="str">
        <f>"Sign Shop"</f>
        <v>Sign Shop</v>
      </c>
    </row>
    <row r="585" spans="1:10" x14ac:dyDescent="0.3">
      <c r="A585" t="str">
        <f>""</f>
        <v/>
      </c>
      <c r="B585" t="str">
        <f>""</f>
        <v/>
      </c>
      <c r="G585" t="str">
        <f>""</f>
        <v/>
      </c>
      <c r="H585" t="str">
        <f>""</f>
        <v/>
      </c>
      <c r="J585" t="str">
        <f>"Pct1"</f>
        <v>Pct1</v>
      </c>
    </row>
    <row r="586" spans="1:10" x14ac:dyDescent="0.3">
      <c r="A586" t="str">
        <f>""</f>
        <v/>
      </c>
      <c r="B586" t="str">
        <f>""</f>
        <v/>
      </c>
      <c r="G586" t="str">
        <f>"NP50854677"</f>
        <v>NP50854677</v>
      </c>
      <c r="H586" t="str">
        <f>"INV NP50854677"</f>
        <v>INV NP50854677</v>
      </c>
      <c r="I586" s="2">
        <v>8843.3799999999992</v>
      </c>
      <c r="J586" t="str">
        <f>"INV NP50854677"</f>
        <v>INV NP50854677</v>
      </c>
    </row>
    <row r="587" spans="1:10" x14ac:dyDescent="0.3">
      <c r="A587" t="str">
        <f>""</f>
        <v/>
      </c>
      <c r="B587" t="str">
        <f>""</f>
        <v/>
      </c>
      <c r="G587" t="str">
        <f>"NP50930383"</f>
        <v>NP50930383</v>
      </c>
      <c r="H587" t="str">
        <f>"Stmt# NP50930383"</f>
        <v>Stmt# NP50930383</v>
      </c>
      <c r="I587" s="2">
        <v>472.28</v>
      </c>
      <c r="J587" t="str">
        <f>"General Service"</f>
        <v>General Service</v>
      </c>
    </row>
    <row r="588" spans="1:10" x14ac:dyDescent="0.3">
      <c r="A588" t="str">
        <f>""</f>
        <v/>
      </c>
      <c r="B588" t="str">
        <f>""</f>
        <v/>
      </c>
      <c r="G588" t="str">
        <f>""</f>
        <v/>
      </c>
      <c r="H588" t="str">
        <f>""</f>
        <v/>
      </c>
      <c r="J588" t="str">
        <f>"Sign Shop"</f>
        <v>Sign Shop</v>
      </c>
    </row>
    <row r="589" spans="1:10" x14ac:dyDescent="0.3">
      <c r="A589" t="str">
        <f>""</f>
        <v/>
      </c>
      <c r="B589" t="str">
        <f>""</f>
        <v/>
      </c>
      <c r="G589" t="str">
        <f>""</f>
        <v/>
      </c>
      <c r="H589" t="str">
        <f>""</f>
        <v/>
      </c>
      <c r="J589" t="str">
        <f>"Ag Extension"</f>
        <v>Ag Extension</v>
      </c>
    </row>
    <row r="590" spans="1:10" x14ac:dyDescent="0.3">
      <c r="A590" t="str">
        <f>""</f>
        <v/>
      </c>
      <c r="B590" t="str">
        <f>""</f>
        <v/>
      </c>
      <c r="G590" t="str">
        <f>"NP50930596"</f>
        <v>NP50930596</v>
      </c>
      <c r="H590" t="str">
        <f>"INV NP50930596"</f>
        <v>INV NP50930596</v>
      </c>
      <c r="I590" s="2">
        <v>11152.19</v>
      </c>
      <c r="J590" t="str">
        <f>"INV NP50930596"</f>
        <v>INV NP50930596</v>
      </c>
    </row>
    <row r="591" spans="1:10" x14ac:dyDescent="0.3">
      <c r="A591" t="str">
        <f>""</f>
        <v/>
      </c>
      <c r="B591" t="str">
        <f>""</f>
        <v/>
      </c>
      <c r="G591" t="str">
        <f>"NP50930632"</f>
        <v>NP50930632</v>
      </c>
      <c r="H591" t="str">
        <f>"Stmt# NP50930632"</f>
        <v>Stmt# NP50930632</v>
      </c>
      <c r="I591" s="2">
        <v>498.34</v>
      </c>
      <c r="J591" t="str">
        <f>"Payment"</f>
        <v>Payment</v>
      </c>
    </row>
    <row r="592" spans="1:10" x14ac:dyDescent="0.3">
      <c r="A592" t="str">
        <f>"01"</f>
        <v>01</v>
      </c>
      <c r="B592" t="str">
        <f>"004691"</f>
        <v>004691</v>
      </c>
      <c r="C592" t="s">
        <v>172</v>
      </c>
      <c r="D592">
        <v>72251</v>
      </c>
      <c r="E592" s="2">
        <v>11770.37</v>
      </c>
      <c r="F592" s="1">
        <v>42976</v>
      </c>
      <c r="G592" t="str">
        <f>"NP51085669"</f>
        <v>NP51085669</v>
      </c>
      <c r="H592" t="str">
        <f>"INV NP51085669"</f>
        <v>INV NP51085669</v>
      </c>
      <c r="I592" s="2">
        <v>10490.78</v>
      </c>
      <c r="J592" t="str">
        <f>"INV NP51085669"</f>
        <v>INV NP51085669</v>
      </c>
    </row>
    <row r="593" spans="1:10" x14ac:dyDescent="0.3">
      <c r="A593" t="str">
        <f>""</f>
        <v/>
      </c>
      <c r="B593" t="str">
        <f>""</f>
        <v/>
      </c>
      <c r="G593" t="str">
        <f>"NP51158523"</f>
        <v>NP51158523</v>
      </c>
      <c r="H593" t="str">
        <f>"Stmt# NP51158523"</f>
        <v>Stmt# NP51158523</v>
      </c>
      <c r="I593" s="2">
        <v>795.24</v>
      </c>
      <c r="J593" t="str">
        <f>"General Service"</f>
        <v>General Service</v>
      </c>
    </row>
    <row r="594" spans="1:10" x14ac:dyDescent="0.3">
      <c r="A594" t="str">
        <f>""</f>
        <v/>
      </c>
      <c r="B594" t="str">
        <f>""</f>
        <v/>
      </c>
      <c r="G594" t="str">
        <f>""</f>
        <v/>
      </c>
      <c r="H594" t="str">
        <f>""</f>
        <v/>
      </c>
      <c r="J594" t="str">
        <f>"Sign Shop"</f>
        <v>Sign Shop</v>
      </c>
    </row>
    <row r="595" spans="1:10" x14ac:dyDescent="0.3">
      <c r="A595" t="str">
        <f>""</f>
        <v/>
      </c>
      <c r="B595" t="str">
        <f>""</f>
        <v/>
      </c>
      <c r="G595" t="str">
        <f>""</f>
        <v/>
      </c>
      <c r="H595" t="str">
        <f>""</f>
        <v/>
      </c>
      <c r="J595" t="str">
        <f>"Habitat Conservation"</f>
        <v>Habitat Conservation</v>
      </c>
    </row>
    <row r="596" spans="1:10" x14ac:dyDescent="0.3">
      <c r="A596" t="str">
        <f>""</f>
        <v/>
      </c>
      <c r="B596" t="str">
        <f>""</f>
        <v/>
      </c>
      <c r="G596" t="str">
        <f>""</f>
        <v/>
      </c>
      <c r="H596" t="str">
        <f>""</f>
        <v/>
      </c>
      <c r="J596" t="str">
        <f>"Ag Extension"</f>
        <v>Ag Extension</v>
      </c>
    </row>
    <row r="597" spans="1:10" x14ac:dyDescent="0.3">
      <c r="A597" t="str">
        <f>""</f>
        <v/>
      </c>
      <c r="B597" t="str">
        <f>""</f>
        <v/>
      </c>
      <c r="G597" t="str">
        <f>""</f>
        <v/>
      </c>
      <c r="H597" t="str">
        <f>""</f>
        <v/>
      </c>
      <c r="J597" t="str">
        <f>"Pct 1"</f>
        <v>Pct 1</v>
      </c>
    </row>
    <row r="598" spans="1:10" x14ac:dyDescent="0.3">
      <c r="A598" t="str">
        <f>""</f>
        <v/>
      </c>
      <c r="B598" t="str">
        <f>""</f>
        <v/>
      </c>
      <c r="G598" t="str">
        <f>"NP51158757"</f>
        <v>NP51158757</v>
      </c>
      <c r="H598" t="str">
        <f>"Stmt# NP51158757"</f>
        <v>Stmt# NP51158757</v>
      </c>
      <c r="I598" s="2">
        <v>484.35</v>
      </c>
      <c r="J598" t="str">
        <f>"Animal Shelter"</f>
        <v>Animal Shelter</v>
      </c>
    </row>
    <row r="599" spans="1:10" x14ac:dyDescent="0.3">
      <c r="A599" t="str">
        <f>"01"</f>
        <v>01</v>
      </c>
      <c r="B599" t="str">
        <f>"T5062"</f>
        <v>T5062</v>
      </c>
      <c r="C599" t="s">
        <v>173</v>
      </c>
      <c r="D599">
        <v>71988</v>
      </c>
      <c r="E599" s="2">
        <v>2789.88</v>
      </c>
      <c r="F599" s="1">
        <v>42961</v>
      </c>
      <c r="G599" t="str">
        <f>"201708074103"</f>
        <v>201708074103</v>
      </c>
      <c r="H599" t="str">
        <f>"CUST#80975-001/PCT#3"</f>
        <v>CUST#80975-001/PCT#3</v>
      </c>
      <c r="I599" s="2">
        <v>2789.88</v>
      </c>
      <c r="J599" t="str">
        <f>"INV#86008873/86010206/86552103"</f>
        <v>INV#86008873/86010206/86552103</v>
      </c>
    </row>
    <row r="600" spans="1:10" x14ac:dyDescent="0.3">
      <c r="A600" t="str">
        <f>"01"</f>
        <v>01</v>
      </c>
      <c r="B600" t="str">
        <f>"T5062"</f>
        <v>T5062</v>
      </c>
      <c r="C600" t="s">
        <v>173</v>
      </c>
      <c r="D600">
        <v>72252</v>
      </c>
      <c r="E600" s="2">
        <v>632.41</v>
      </c>
      <c r="F600" s="1">
        <v>42976</v>
      </c>
      <c r="G600" t="str">
        <f>"86689252"</f>
        <v>86689252</v>
      </c>
      <c r="H600" t="str">
        <f>"ACCT#80975/PCT#3"</f>
        <v>ACCT#80975/PCT#3</v>
      </c>
      <c r="I600" s="2">
        <v>184.64</v>
      </c>
      <c r="J600" t="str">
        <f>"ACCT#80975/PCT#3"</f>
        <v>ACCT#80975/PCT#3</v>
      </c>
    </row>
    <row r="601" spans="1:10" x14ac:dyDescent="0.3">
      <c r="A601" t="str">
        <f>""</f>
        <v/>
      </c>
      <c r="B601" t="str">
        <f>""</f>
        <v/>
      </c>
      <c r="G601" t="str">
        <f>"86738976"</f>
        <v>86738976</v>
      </c>
      <c r="H601" t="str">
        <f>"PARTS/PCT#4"</f>
        <v>PARTS/PCT#4</v>
      </c>
      <c r="I601" s="2">
        <v>84.41</v>
      </c>
      <c r="J601" t="str">
        <f>"PARTS/PCT#4"</f>
        <v>PARTS/PCT#4</v>
      </c>
    </row>
    <row r="602" spans="1:10" x14ac:dyDescent="0.3">
      <c r="A602" t="str">
        <f>""</f>
        <v/>
      </c>
      <c r="B602" t="str">
        <f>""</f>
        <v/>
      </c>
      <c r="G602" t="str">
        <f>"86884084"</f>
        <v>86884084</v>
      </c>
      <c r="H602" t="str">
        <f>"ACCT#80975/PCT#2"</f>
        <v>ACCT#80975/PCT#2</v>
      </c>
      <c r="I602" s="2">
        <v>337.36</v>
      </c>
      <c r="J602" t="str">
        <f>"ACCT#80975/PCT#2"</f>
        <v>ACCT#80975/PCT#2</v>
      </c>
    </row>
    <row r="603" spans="1:10" x14ac:dyDescent="0.3">
      <c r="A603" t="str">
        <f>""</f>
        <v/>
      </c>
      <c r="B603" t="str">
        <f>""</f>
        <v/>
      </c>
      <c r="G603" t="str">
        <f>"87020424"</f>
        <v>87020424</v>
      </c>
      <c r="H603" t="str">
        <f>"ACCT#80975/PCT#4"</f>
        <v>ACCT#80975/PCT#4</v>
      </c>
      <c r="I603" s="2">
        <v>26</v>
      </c>
      <c r="J603" t="str">
        <f>"ACCT#80975/PCT#4"</f>
        <v>ACCT#80975/PCT#4</v>
      </c>
    </row>
    <row r="604" spans="1:10" x14ac:dyDescent="0.3">
      <c r="A604" t="str">
        <f>"01"</f>
        <v>01</v>
      </c>
      <c r="B604" t="str">
        <f>"FLS"</f>
        <v>FLS</v>
      </c>
      <c r="C604" t="s">
        <v>174</v>
      </c>
      <c r="D604">
        <v>999999</v>
      </c>
      <c r="E604" s="2">
        <v>3775</v>
      </c>
      <c r="F604" s="1">
        <v>42961</v>
      </c>
      <c r="G604" t="str">
        <f>"201707283907"</f>
        <v>201707283907</v>
      </c>
      <c r="H604" t="str">
        <f>"UNFILED 7/12/17"</f>
        <v>UNFILED 7/12/17</v>
      </c>
      <c r="I604" s="2">
        <v>250</v>
      </c>
      <c r="J604" t="str">
        <f>"UNFILED 7/12/17"</f>
        <v>UNFILED 7/12/17</v>
      </c>
    </row>
    <row r="605" spans="1:10" x14ac:dyDescent="0.3">
      <c r="A605" t="str">
        <f>""</f>
        <v/>
      </c>
      <c r="B605" t="str">
        <f>""</f>
        <v/>
      </c>
      <c r="G605" t="str">
        <f>"201707283908"</f>
        <v>201707283908</v>
      </c>
      <c r="H605" t="str">
        <f>"UNFILED 7/12/17"</f>
        <v>UNFILED 7/12/17</v>
      </c>
      <c r="I605" s="2">
        <v>250</v>
      </c>
      <c r="J605" t="str">
        <f>"UNFILED 7/12/17"</f>
        <v>UNFILED 7/12/17</v>
      </c>
    </row>
    <row r="606" spans="1:10" x14ac:dyDescent="0.3">
      <c r="A606" t="str">
        <f>""</f>
        <v/>
      </c>
      <c r="B606" t="str">
        <f>""</f>
        <v/>
      </c>
      <c r="G606" t="str">
        <f>"201707283909"</f>
        <v>201707283909</v>
      </c>
      <c r="H606" t="str">
        <f>"UNFILED 7/17/17"</f>
        <v>UNFILED 7/17/17</v>
      </c>
      <c r="I606" s="2">
        <v>250</v>
      </c>
      <c r="J606" t="str">
        <f>"UNFILED 7/17/17"</f>
        <v>UNFILED 7/17/17</v>
      </c>
    </row>
    <row r="607" spans="1:10" x14ac:dyDescent="0.3">
      <c r="A607" t="str">
        <f>""</f>
        <v/>
      </c>
      <c r="B607" t="str">
        <f>""</f>
        <v/>
      </c>
      <c r="G607" t="str">
        <f>"201708084131"</f>
        <v>201708084131</v>
      </c>
      <c r="H607" t="str">
        <f>"15 777"</f>
        <v>15 777</v>
      </c>
      <c r="I607" s="2">
        <v>2625</v>
      </c>
      <c r="J607" t="str">
        <f>"15 777"</f>
        <v>15 777</v>
      </c>
    </row>
    <row r="608" spans="1:10" x14ac:dyDescent="0.3">
      <c r="A608" t="str">
        <f>""</f>
        <v/>
      </c>
      <c r="B608" t="str">
        <f>""</f>
        <v/>
      </c>
      <c r="G608" t="str">
        <f>"201708094179"</f>
        <v>201708094179</v>
      </c>
      <c r="H608" t="str">
        <f>"53 434"</f>
        <v>53 434</v>
      </c>
      <c r="I608" s="2">
        <v>400</v>
      </c>
      <c r="J608" t="str">
        <f>"53 434"</f>
        <v>53 434</v>
      </c>
    </row>
    <row r="609" spans="1:10" x14ac:dyDescent="0.3">
      <c r="A609" t="str">
        <f>"01"</f>
        <v>01</v>
      </c>
      <c r="B609" t="str">
        <f>"PPLAN"</f>
        <v>PPLAN</v>
      </c>
      <c r="C609" t="s">
        <v>175</v>
      </c>
      <c r="D609">
        <v>71989</v>
      </c>
      <c r="E609" s="2">
        <v>1687.25</v>
      </c>
      <c r="F609" s="1">
        <v>42961</v>
      </c>
      <c r="G609" t="str">
        <f>"201708074104"</f>
        <v>201708074104</v>
      </c>
      <c r="H609" t="str">
        <f>"ACCT#8850283308/7/31/17"</f>
        <v>ACCT#8850283308/7/31/17</v>
      </c>
      <c r="I609" s="2">
        <v>535.80999999999995</v>
      </c>
      <c r="J609" t="str">
        <f>"ACCT#8850283308/7/31/17"</f>
        <v>ACCT#8850283308/7/31/17</v>
      </c>
    </row>
    <row r="610" spans="1:10" x14ac:dyDescent="0.3">
      <c r="A610" t="str">
        <f>""</f>
        <v/>
      </c>
      <c r="B610" t="str">
        <f>""</f>
        <v/>
      </c>
      <c r="G610" t="str">
        <f>"P48461/P49458"</f>
        <v>P48461/P49458</v>
      </c>
      <c r="H610" t="str">
        <f>"ACCT#8850283308/7/31/17"</f>
        <v>ACCT#8850283308/7/31/17</v>
      </c>
      <c r="I610" s="2">
        <v>624.78</v>
      </c>
      <c r="J610" t="str">
        <f>"ACCT#8850283308/7/31/17"</f>
        <v>ACCT#8850283308/7/31/17</v>
      </c>
    </row>
    <row r="611" spans="1:10" x14ac:dyDescent="0.3">
      <c r="A611" t="str">
        <f>""</f>
        <v/>
      </c>
      <c r="B611" t="str">
        <f>""</f>
        <v/>
      </c>
      <c r="G611" t="str">
        <f>"P48780/P49250"</f>
        <v>P48780/P49250</v>
      </c>
      <c r="H611" t="str">
        <f>"ACCT#8850283308/PCT#1"</f>
        <v>ACCT#8850283308/PCT#1</v>
      </c>
      <c r="I611" s="2">
        <v>337.58</v>
      </c>
      <c r="J611" t="str">
        <f>"ACCT#8850283308/PCT#1"</f>
        <v>ACCT#8850283308/PCT#1</v>
      </c>
    </row>
    <row r="612" spans="1:10" x14ac:dyDescent="0.3">
      <c r="A612" t="str">
        <f>""</f>
        <v/>
      </c>
      <c r="B612" t="str">
        <f>""</f>
        <v/>
      </c>
      <c r="G612" t="str">
        <f>"P48804/P49005"</f>
        <v>P48804/P49005</v>
      </c>
      <c r="H612" t="str">
        <f>"ACCT#8850283308/PCT#2"</f>
        <v>ACCT#8850283308/PCT#2</v>
      </c>
      <c r="I612" s="2">
        <v>189.08</v>
      </c>
      <c r="J612" t="str">
        <f>"ACCT#8850283308/PCT#2"</f>
        <v>ACCT#8850283308/PCT#2</v>
      </c>
    </row>
    <row r="613" spans="1:10" x14ac:dyDescent="0.3">
      <c r="A613" t="str">
        <f>"01"</f>
        <v>01</v>
      </c>
      <c r="B613" t="str">
        <f>"T4453"</f>
        <v>T4453</v>
      </c>
      <c r="C613" t="s">
        <v>176</v>
      </c>
      <c r="D613">
        <v>71990</v>
      </c>
      <c r="E613" s="2">
        <v>398</v>
      </c>
      <c r="F613" s="1">
        <v>42961</v>
      </c>
      <c r="G613" t="str">
        <f>"4818325"</f>
        <v>4818325</v>
      </c>
      <c r="H613" t="str">
        <f>"TRANING REWARDS SEMINAR"</f>
        <v>TRANING REWARDS SEMINAR</v>
      </c>
      <c r="I613" s="2">
        <v>199</v>
      </c>
      <c r="J613" t="str">
        <f>"TRANING REWARDS SEMINAR"</f>
        <v>TRANING REWARDS SEMINAR</v>
      </c>
    </row>
    <row r="614" spans="1:10" x14ac:dyDescent="0.3">
      <c r="A614" t="str">
        <f>""</f>
        <v/>
      </c>
      <c r="B614" t="str">
        <f>""</f>
        <v/>
      </c>
      <c r="G614" t="str">
        <f>"4818326"</f>
        <v>4818326</v>
      </c>
      <c r="H614" t="str">
        <f>"TRAINING REWARDS MEMBERSHIP"</f>
        <v>TRAINING REWARDS MEMBERSHIP</v>
      </c>
      <c r="I614" s="2">
        <v>199</v>
      </c>
      <c r="J614" t="str">
        <f>"TRAINING REWARDS MEMBERSHIP"</f>
        <v>TRAINING REWARDS MEMBERSHIP</v>
      </c>
    </row>
    <row r="615" spans="1:10" x14ac:dyDescent="0.3">
      <c r="A615" t="str">
        <f>"01"</f>
        <v>01</v>
      </c>
      <c r="B615" t="str">
        <f>"AT&amp;EI"</f>
        <v>AT&amp;EI</v>
      </c>
      <c r="C615" t="s">
        <v>177</v>
      </c>
      <c r="D615">
        <v>71991</v>
      </c>
      <c r="E615" s="2">
        <v>2756.03</v>
      </c>
      <c r="F615" s="1">
        <v>42961</v>
      </c>
      <c r="G615" t="str">
        <f>"201707263860"</f>
        <v>201707263860</v>
      </c>
      <c r="H615" t="str">
        <f>"ACCT#3324/PCT#3"</f>
        <v>ACCT#3324/PCT#3</v>
      </c>
      <c r="I615" s="2">
        <v>1060.98</v>
      </c>
      <c r="J615" t="str">
        <f>"ACCT#3324/PCT#3"</f>
        <v>ACCT#3324/PCT#3</v>
      </c>
    </row>
    <row r="616" spans="1:10" x14ac:dyDescent="0.3">
      <c r="A616" t="str">
        <f>""</f>
        <v/>
      </c>
      <c r="B616" t="str">
        <f>""</f>
        <v/>
      </c>
      <c r="G616" t="str">
        <f>"201708074105"</f>
        <v>201708074105</v>
      </c>
      <c r="H616" t="str">
        <f>"ACCT#3324/PCT#3"</f>
        <v>ACCT#3324/PCT#3</v>
      </c>
      <c r="I616" s="2">
        <v>962.86</v>
      </c>
      <c r="J616" t="str">
        <f>"ACCT#3324/PCT#3"</f>
        <v>ACCT#3324/PCT#3</v>
      </c>
    </row>
    <row r="617" spans="1:10" x14ac:dyDescent="0.3">
      <c r="A617" t="str">
        <f>""</f>
        <v/>
      </c>
      <c r="B617" t="str">
        <f>""</f>
        <v/>
      </c>
      <c r="G617" t="str">
        <f>"AP343468"</f>
        <v>AP343468</v>
      </c>
      <c r="H617" t="str">
        <f>"ACCT#3326/PCT#4"</f>
        <v>ACCT#3326/PCT#4</v>
      </c>
      <c r="I617" s="2">
        <v>258.2</v>
      </c>
      <c r="J617" t="str">
        <f>"ACCT#3326/PCT#4"</f>
        <v>ACCT#3326/PCT#4</v>
      </c>
    </row>
    <row r="618" spans="1:10" x14ac:dyDescent="0.3">
      <c r="A618" t="str">
        <f>""</f>
        <v/>
      </c>
      <c r="B618" t="str">
        <f>""</f>
        <v/>
      </c>
      <c r="G618" t="str">
        <f>"AP344814"</f>
        <v>AP344814</v>
      </c>
      <c r="H618" t="str">
        <f>"ACCT#3325/PCT#2"</f>
        <v>ACCT#3325/PCT#2</v>
      </c>
      <c r="I618" s="2">
        <v>206.96</v>
      </c>
      <c r="J618" t="str">
        <f>"ACCT#3325/PCT#2"</f>
        <v>ACCT#3325/PCT#2</v>
      </c>
    </row>
    <row r="619" spans="1:10" x14ac:dyDescent="0.3">
      <c r="A619" t="str">
        <f>""</f>
        <v/>
      </c>
      <c r="B619" t="str">
        <f>""</f>
        <v/>
      </c>
      <c r="G619" t="str">
        <f>"AP345192"</f>
        <v>AP345192</v>
      </c>
      <c r="H619" t="str">
        <f>"ACCT#3323/PCT#4"</f>
        <v>ACCT#3323/PCT#4</v>
      </c>
      <c r="I619" s="2">
        <v>267.02999999999997</v>
      </c>
      <c r="J619" t="str">
        <f>"ACCT#3323/PCT#4"</f>
        <v>ACCT#3323/PCT#4</v>
      </c>
    </row>
    <row r="620" spans="1:10" x14ac:dyDescent="0.3">
      <c r="A620" t="str">
        <f>"01"</f>
        <v>01</v>
      </c>
      <c r="B620" t="str">
        <f>"AT&amp;EI"</f>
        <v>AT&amp;EI</v>
      </c>
      <c r="C620" t="s">
        <v>177</v>
      </c>
      <c r="D620">
        <v>72253</v>
      </c>
      <c r="E620" s="2">
        <v>197.41</v>
      </c>
      <c r="F620" s="1">
        <v>42976</v>
      </c>
      <c r="G620" t="str">
        <f>"AP345157"</f>
        <v>AP345157</v>
      </c>
      <c r="H620" t="str">
        <f>"ACCT#3326/BLOWER MOTOR/PCT#4"</f>
        <v>ACCT#3326/BLOWER MOTOR/PCT#4</v>
      </c>
      <c r="I620" s="2">
        <v>141.96</v>
      </c>
      <c r="J620" t="str">
        <f>"ACCT#3326/BLOWER MOTOR/PCT#4"</f>
        <v>ACCT#3326/BLOWER MOTOR/PCT#4</v>
      </c>
    </row>
    <row r="621" spans="1:10" x14ac:dyDescent="0.3">
      <c r="A621" t="str">
        <f>""</f>
        <v/>
      </c>
      <c r="B621" t="str">
        <f>""</f>
        <v/>
      </c>
      <c r="G621" t="str">
        <f>"AP348248"</f>
        <v>AP348248</v>
      </c>
      <c r="H621" t="str">
        <f>"ACCT#3326/CARR AY MIRROR/PCT#4"</f>
        <v>ACCT#3326/CARR AY MIRROR/PCT#4</v>
      </c>
      <c r="I621" s="2">
        <v>55.45</v>
      </c>
      <c r="J621" t="str">
        <f>"ACCT#3326/CARR AY MIRROR/PCT#4"</f>
        <v>ACCT#3326/CARR AY MIRROR/PCT#4</v>
      </c>
    </row>
    <row r="622" spans="1:10" x14ac:dyDescent="0.3">
      <c r="A622" t="str">
        <f>"01"</f>
        <v>01</v>
      </c>
      <c r="B622" t="str">
        <f>"G&amp;C"</f>
        <v>G&amp;C</v>
      </c>
      <c r="C622" t="s">
        <v>178</v>
      </c>
      <c r="D622">
        <v>72254</v>
      </c>
      <c r="E622" s="2">
        <v>164.25</v>
      </c>
      <c r="F622" s="1">
        <v>42976</v>
      </c>
      <c r="G622" t="str">
        <f>"102618"</f>
        <v>102618</v>
      </c>
      <c r="H622" t="str">
        <f>"BUSINESS CARDS-R. HUTCHINS"</f>
        <v>BUSINESS CARDS-R. HUTCHINS</v>
      </c>
      <c r="I622" s="2">
        <v>45</v>
      </c>
      <c r="J622" t="str">
        <f>"BUSINESS CARDS-R. HUTCHINS"</f>
        <v>BUSINESS CARDS-R. HUTCHINS</v>
      </c>
    </row>
    <row r="623" spans="1:10" x14ac:dyDescent="0.3">
      <c r="A623" t="str">
        <f>""</f>
        <v/>
      </c>
      <c r="B623" t="str">
        <f>""</f>
        <v/>
      </c>
      <c r="G623" t="str">
        <f>"102634"</f>
        <v>102634</v>
      </c>
      <c r="H623" t="str">
        <f>"3 CASES COPIER PAPER/EXT OFF"</f>
        <v>3 CASES COPIER PAPER/EXT OFF</v>
      </c>
      <c r="I623" s="2">
        <v>119.25</v>
      </c>
      <c r="J623" t="str">
        <f>"3 CASES COPIER PAPER/EXT OFF"</f>
        <v>3 CASES COPIER PAPER/EXT OFF</v>
      </c>
    </row>
    <row r="624" spans="1:10" x14ac:dyDescent="0.3">
      <c r="A624" t="str">
        <f t="shared" ref="A624:A642" si="9">"01"</f>
        <v>01</v>
      </c>
      <c r="B624" t="str">
        <f>"G&amp;C"</f>
        <v>G&amp;C</v>
      </c>
      <c r="C624" t="s">
        <v>178</v>
      </c>
      <c r="D624">
        <v>999999</v>
      </c>
      <c r="E624" s="2">
        <v>2766.6</v>
      </c>
      <c r="F624" s="1">
        <v>42961</v>
      </c>
      <c r="G624" t="str">
        <f>"102448"</f>
        <v>102448</v>
      </c>
      <c r="H624" t="str">
        <f>"MARKETING SUPPLIES"</f>
        <v>MARKETING SUPPLIES</v>
      </c>
      <c r="I624" s="2">
        <v>2766.6</v>
      </c>
      <c r="J624" t="str">
        <f>"MARKETING SUPPLIES"</f>
        <v>MARKETING SUPPLIES</v>
      </c>
    </row>
    <row r="625" spans="1:11" x14ac:dyDescent="0.3">
      <c r="A625" t="str">
        <f t="shared" si="9"/>
        <v>01</v>
      </c>
      <c r="B625" t="str">
        <f>"002605"</f>
        <v>002605</v>
      </c>
      <c r="C625" t="s">
        <v>179</v>
      </c>
      <c r="D625">
        <v>72255</v>
      </c>
      <c r="E625" s="2">
        <v>462.92</v>
      </c>
      <c r="F625" s="1">
        <v>42976</v>
      </c>
      <c r="G625" t="str">
        <f>"201708214307"</f>
        <v>201708214307</v>
      </c>
      <c r="H625" t="str">
        <f>"CUST#2179855/PCT#3"</f>
        <v>CUST#2179855/PCT#3</v>
      </c>
      <c r="I625" s="2">
        <v>462.92</v>
      </c>
      <c r="J625" t="str">
        <f>"CUST#2179855/PCT#3"</f>
        <v>CUST#2179855/PCT#3</v>
      </c>
    </row>
    <row r="626" spans="1:11" x14ac:dyDescent="0.3">
      <c r="A626" t="str">
        <f t="shared" si="9"/>
        <v>01</v>
      </c>
      <c r="B626" t="str">
        <f>"T5794"</f>
        <v>T5794</v>
      </c>
      <c r="C626" t="s">
        <v>180</v>
      </c>
      <c r="D626">
        <v>999999</v>
      </c>
      <c r="E626" s="2">
        <v>132.6</v>
      </c>
      <c r="F626" s="1">
        <v>42961</v>
      </c>
      <c r="G626" t="str">
        <f>"N48430"</f>
        <v>N48430</v>
      </c>
      <c r="H626" t="str">
        <f>"SHIRTS INVN48430"</f>
        <v>SHIRTS INVN48430</v>
      </c>
      <c r="I626" s="2">
        <v>132.6</v>
      </c>
      <c r="J626" t="str">
        <f>"SHIRTS INVN48430"</f>
        <v>SHIRTS INVN48430</v>
      </c>
    </row>
    <row r="627" spans="1:11" x14ac:dyDescent="0.3">
      <c r="A627" t="str">
        <f t="shared" si="9"/>
        <v>01</v>
      </c>
      <c r="B627" t="str">
        <f>"004605"</f>
        <v>004605</v>
      </c>
      <c r="C627" t="s">
        <v>181</v>
      </c>
      <c r="D627">
        <v>71992</v>
      </c>
      <c r="E627" s="2">
        <v>50</v>
      </c>
      <c r="F627" s="1">
        <v>42961</v>
      </c>
      <c r="G627" t="s">
        <v>64</v>
      </c>
      <c r="H627" t="s">
        <v>182</v>
      </c>
      <c r="I627" s="2" t="str">
        <f>"RESTITUTION-E. ACOSTA"</f>
        <v>RESTITUTION-E. ACOSTA</v>
      </c>
      <c r="J627" t="str">
        <f>"210-0000"</f>
        <v>210-0000</v>
      </c>
      <c r="K627">
        <v>50</v>
      </c>
    </row>
    <row r="628" spans="1:11" x14ac:dyDescent="0.3">
      <c r="A628" t="str">
        <f t="shared" si="9"/>
        <v>01</v>
      </c>
      <c r="B628" t="str">
        <f>"004353"</f>
        <v>004353</v>
      </c>
      <c r="C628" t="s">
        <v>183</v>
      </c>
      <c r="D628">
        <v>71993</v>
      </c>
      <c r="E628" s="2">
        <v>775</v>
      </c>
      <c r="F628" s="1">
        <v>42961</v>
      </c>
      <c r="G628" t="str">
        <f>"1005"</f>
        <v>1005</v>
      </c>
      <c r="H628" t="str">
        <f>"TRANSPORT/PCT#2"</f>
        <v>TRANSPORT/PCT#2</v>
      </c>
      <c r="I628" s="2">
        <v>775</v>
      </c>
      <c r="J628" t="str">
        <f>"TRANSPORT/PCT#2"</f>
        <v>TRANSPORT/PCT#2</v>
      </c>
    </row>
    <row r="629" spans="1:11" x14ac:dyDescent="0.3">
      <c r="A629" t="str">
        <f t="shared" si="9"/>
        <v>01</v>
      </c>
      <c r="B629" t="str">
        <f>"005193"</f>
        <v>005193</v>
      </c>
      <c r="C629" t="s">
        <v>184</v>
      </c>
      <c r="D629">
        <v>72256</v>
      </c>
      <c r="E629" s="2">
        <v>1050</v>
      </c>
      <c r="F629" s="1">
        <v>42976</v>
      </c>
      <c r="G629" t="str">
        <f>"REGISTRATION"</f>
        <v>REGISTRATION</v>
      </c>
      <c r="H629" t="str">
        <f>"ID# 103892227 &amp; 103904532"</f>
        <v>ID# 103892227 &amp; 103904532</v>
      </c>
      <c r="I629" s="2">
        <v>1050</v>
      </c>
      <c r="J629" t="str">
        <f>"Fees"</f>
        <v>Fees</v>
      </c>
    </row>
    <row r="630" spans="1:11" x14ac:dyDescent="0.3">
      <c r="A630" t="str">
        <f t="shared" si="9"/>
        <v>01</v>
      </c>
      <c r="B630" t="str">
        <f>"004169"</f>
        <v>004169</v>
      </c>
      <c r="C630" t="s">
        <v>185</v>
      </c>
      <c r="D630">
        <v>71994</v>
      </c>
      <c r="E630" s="2">
        <v>131.61000000000001</v>
      </c>
      <c r="F630" s="1">
        <v>42961</v>
      </c>
      <c r="G630" t="str">
        <f>"201708084120"</f>
        <v>201708084120</v>
      </c>
      <c r="H630" t="str">
        <f>"REIMBURSE MILEAGE-CONFERENCE"</f>
        <v>REIMBURSE MILEAGE-CONFERENCE</v>
      </c>
      <c r="I630" s="2">
        <v>131.61000000000001</v>
      </c>
      <c r="J630" t="str">
        <f>"REIMBURSE MILEAGE-CONFERENCE"</f>
        <v>REIMBURSE MILEAGE-CONFERENCE</v>
      </c>
    </row>
    <row r="631" spans="1:11" x14ac:dyDescent="0.3">
      <c r="A631" t="str">
        <f t="shared" si="9"/>
        <v>01</v>
      </c>
      <c r="B631" t="str">
        <f>"WWGI"</f>
        <v>WWGI</v>
      </c>
      <c r="C631" t="s">
        <v>186</v>
      </c>
      <c r="D631">
        <v>72257</v>
      </c>
      <c r="E631" s="2">
        <v>644.4</v>
      </c>
      <c r="F631" s="1">
        <v>42976</v>
      </c>
      <c r="G631" t="str">
        <f>"9525271277"</f>
        <v>9525271277</v>
      </c>
      <c r="H631" t="str">
        <f>"ACCT#814780730"</f>
        <v>ACCT#814780730</v>
      </c>
      <c r="I631" s="2">
        <v>644.4</v>
      </c>
      <c r="J631" t="str">
        <f>"ACCT#814780730"</f>
        <v>ACCT#814780730</v>
      </c>
    </row>
    <row r="632" spans="1:11" x14ac:dyDescent="0.3">
      <c r="A632" t="str">
        <f t="shared" si="9"/>
        <v>01</v>
      </c>
      <c r="B632" t="str">
        <f>"004197"</f>
        <v>004197</v>
      </c>
      <c r="C632" t="s">
        <v>187</v>
      </c>
      <c r="D632">
        <v>72258</v>
      </c>
      <c r="E632" s="2">
        <v>60</v>
      </c>
      <c r="F632" s="1">
        <v>42976</v>
      </c>
      <c r="G632" t="s">
        <v>64</v>
      </c>
      <c r="H632" t="s">
        <v>188</v>
      </c>
      <c r="I632" s="2" t="str">
        <f>"SERVICE 6/15/17"</f>
        <v>SERVICE 6/15/17</v>
      </c>
      <c r="J632" t="str">
        <f>"995-4110"</f>
        <v>995-4110</v>
      </c>
      <c r="K632">
        <v>60</v>
      </c>
    </row>
    <row r="633" spans="1:11" x14ac:dyDescent="0.3">
      <c r="A633" t="str">
        <f t="shared" si="9"/>
        <v>01</v>
      </c>
      <c r="B633" t="str">
        <f>"T3667"</f>
        <v>T3667</v>
      </c>
      <c r="C633" t="s">
        <v>189</v>
      </c>
      <c r="D633">
        <v>71995</v>
      </c>
      <c r="E633" s="2">
        <v>714.39</v>
      </c>
      <c r="F633" s="1">
        <v>42961</v>
      </c>
      <c r="G633" t="str">
        <f>"1354902"</f>
        <v>1354902</v>
      </c>
      <c r="H633" t="str">
        <f>"CUST#0007014928/ORD#KZ265/00"</f>
        <v>CUST#0007014928/ORD#KZ265/00</v>
      </c>
      <c r="I633" s="2">
        <v>714.39</v>
      </c>
      <c r="J633" t="str">
        <f>"CUST#0007014928/ORD#KZ265/00"</f>
        <v>CUST#0007014928/ORD#KZ265/00</v>
      </c>
    </row>
    <row r="634" spans="1:11" x14ac:dyDescent="0.3">
      <c r="A634" t="str">
        <f t="shared" si="9"/>
        <v>01</v>
      </c>
      <c r="B634" t="str">
        <f>"T3667"</f>
        <v>T3667</v>
      </c>
      <c r="C634" t="s">
        <v>189</v>
      </c>
      <c r="D634">
        <v>72259</v>
      </c>
      <c r="E634" s="2">
        <v>495.1</v>
      </c>
      <c r="F634" s="1">
        <v>42976</v>
      </c>
      <c r="G634" t="str">
        <f>"1361215"</f>
        <v>1361215</v>
      </c>
      <c r="H634" t="str">
        <f>"CUST#0007014928/OFF SUPPLIES"</f>
        <v>CUST#0007014928/OFF SUPPLIES</v>
      </c>
      <c r="I634" s="2">
        <v>495.1</v>
      </c>
      <c r="J634" t="str">
        <f>"CUST#0007014928/OFF SUPPLIES"</f>
        <v>CUST#0007014928/OFF SUPPLIES</v>
      </c>
    </row>
    <row r="635" spans="1:11" x14ac:dyDescent="0.3">
      <c r="A635" t="str">
        <f t="shared" si="9"/>
        <v>01</v>
      </c>
      <c r="B635" t="str">
        <f>"T13876"</f>
        <v>T13876</v>
      </c>
      <c r="C635" t="s">
        <v>190</v>
      </c>
      <c r="D635">
        <v>72260</v>
      </c>
      <c r="E635" s="2">
        <v>24519.040000000001</v>
      </c>
      <c r="F635" s="1">
        <v>42976</v>
      </c>
      <c r="G635" t="str">
        <f>"00003589"</f>
        <v>00003589</v>
      </c>
      <c r="H635" t="str">
        <f>"PROJ#032318.001"</f>
        <v>PROJ#032318.001</v>
      </c>
      <c r="I635" s="2">
        <v>24519.040000000001</v>
      </c>
      <c r="J635" t="str">
        <f>"PROJ#032318.001"</f>
        <v>PROJ#032318.001</v>
      </c>
    </row>
    <row r="636" spans="1:11" x14ac:dyDescent="0.3">
      <c r="A636" t="str">
        <f t="shared" si="9"/>
        <v>01</v>
      </c>
      <c r="B636" t="str">
        <f>"HEC"</f>
        <v>HEC</v>
      </c>
      <c r="C636" t="s">
        <v>191</v>
      </c>
      <c r="D636">
        <v>71996</v>
      </c>
      <c r="E636" s="2">
        <v>647.78</v>
      </c>
      <c r="F636" s="1">
        <v>42961</v>
      </c>
      <c r="G636" t="str">
        <f>"258711"</f>
        <v>258711</v>
      </c>
      <c r="H636" t="str">
        <f>"ITEM#0622010330/PCT#3"</f>
        <v>ITEM#0622010330/PCT#3</v>
      </c>
      <c r="I636" s="2">
        <v>647.78</v>
      </c>
      <c r="J636" t="str">
        <f>"ITEM#0622010330/PCT#3"</f>
        <v>ITEM#0622010330/PCT#3</v>
      </c>
    </row>
    <row r="637" spans="1:11" x14ac:dyDescent="0.3">
      <c r="A637" t="str">
        <f t="shared" si="9"/>
        <v>01</v>
      </c>
      <c r="B637" t="str">
        <f>"004490"</f>
        <v>004490</v>
      </c>
      <c r="C637" t="s">
        <v>192</v>
      </c>
      <c r="D637">
        <v>72261</v>
      </c>
      <c r="E637" s="2">
        <v>80</v>
      </c>
      <c r="F637" s="1">
        <v>42976</v>
      </c>
      <c r="G637" t="str">
        <f>"12459"</f>
        <v>12459</v>
      </c>
      <c r="H637" t="str">
        <f>"SERVICE 6/14/17"</f>
        <v>SERVICE 6/14/17</v>
      </c>
      <c r="I637" s="2">
        <v>80</v>
      </c>
      <c r="J637" t="str">
        <f>"SERVICE 6/14/17"</f>
        <v>SERVICE 6/14/17</v>
      </c>
    </row>
    <row r="638" spans="1:11" x14ac:dyDescent="0.3">
      <c r="A638" t="str">
        <f t="shared" si="9"/>
        <v>01</v>
      </c>
      <c r="B638" t="str">
        <f>"005141"</f>
        <v>005141</v>
      </c>
      <c r="C638" t="s">
        <v>193</v>
      </c>
      <c r="D638">
        <v>71997</v>
      </c>
      <c r="E638" s="2">
        <v>1870.36</v>
      </c>
      <c r="F638" s="1">
        <v>42961</v>
      </c>
      <c r="G638" t="str">
        <f>"201708094165"</f>
        <v>201708094165</v>
      </c>
      <c r="H638" t="str">
        <f>"INDIGENT HEALTH"</f>
        <v>INDIGENT HEALTH</v>
      </c>
      <c r="I638" s="2">
        <v>1870.36</v>
      </c>
      <c r="J638" t="str">
        <f>"INDIGENT HEALTH"</f>
        <v>INDIGENT HEALTH</v>
      </c>
    </row>
    <row r="639" spans="1:11" x14ac:dyDescent="0.3">
      <c r="A639" t="str">
        <f t="shared" si="9"/>
        <v>01</v>
      </c>
      <c r="B639" t="str">
        <f>"HP&amp;S"</f>
        <v>HP&amp;S</v>
      </c>
      <c r="C639" t="s">
        <v>194</v>
      </c>
      <c r="D639">
        <v>71998</v>
      </c>
      <c r="E639" s="2">
        <v>379</v>
      </c>
      <c r="F639" s="1">
        <v>42961</v>
      </c>
      <c r="G639" t="str">
        <f>"039039"</f>
        <v>039039</v>
      </c>
      <c r="H639" t="str">
        <f>"TICKET#97893/ENVELOPES"</f>
        <v>TICKET#97893/ENVELOPES</v>
      </c>
      <c r="I639" s="2">
        <v>379</v>
      </c>
      <c r="J639" t="str">
        <f>"TICKET#97893/ENVELOPES"</f>
        <v>TICKET#97893/ENVELOPES</v>
      </c>
    </row>
    <row r="640" spans="1:11" x14ac:dyDescent="0.3">
      <c r="A640" t="str">
        <f t="shared" si="9"/>
        <v>01</v>
      </c>
      <c r="B640" t="str">
        <f>"004624"</f>
        <v>004624</v>
      </c>
      <c r="C640" t="s">
        <v>195</v>
      </c>
      <c r="D640">
        <v>71999</v>
      </c>
      <c r="E640" s="2">
        <v>100</v>
      </c>
      <c r="F640" s="1">
        <v>42961</v>
      </c>
      <c r="G640" t="s">
        <v>196</v>
      </c>
      <c r="H640" t="s">
        <v>197</v>
      </c>
      <c r="I640" s="2" t="str">
        <f>"RESTITUTION-M. FELTS"</f>
        <v>RESTITUTION-M. FELTS</v>
      </c>
      <c r="J640" t="str">
        <f>"210-0000"</f>
        <v>210-0000</v>
      </c>
      <c r="K640">
        <v>100</v>
      </c>
    </row>
    <row r="641" spans="1:10" x14ac:dyDescent="0.3">
      <c r="A641" t="str">
        <f t="shared" si="9"/>
        <v>01</v>
      </c>
      <c r="B641" t="str">
        <f>"HPC"</f>
        <v>HPC</v>
      </c>
      <c r="C641" t="s">
        <v>198</v>
      </c>
      <c r="D641">
        <v>72000</v>
      </c>
      <c r="E641" s="2">
        <v>650</v>
      </c>
      <c r="F641" s="1">
        <v>42961</v>
      </c>
      <c r="G641" t="str">
        <f>"AUGUST SERVICE"</f>
        <v>AUGUST SERVICE</v>
      </c>
      <c r="H641" t="str">
        <f>"AUGUST SERVICE"</f>
        <v>AUGUST SERVICE</v>
      </c>
      <c r="I641" s="2">
        <v>650</v>
      </c>
      <c r="J641" t="str">
        <f>"AUGUST SERVICE"</f>
        <v>AUGUST SERVICE</v>
      </c>
    </row>
    <row r="642" spans="1:10" x14ac:dyDescent="0.3">
      <c r="A642" t="str">
        <f t="shared" si="9"/>
        <v>01</v>
      </c>
      <c r="B642" t="str">
        <f>"ECKEL"</f>
        <v>ECKEL</v>
      </c>
      <c r="C642" t="s">
        <v>199</v>
      </c>
      <c r="D642">
        <v>72001</v>
      </c>
      <c r="E642" s="2">
        <v>2882.5</v>
      </c>
      <c r="F642" s="1">
        <v>42961</v>
      </c>
      <c r="G642" t="str">
        <f>"201707283910"</f>
        <v>201707283910</v>
      </c>
      <c r="H642" t="str">
        <f>"55 118"</f>
        <v>55 118</v>
      </c>
      <c r="I642" s="2">
        <v>250</v>
      </c>
      <c r="J642" t="str">
        <f>"55 118"</f>
        <v>55 118</v>
      </c>
    </row>
    <row r="643" spans="1:10" x14ac:dyDescent="0.3">
      <c r="A643" t="str">
        <f>""</f>
        <v/>
      </c>
      <c r="B643" t="str">
        <f>""</f>
        <v/>
      </c>
      <c r="G643" t="str">
        <f>"201707283911"</f>
        <v>201707283911</v>
      </c>
      <c r="H643" t="str">
        <f>"55 240"</f>
        <v>55 240</v>
      </c>
      <c r="I643" s="2">
        <v>250</v>
      </c>
      <c r="J643" t="str">
        <f>"55 240"</f>
        <v>55 240</v>
      </c>
    </row>
    <row r="644" spans="1:10" x14ac:dyDescent="0.3">
      <c r="A644" t="str">
        <f>""</f>
        <v/>
      </c>
      <c r="B644" t="str">
        <f>""</f>
        <v/>
      </c>
      <c r="G644" t="str">
        <f>"201707283912"</f>
        <v>201707283912</v>
      </c>
      <c r="H644" t="str">
        <f>"55 053"</f>
        <v>55 053</v>
      </c>
      <c r="I644" s="2">
        <v>250</v>
      </c>
      <c r="J644" t="str">
        <f>"55 053"</f>
        <v>55 053</v>
      </c>
    </row>
    <row r="645" spans="1:10" x14ac:dyDescent="0.3">
      <c r="A645" t="str">
        <f>""</f>
        <v/>
      </c>
      <c r="B645" t="str">
        <f>""</f>
        <v/>
      </c>
      <c r="G645" t="str">
        <f>"201708094225"</f>
        <v>201708094225</v>
      </c>
      <c r="H645" t="str">
        <f>"16-17601"</f>
        <v>16-17601</v>
      </c>
      <c r="I645" s="2">
        <v>1912.5</v>
      </c>
      <c r="J645" t="str">
        <f>"16-17601"</f>
        <v>16-17601</v>
      </c>
    </row>
    <row r="646" spans="1:10" x14ac:dyDescent="0.3">
      <c r="A646" t="str">
        <f>""</f>
        <v/>
      </c>
      <c r="B646" t="str">
        <f>""</f>
        <v/>
      </c>
      <c r="G646" t="str">
        <f>"201708094226"</f>
        <v>201708094226</v>
      </c>
      <c r="H646" t="str">
        <f>"16-17760"</f>
        <v>16-17760</v>
      </c>
      <c r="I646" s="2">
        <v>220</v>
      </c>
      <c r="J646" t="str">
        <f>"16-17760"</f>
        <v>16-17760</v>
      </c>
    </row>
    <row r="647" spans="1:10" x14ac:dyDescent="0.3">
      <c r="A647" t="str">
        <f>"01"</f>
        <v>01</v>
      </c>
      <c r="B647" t="str">
        <f>"005187"</f>
        <v>005187</v>
      </c>
      <c r="C647" t="s">
        <v>200</v>
      </c>
      <c r="D647">
        <v>72167</v>
      </c>
      <c r="E647" s="2">
        <v>396.96</v>
      </c>
      <c r="F647" s="1">
        <v>42964</v>
      </c>
      <c r="G647" t="str">
        <f>"LODGING-T STALCUP"</f>
        <v>LODGING-T STALCUP</v>
      </c>
      <c r="H647" t="str">
        <f>"LODGING"</f>
        <v>LODGING</v>
      </c>
      <c r="I647" s="2">
        <v>396.96</v>
      </c>
      <c r="J647" t="str">
        <f>"LODGING"</f>
        <v>LODGING</v>
      </c>
    </row>
    <row r="648" spans="1:10" x14ac:dyDescent="0.3">
      <c r="A648" t="str">
        <f>"01"</f>
        <v>01</v>
      </c>
      <c r="B648" t="str">
        <f>"003159"</f>
        <v>003159</v>
      </c>
      <c r="C648" t="s">
        <v>201</v>
      </c>
      <c r="D648">
        <v>72262</v>
      </c>
      <c r="E648" s="2">
        <v>1125.5999999999999</v>
      </c>
      <c r="F648" s="1">
        <v>42976</v>
      </c>
      <c r="G648" t="str">
        <f>"LODGING/PARKING"</f>
        <v>LODGING/PARKING</v>
      </c>
      <c r="H648" t="str">
        <f>"Cnfm# 61681609 &amp; 61681622"</f>
        <v>Cnfm# 61681609 &amp; 61681622</v>
      </c>
      <c r="I648" s="2">
        <v>1125.5999999999999</v>
      </c>
      <c r="J648" t="str">
        <f>"Rachel&amp;Heather"</f>
        <v>Rachel&amp;Heather</v>
      </c>
    </row>
    <row r="649" spans="1:10" x14ac:dyDescent="0.3">
      <c r="A649" t="str">
        <f>""</f>
        <v/>
      </c>
      <c r="B649" t="str">
        <f>""</f>
        <v/>
      </c>
      <c r="G649" t="str">
        <f>""</f>
        <v/>
      </c>
      <c r="H649" t="str">
        <f>""</f>
        <v/>
      </c>
      <c r="J649" t="str">
        <f>"Tax"</f>
        <v>Tax</v>
      </c>
    </row>
    <row r="650" spans="1:10" x14ac:dyDescent="0.3">
      <c r="A650" t="str">
        <f>""</f>
        <v/>
      </c>
      <c r="B650" t="str">
        <f>""</f>
        <v/>
      </c>
      <c r="G650" t="str">
        <f>""</f>
        <v/>
      </c>
      <c r="H650" t="str">
        <f>""</f>
        <v/>
      </c>
      <c r="J650" t="str">
        <f>"Stefani Lee"</f>
        <v>Stefani Lee</v>
      </c>
    </row>
    <row r="651" spans="1:10" x14ac:dyDescent="0.3">
      <c r="A651" t="str">
        <f>""</f>
        <v/>
      </c>
      <c r="B651" t="str">
        <f>""</f>
        <v/>
      </c>
      <c r="G651" t="str">
        <f>""</f>
        <v/>
      </c>
      <c r="H651" t="str">
        <f>""</f>
        <v/>
      </c>
      <c r="J651" t="str">
        <f>"Tax"</f>
        <v>Tax</v>
      </c>
    </row>
    <row r="652" spans="1:10" x14ac:dyDescent="0.3">
      <c r="A652" t="str">
        <f>""</f>
        <v/>
      </c>
      <c r="B652" t="str">
        <f>""</f>
        <v/>
      </c>
      <c r="G652" t="str">
        <f>""</f>
        <v/>
      </c>
      <c r="H652" t="str">
        <f>""</f>
        <v/>
      </c>
      <c r="J652" t="str">
        <f>"Parking"</f>
        <v>Parking</v>
      </c>
    </row>
    <row r="653" spans="1:10" x14ac:dyDescent="0.3">
      <c r="A653" t="str">
        <f>"01"</f>
        <v>01</v>
      </c>
      <c r="B653" t="str">
        <f>"T7901"</f>
        <v>T7901</v>
      </c>
      <c r="C653" t="s">
        <v>202</v>
      </c>
      <c r="D653">
        <v>72263</v>
      </c>
      <c r="E653" s="2">
        <v>242</v>
      </c>
      <c r="F653" s="1">
        <v>42976</v>
      </c>
      <c r="G653" t="str">
        <f>"201708224368"</f>
        <v>201708224368</v>
      </c>
      <c r="H653" t="str">
        <f>"COURT REPORTING EXPENSE"</f>
        <v>COURT REPORTING EXPENSE</v>
      </c>
      <c r="I653" s="2">
        <v>242</v>
      </c>
      <c r="J653" t="str">
        <f>"COURT REPORTING EXPENSE"</f>
        <v>COURT REPORTING EXPENSE</v>
      </c>
    </row>
    <row r="654" spans="1:10" x14ac:dyDescent="0.3">
      <c r="A654" t="str">
        <f>"01"</f>
        <v>01</v>
      </c>
      <c r="B654" t="str">
        <f>"HM"</f>
        <v>HM</v>
      </c>
      <c r="C654" t="s">
        <v>203</v>
      </c>
      <c r="D654">
        <v>72002</v>
      </c>
      <c r="E654" s="2">
        <v>2472.41</v>
      </c>
      <c r="F654" s="1">
        <v>42961</v>
      </c>
      <c r="G654" t="str">
        <f>"201707263859"</f>
        <v>201707263859</v>
      </c>
      <c r="H654" t="str">
        <f>"CUST#0129050/PCT#1"</f>
        <v>CUST#0129050/PCT#1</v>
      </c>
      <c r="I654" s="2">
        <v>797.74</v>
      </c>
      <c r="J654" t="str">
        <f>"CUST#0129050/PCT#1"</f>
        <v>CUST#0129050/PCT#1</v>
      </c>
    </row>
    <row r="655" spans="1:10" x14ac:dyDescent="0.3">
      <c r="A655" t="str">
        <f>""</f>
        <v/>
      </c>
      <c r="B655" t="str">
        <f>""</f>
        <v/>
      </c>
      <c r="G655" t="str">
        <f>"201708084123"</f>
        <v>201708084123</v>
      </c>
      <c r="H655" t="str">
        <f>"CUST#0129200/PCT#4"</f>
        <v>CUST#0129200/PCT#4</v>
      </c>
      <c r="I655" s="2">
        <v>877.07</v>
      </c>
      <c r="J655" t="str">
        <f>"CUST#0129200/PCT#4"</f>
        <v>CUST#0129200/PCT#4</v>
      </c>
    </row>
    <row r="656" spans="1:10" x14ac:dyDescent="0.3">
      <c r="A656" t="str">
        <f>""</f>
        <v/>
      </c>
      <c r="B656" t="str">
        <f>""</f>
        <v/>
      </c>
      <c r="G656" t="str">
        <f>"PIMA0264881"</f>
        <v>PIMA0264881</v>
      </c>
      <c r="H656" t="str">
        <f>"CUS#0129150/REF#MAC856574/PCT3"</f>
        <v>CUS#0129150/REF#MAC856574/PCT3</v>
      </c>
      <c r="I656" s="2">
        <v>797.6</v>
      </c>
      <c r="J656" t="str">
        <f>"CUS#0129150/REF#MAC856574/PCT3"</f>
        <v>CUS#0129150/REF#MAC856574/PCT3</v>
      </c>
    </row>
    <row r="657" spans="1:10" x14ac:dyDescent="0.3">
      <c r="A657" t="str">
        <f>"01"</f>
        <v>01</v>
      </c>
      <c r="B657" t="str">
        <f>"HM"</f>
        <v>HM</v>
      </c>
      <c r="C657" t="s">
        <v>203</v>
      </c>
      <c r="D657">
        <v>72264</v>
      </c>
      <c r="E657" s="2">
        <v>2211.5100000000002</v>
      </c>
      <c r="F657" s="1">
        <v>42976</v>
      </c>
      <c r="G657" t="str">
        <f>"201708214308"</f>
        <v>201708214308</v>
      </c>
      <c r="H657" t="str">
        <f>"PIMA0267344/PIMA0267462/PCT#3"</f>
        <v>PIMA0267344/PIMA0267462/PCT#3</v>
      </c>
      <c r="I657" s="2">
        <v>1802.12</v>
      </c>
      <c r="J657" t="str">
        <f>"PIMA0267344/PIMA0267462/PCT#3"</f>
        <v>PIMA0267344/PIMA0267462/PCT#3</v>
      </c>
    </row>
    <row r="658" spans="1:10" x14ac:dyDescent="0.3">
      <c r="A658" t="str">
        <f>""</f>
        <v/>
      </c>
      <c r="B658" t="str">
        <f>""</f>
        <v/>
      </c>
      <c r="G658" t="str">
        <f>"PIMA0268387"</f>
        <v>PIMA0268387</v>
      </c>
      <c r="H658" t="str">
        <f>"CUST#0129150/CAP-TANK/PCT#3"</f>
        <v>CUST#0129150/CAP-TANK/PCT#3</v>
      </c>
      <c r="I658" s="2">
        <v>74.069999999999993</v>
      </c>
      <c r="J658" t="str">
        <f>"CUST#0129150/CAP-TANK/PCT#3"</f>
        <v>CUST#0129150/CAP-TANK/PCT#3</v>
      </c>
    </row>
    <row r="659" spans="1:10" x14ac:dyDescent="0.3">
      <c r="A659" t="str">
        <f>""</f>
        <v/>
      </c>
      <c r="B659" t="str">
        <f>""</f>
        <v/>
      </c>
      <c r="G659" t="str">
        <f>"PIMA0268590"</f>
        <v>PIMA0268590</v>
      </c>
      <c r="H659" t="str">
        <f>"CUST#0129150/TUBE AS/PCT#3"</f>
        <v>CUST#0129150/TUBE AS/PCT#3</v>
      </c>
      <c r="I659" s="2">
        <v>335.32</v>
      </c>
      <c r="J659" t="str">
        <f>"CUST#0129150/TUBE AS/PCT#3"</f>
        <v>CUST#0129150/TUBE AS/PCT#3</v>
      </c>
    </row>
    <row r="660" spans="1:10" x14ac:dyDescent="0.3">
      <c r="A660" t="str">
        <f>"01"</f>
        <v>01</v>
      </c>
      <c r="B660" t="str">
        <f>"T8869"</f>
        <v>T8869</v>
      </c>
      <c r="C660" t="s">
        <v>204</v>
      </c>
      <c r="D660">
        <v>72003</v>
      </c>
      <c r="E660" s="2">
        <v>2917.56</v>
      </c>
      <c r="F660" s="1">
        <v>42961</v>
      </c>
      <c r="G660" t="str">
        <f>"7/28/17 STATMENT"</f>
        <v>7/28/17 STATMENT</v>
      </c>
      <c r="H660" t="str">
        <f>"Stmt date 7/28/2017"</f>
        <v>Stmt date 7/28/2017</v>
      </c>
      <c r="I660" s="2">
        <v>2917.56</v>
      </c>
      <c r="J660" t="str">
        <f>"Inv# 4012081"</f>
        <v>Inv# 4012081</v>
      </c>
    </row>
    <row r="661" spans="1:10" x14ac:dyDescent="0.3">
      <c r="A661" t="str">
        <f>""</f>
        <v/>
      </c>
      <c r="B661" t="str">
        <f>""</f>
        <v/>
      </c>
      <c r="G661" t="str">
        <f>""</f>
        <v/>
      </c>
      <c r="H661" t="str">
        <f>""</f>
        <v/>
      </c>
      <c r="J661" t="str">
        <f>"Inv# 1023647"</f>
        <v>Inv# 1023647</v>
      </c>
    </row>
    <row r="662" spans="1:10" x14ac:dyDescent="0.3">
      <c r="A662" t="str">
        <f>""</f>
        <v/>
      </c>
      <c r="B662" t="str">
        <f>""</f>
        <v/>
      </c>
      <c r="G662" t="str">
        <f>""</f>
        <v/>
      </c>
      <c r="H662" t="str">
        <f>""</f>
        <v/>
      </c>
      <c r="J662" t="str">
        <f>"Inv# 4021220"</f>
        <v>Inv# 4021220</v>
      </c>
    </row>
    <row r="663" spans="1:10" x14ac:dyDescent="0.3">
      <c r="A663" t="str">
        <f>""</f>
        <v/>
      </c>
      <c r="B663" t="str">
        <f>""</f>
        <v/>
      </c>
      <c r="G663" t="str">
        <f>""</f>
        <v/>
      </c>
      <c r="H663" t="str">
        <f>""</f>
        <v/>
      </c>
      <c r="J663" t="str">
        <f>"Inv# 3010207"</f>
        <v>Inv# 3010207</v>
      </c>
    </row>
    <row r="664" spans="1:10" x14ac:dyDescent="0.3">
      <c r="A664" t="str">
        <f>""</f>
        <v/>
      </c>
      <c r="B664" t="str">
        <f>""</f>
        <v/>
      </c>
      <c r="G664" t="str">
        <f>""</f>
        <v/>
      </c>
      <c r="H664" t="str">
        <f>""</f>
        <v/>
      </c>
      <c r="J664" t="str">
        <f>"Inv# 3010223"</f>
        <v>Inv# 3010223</v>
      </c>
    </row>
    <row r="665" spans="1:10" x14ac:dyDescent="0.3">
      <c r="A665" t="str">
        <f>""</f>
        <v/>
      </c>
      <c r="B665" t="str">
        <f>""</f>
        <v/>
      </c>
      <c r="G665" t="str">
        <f>""</f>
        <v/>
      </c>
      <c r="H665" t="str">
        <f>""</f>
        <v/>
      </c>
      <c r="J665" t="str">
        <f>"Inv# 22671"</f>
        <v>Inv# 22671</v>
      </c>
    </row>
    <row r="666" spans="1:10" x14ac:dyDescent="0.3">
      <c r="A666" t="str">
        <f>""</f>
        <v/>
      </c>
      <c r="B666" t="str">
        <f>""</f>
        <v/>
      </c>
      <c r="G666" t="str">
        <f>""</f>
        <v/>
      </c>
      <c r="H666" t="str">
        <f>""</f>
        <v/>
      </c>
      <c r="J666" t="str">
        <f>"Inv#900780"</f>
        <v>Inv#900780</v>
      </c>
    </row>
    <row r="667" spans="1:10" x14ac:dyDescent="0.3">
      <c r="A667" t="str">
        <f>""</f>
        <v/>
      </c>
      <c r="B667" t="str">
        <f>""</f>
        <v/>
      </c>
      <c r="G667" t="str">
        <f>""</f>
        <v/>
      </c>
      <c r="H667" t="str">
        <f>""</f>
        <v/>
      </c>
      <c r="J667" t="str">
        <f>"Inv# 8011686"</f>
        <v>Inv# 8011686</v>
      </c>
    </row>
    <row r="668" spans="1:10" x14ac:dyDescent="0.3">
      <c r="A668" t="str">
        <f>""</f>
        <v/>
      </c>
      <c r="B668" t="str">
        <f>""</f>
        <v/>
      </c>
      <c r="G668" t="str">
        <f>""</f>
        <v/>
      </c>
      <c r="H668" t="str">
        <f>""</f>
        <v/>
      </c>
      <c r="J668" t="str">
        <f>"Inv# 8022947"</f>
        <v>Inv# 8022947</v>
      </c>
    </row>
    <row r="669" spans="1:10" x14ac:dyDescent="0.3">
      <c r="A669" t="str">
        <f>""</f>
        <v/>
      </c>
      <c r="B669" t="str">
        <f>""</f>
        <v/>
      </c>
      <c r="G669" t="str">
        <f>""</f>
        <v/>
      </c>
      <c r="H669" t="str">
        <f>""</f>
        <v/>
      </c>
      <c r="J669" t="str">
        <f>"Inv# 4023273"</f>
        <v>Inv# 4023273</v>
      </c>
    </row>
    <row r="670" spans="1:10" x14ac:dyDescent="0.3">
      <c r="A670" t="str">
        <f>""</f>
        <v/>
      </c>
      <c r="B670" t="str">
        <f>""</f>
        <v/>
      </c>
      <c r="G670" t="str">
        <f>""</f>
        <v/>
      </c>
      <c r="H670" t="str">
        <f>""</f>
        <v/>
      </c>
      <c r="J670" t="str">
        <f>"Inv# 4023307"</f>
        <v>Inv# 4023307</v>
      </c>
    </row>
    <row r="671" spans="1:10" x14ac:dyDescent="0.3">
      <c r="A671" t="str">
        <f>""</f>
        <v/>
      </c>
      <c r="B671" t="str">
        <f>""</f>
        <v/>
      </c>
      <c r="G671" t="str">
        <f>""</f>
        <v/>
      </c>
      <c r="H671" t="str">
        <f>""</f>
        <v/>
      </c>
      <c r="J671" t="str">
        <f>"Inv# 2023587"</f>
        <v>Inv# 2023587</v>
      </c>
    </row>
    <row r="672" spans="1:10" x14ac:dyDescent="0.3">
      <c r="A672" t="str">
        <f>""</f>
        <v/>
      </c>
      <c r="B672" t="str">
        <f>""</f>
        <v/>
      </c>
      <c r="G672" t="str">
        <f>""</f>
        <v/>
      </c>
      <c r="H672" t="str">
        <f>""</f>
        <v/>
      </c>
      <c r="J672" t="str">
        <f>"Inv# 2023610"</f>
        <v>Inv# 2023610</v>
      </c>
    </row>
    <row r="673" spans="1:10" x14ac:dyDescent="0.3">
      <c r="A673" t="str">
        <f>""</f>
        <v/>
      </c>
      <c r="B673" t="str">
        <f>""</f>
        <v/>
      </c>
      <c r="G673" t="str">
        <f>""</f>
        <v/>
      </c>
      <c r="H673" t="str">
        <f>""</f>
        <v/>
      </c>
      <c r="J673" t="str">
        <f>"Inv# 7012615"</f>
        <v>Inv# 7012615</v>
      </c>
    </row>
    <row r="674" spans="1:10" x14ac:dyDescent="0.3">
      <c r="A674" t="str">
        <f>""</f>
        <v/>
      </c>
      <c r="B674" t="str">
        <f>""</f>
        <v/>
      </c>
      <c r="G674" t="str">
        <f>""</f>
        <v/>
      </c>
      <c r="H674" t="str">
        <f>""</f>
        <v/>
      </c>
      <c r="J674" t="str">
        <f>"Inv# 5024265"</f>
        <v>Inv# 5024265</v>
      </c>
    </row>
    <row r="675" spans="1:10" x14ac:dyDescent="0.3">
      <c r="A675" t="str">
        <f>""</f>
        <v/>
      </c>
      <c r="B675" t="str">
        <f>""</f>
        <v/>
      </c>
      <c r="G675" t="str">
        <f>""</f>
        <v/>
      </c>
      <c r="H675" t="str">
        <f>""</f>
        <v/>
      </c>
      <c r="J675" t="str">
        <f>"Inv# 8023994"</f>
        <v>Inv# 8023994</v>
      </c>
    </row>
    <row r="676" spans="1:10" x14ac:dyDescent="0.3">
      <c r="A676" t="str">
        <f>""</f>
        <v/>
      </c>
      <c r="B676" t="str">
        <f>""</f>
        <v/>
      </c>
      <c r="G676" t="str">
        <f>""</f>
        <v/>
      </c>
      <c r="H676" t="str">
        <f>""</f>
        <v/>
      </c>
      <c r="J676" t="str">
        <f>"Inv# 6563702"</f>
        <v>Inv# 6563702</v>
      </c>
    </row>
    <row r="677" spans="1:10" x14ac:dyDescent="0.3">
      <c r="A677" t="str">
        <f>""</f>
        <v/>
      </c>
      <c r="B677" t="str">
        <f>""</f>
        <v/>
      </c>
      <c r="G677" t="str">
        <f>""</f>
        <v/>
      </c>
      <c r="H677" t="str">
        <f>""</f>
        <v/>
      </c>
      <c r="J677" t="str">
        <f>"Inv# 3583928"</f>
        <v>Inv# 3583928</v>
      </c>
    </row>
    <row r="678" spans="1:10" x14ac:dyDescent="0.3">
      <c r="A678" t="str">
        <f>""</f>
        <v/>
      </c>
      <c r="B678" t="str">
        <f>""</f>
        <v/>
      </c>
      <c r="G678" t="str">
        <f>""</f>
        <v/>
      </c>
      <c r="H678" t="str">
        <f>""</f>
        <v/>
      </c>
      <c r="J678" t="str">
        <f>"Inv# 6563702"</f>
        <v>Inv# 6563702</v>
      </c>
    </row>
    <row r="679" spans="1:10" x14ac:dyDescent="0.3">
      <c r="A679" t="str">
        <f>""</f>
        <v/>
      </c>
      <c r="B679" t="str">
        <f>""</f>
        <v/>
      </c>
      <c r="G679" t="str">
        <f>""</f>
        <v/>
      </c>
      <c r="H679" t="str">
        <f>""</f>
        <v/>
      </c>
      <c r="J679" t="str">
        <f>"Inv# 3583928"</f>
        <v>Inv# 3583928</v>
      </c>
    </row>
    <row r="680" spans="1:10" x14ac:dyDescent="0.3">
      <c r="A680" t="str">
        <f>""</f>
        <v/>
      </c>
      <c r="B680" t="str">
        <f>""</f>
        <v/>
      </c>
      <c r="G680" t="str">
        <f>""</f>
        <v/>
      </c>
      <c r="H680" t="str">
        <f>""</f>
        <v/>
      </c>
      <c r="J680" t="str">
        <f>"Inv# 4160245"</f>
        <v>Inv# 4160245</v>
      </c>
    </row>
    <row r="681" spans="1:10" x14ac:dyDescent="0.3">
      <c r="A681" t="str">
        <f>""</f>
        <v/>
      </c>
      <c r="B681" t="str">
        <f>""</f>
        <v/>
      </c>
      <c r="G681" t="str">
        <f>""</f>
        <v/>
      </c>
      <c r="H681" t="str">
        <f>""</f>
        <v/>
      </c>
      <c r="J681" t="str">
        <f>"Inv# 8023951"</f>
        <v>Inv# 8023951</v>
      </c>
    </row>
    <row r="682" spans="1:10" x14ac:dyDescent="0.3">
      <c r="A682" t="str">
        <f>""</f>
        <v/>
      </c>
      <c r="B682" t="str">
        <f>""</f>
        <v/>
      </c>
      <c r="G682" t="str">
        <f>""</f>
        <v/>
      </c>
      <c r="H682" t="str">
        <f>""</f>
        <v/>
      </c>
      <c r="J682" t="str">
        <f>"Inv# 5974840"</f>
        <v>Inv# 5974840</v>
      </c>
    </row>
    <row r="683" spans="1:10" x14ac:dyDescent="0.3">
      <c r="A683" t="str">
        <f>""</f>
        <v/>
      </c>
      <c r="B683" t="str">
        <f>""</f>
        <v/>
      </c>
      <c r="G683" t="str">
        <f>""</f>
        <v/>
      </c>
      <c r="H683" t="str">
        <f>""</f>
        <v/>
      </c>
      <c r="J683" t="str">
        <f>"Inv# 3021297"</f>
        <v>Inv# 3021297</v>
      </c>
    </row>
    <row r="684" spans="1:10" x14ac:dyDescent="0.3">
      <c r="A684" t="str">
        <f>""</f>
        <v/>
      </c>
      <c r="B684" t="str">
        <f>""</f>
        <v/>
      </c>
      <c r="G684" t="str">
        <f>""</f>
        <v/>
      </c>
      <c r="H684" t="str">
        <f>""</f>
        <v/>
      </c>
      <c r="J684" t="str">
        <f>"Inv# 3582799"</f>
        <v>Inv# 3582799</v>
      </c>
    </row>
    <row r="685" spans="1:10" x14ac:dyDescent="0.3">
      <c r="A685" t="str">
        <f>""</f>
        <v/>
      </c>
      <c r="B685" t="str">
        <f>""</f>
        <v/>
      </c>
      <c r="G685" t="str">
        <f>""</f>
        <v/>
      </c>
      <c r="H685" t="str">
        <f>""</f>
        <v/>
      </c>
      <c r="J685" t="str">
        <f>"Inv# 1590411"</f>
        <v>Inv# 1590411</v>
      </c>
    </row>
    <row r="686" spans="1:10" x14ac:dyDescent="0.3">
      <c r="A686" t="str">
        <f>""</f>
        <v/>
      </c>
      <c r="B686" t="str">
        <f>""</f>
        <v/>
      </c>
      <c r="G686" t="str">
        <f>""</f>
        <v/>
      </c>
      <c r="H686" t="str">
        <f>""</f>
        <v/>
      </c>
      <c r="J686" t="str">
        <f>"Inv# 1590861"</f>
        <v>Inv# 1590861</v>
      </c>
    </row>
    <row r="687" spans="1:10" x14ac:dyDescent="0.3">
      <c r="A687" t="str">
        <f>""</f>
        <v/>
      </c>
      <c r="B687" t="str">
        <f>""</f>
        <v/>
      </c>
      <c r="G687" t="str">
        <f>""</f>
        <v/>
      </c>
      <c r="H687" t="str">
        <f>""</f>
        <v/>
      </c>
      <c r="J687" t="str">
        <f>"Inv# 8023987"</f>
        <v>Inv# 8023987</v>
      </c>
    </row>
    <row r="688" spans="1:10" x14ac:dyDescent="0.3">
      <c r="A688" t="str">
        <f>""</f>
        <v/>
      </c>
      <c r="B688" t="str">
        <f>""</f>
        <v/>
      </c>
      <c r="G688" t="str">
        <f>""</f>
        <v/>
      </c>
      <c r="H688" t="str">
        <f>""</f>
        <v/>
      </c>
      <c r="J688" t="str">
        <f>"Inv# 7024120"</f>
        <v>Inv# 7024120</v>
      </c>
    </row>
    <row r="689" spans="1:11" x14ac:dyDescent="0.3">
      <c r="A689" t="str">
        <f>""</f>
        <v/>
      </c>
      <c r="B689" t="str">
        <f>""</f>
        <v/>
      </c>
      <c r="G689" t="str">
        <f>""</f>
        <v/>
      </c>
      <c r="H689" t="str">
        <f>""</f>
        <v/>
      </c>
      <c r="J689" t="str">
        <f>"Inv# 3160297"</f>
        <v>Inv# 3160297</v>
      </c>
    </row>
    <row r="690" spans="1:11" x14ac:dyDescent="0.3">
      <c r="A690" t="str">
        <f>"01"</f>
        <v>01</v>
      </c>
      <c r="B690" t="str">
        <f>"005044"</f>
        <v>005044</v>
      </c>
      <c r="C690" t="s">
        <v>205</v>
      </c>
      <c r="D690">
        <v>72004</v>
      </c>
      <c r="E690" s="2">
        <v>795</v>
      </c>
      <c r="F690" s="1">
        <v>42961</v>
      </c>
      <c r="G690" t="str">
        <f>"1074082"</f>
        <v>1074082</v>
      </c>
      <c r="H690" t="str">
        <f>"Inv# 1074082"</f>
        <v>Inv# 1074082</v>
      </c>
      <c r="I690" s="2">
        <v>795</v>
      </c>
      <c r="J690" t="str">
        <f>"Inv# 1074082"</f>
        <v>Inv# 1074082</v>
      </c>
    </row>
    <row r="691" spans="1:11" x14ac:dyDescent="0.3">
      <c r="A691" t="str">
        <f>"01"</f>
        <v>01</v>
      </c>
      <c r="B691" t="str">
        <f>"003653"</f>
        <v>003653</v>
      </c>
      <c r="C691" t="s">
        <v>206</v>
      </c>
      <c r="D691">
        <v>72005</v>
      </c>
      <c r="E691" s="2">
        <v>2426.91</v>
      </c>
      <c r="F691" s="1">
        <v>42961</v>
      </c>
      <c r="G691" t="str">
        <f>"201708074117"</f>
        <v>201708074117</v>
      </c>
      <c r="H691" t="str">
        <f>"ACT#100402264/S170802000200041"</f>
        <v>ACT#100402264/S170802000200041</v>
      </c>
      <c r="I691" s="2">
        <v>1937.27</v>
      </c>
      <c r="J691" t="str">
        <f>"ACT#100402264/S170802000200041"</f>
        <v>ACT#100402264/S170802000200041</v>
      </c>
    </row>
    <row r="692" spans="1:11" x14ac:dyDescent="0.3">
      <c r="A692" t="str">
        <f>""</f>
        <v/>
      </c>
      <c r="B692" t="str">
        <f>""</f>
        <v/>
      </c>
      <c r="G692" t="str">
        <f>""</f>
        <v/>
      </c>
      <c r="H692" t="str">
        <f>""</f>
        <v/>
      </c>
      <c r="J692" t="str">
        <f>"ACT#100402264/S170802000200041"</f>
        <v>ACT#100402264/S170802000200041</v>
      </c>
    </row>
    <row r="693" spans="1:11" x14ac:dyDescent="0.3">
      <c r="A693" t="str">
        <f>""</f>
        <v/>
      </c>
      <c r="B693" t="str">
        <f>""</f>
        <v/>
      </c>
      <c r="G693" t="str">
        <f>"201708074118"</f>
        <v>201708074118</v>
      </c>
      <c r="H693" t="str">
        <f>"ACT#100402264/S170802000200041"</f>
        <v>ACT#100402264/S170802000200041</v>
      </c>
      <c r="I693" s="2">
        <v>489.64</v>
      </c>
      <c r="J693" t="str">
        <f>"ACT#100402264/S170802000200041"</f>
        <v>ACT#100402264/S170802000200041</v>
      </c>
    </row>
    <row r="694" spans="1:11" x14ac:dyDescent="0.3">
      <c r="A694" t="str">
        <f>"01"</f>
        <v>01</v>
      </c>
      <c r="B694" t="str">
        <f>"003545"</f>
        <v>003545</v>
      </c>
      <c r="C694" t="s">
        <v>207</v>
      </c>
      <c r="D694">
        <v>999999</v>
      </c>
      <c r="E694" s="2">
        <v>250</v>
      </c>
      <c r="F694" s="1">
        <v>42961</v>
      </c>
      <c r="G694" t="str">
        <f>"100026"</f>
        <v>100026</v>
      </c>
      <c r="H694" t="str">
        <f>"CYL REPAIR/PCT#3"</f>
        <v>CYL REPAIR/PCT#3</v>
      </c>
      <c r="I694" s="2">
        <v>250</v>
      </c>
      <c r="J694" t="str">
        <f>"CYL REPAIR"</f>
        <v>CYL REPAIR</v>
      </c>
    </row>
    <row r="695" spans="1:11" x14ac:dyDescent="0.3">
      <c r="A695" t="str">
        <f>"01"</f>
        <v>01</v>
      </c>
      <c r="B695" t="str">
        <f>"T11576"</f>
        <v>T11576</v>
      </c>
      <c r="C695" t="s">
        <v>208</v>
      </c>
      <c r="D695">
        <v>999999</v>
      </c>
      <c r="E695" s="2">
        <v>2445</v>
      </c>
      <c r="F695" s="1">
        <v>42961</v>
      </c>
      <c r="G695" t="str">
        <f>"64485"</f>
        <v>64485</v>
      </c>
      <c r="H695" t="str">
        <f>"PROF SVCS FOR SEPT '17/IND HLT"</f>
        <v>PROF SVCS FOR SEPT '17/IND HLT</v>
      </c>
      <c r="I695" s="2">
        <v>2430</v>
      </c>
      <c r="J695" t="str">
        <f>"PROF SVCS FOR SEPT '17/IND HLT"</f>
        <v>PROF SVCS FOR SEPT '17/IND HLT</v>
      </c>
    </row>
    <row r="696" spans="1:11" x14ac:dyDescent="0.3">
      <c r="A696" t="str">
        <f>""</f>
        <v/>
      </c>
      <c r="B696" t="str">
        <f>""</f>
        <v/>
      </c>
      <c r="G696" t="str">
        <f>""</f>
        <v/>
      </c>
      <c r="H696" t="str">
        <f>""</f>
        <v/>
      </c>
      <c r="J696" t="str">
        <f>"PROF SVCS FOR SEPT '17/IND HLT"</f>
        <v>PROF SVCS FOR SEPT '17/IND HLT</v>
      </c>
    </row>
    <row r="697" spans="1:11" x14ac:dyDescent="0.3">
      <c r="A697" t="str">
        <f>""</f>
        <v/>
      </c>
      <c r="B697" t="str">
        <f>""</f>
        <v/>
      </c>
      <c r="G697" t="str">
        <f>"64605"</f>
        <v>64605</v>
      </c>
      <c r="H697" t="str">
        <f>"JUNE &amp; JULY 17 POWER SEARCH SV"</f>
        <v>JUNE &amp; JULY 17 POWER SEARCH SV</v>
      </c>
      <c r="I697" s="2">
        <v>15</v>
      </c>
      <c r="J697" t="str">
        <f>"JUNE &amp; JULY 17 POWER SEARCH SV"</f>
        <v>JUNE &amp; JULY 17 POWER SEARCH SV</v>
      </c>
    </row>
    <row r="698" spans="1:11" x14ac:dyDescent="0.3">
      <c r="A698" t="str">
        <f>"01"</f>
        <v>01</v>
      </c>
      <c r="B698" t="str">
        <f>"005171"</f>
        <v>005171</v>
      </c>
      <c r="C698" t="s">
        <v>209</v>
      </c>
      <c r="D698">
        <v>72265</v>
      </c>
      <c r="E698" s="2">
        <v>949</v>
      </c>
      <c r="F698" s="1">
        <v>42976</v>
      </c>
      <c r="G698" t="str">
        <f>"2927"</f>
        <v>2927</v>
      </c>
      <c r="H698" t="str">
        <f>"INV 2927"</f>
        <v>INV 2927</v>
      </c>
      <c r="I698" s="2">
        <v>949</v>
      </c>
      <c r="J698" t="str">
        <f>"INV 2927"</f>
        <v>INV 2927</v>
      </c>
    </row>
    <row r="699" spans="1:11" x14ac:dyDescent="0.3">
      <c r="A699" t="str">
        <f>"01"</f>
        <v>01</v>
      </c>
      <c r="B699" t="str">
        <f>"IRON"</f>
        <v>IRON</v>
      </c>
      <c r="C699" t="s">
        <v>210</v>
      </c>
      <c r="D699">
        <v>72006</v>
      </c>
      <c r="E699" s="2">
        <v>66.12</v>
      </c>
      <c r="F699" s="1">
        <v>42961</v>
      </c>
      <c r="G699" t="str">
        <f>"PAT4801"</f>
        <v>PAT4801</v>
      </c>
      <c r="H699" t="str">
        <f>"CUST#AX773/COUNTY CLERK"</f>
        <v>CUST#AX773/COUNTY CLERK</v>
      </c>
      <c r="I699" s="2">
        <v>66.12</v>
      </c>
      <c r="J699" t="str">
        <f>"CUST#AX773/COUNTY CLERK"</f>
        <v>CUST#AX773/COUNTY CLERK</v>
      </c>
    </row>
    <row r="700" spans="1:11" x14ac:dyDescent="0.3">
      <c r="A700" t="str">
        <f>"01"</f>
        <v>01</v>
      </c>
      <c r="B700" t="str">
        <f>"T7585"</f>
        <v>T7585</v>
      </c>
      <c r="C700" t="s">
        <v>211</v>
      </c>
      <c r="D700">
        <v>72007</v>
      </c>
      <c r="E700" s="2">
        <v>260</v>
      </c>
      <c r="F700" s="1">
        <v>42961</v>
      </c>
      <c r="G700" t="str">
        <f>"14268"</f>
        <v>14268</v>
      </c>
      <c r="H700" t="str">
        <f>"UNIT RENTAL/5540 FM 535"</f>
        <v>UNIT RENTAL/5540 FM 535</v>
      </c>
      <c r="I700" s="2">
        <v>260</v>
      </c>
      <c r="J700" t="str">
        <f>"UNIT RENTAL/5540 FM 535"</f>
        <v>UNIT RENTAL/5540 FM 535</v>
      </c>
    </row>
    <row r="701" spans="1:11" x14ac:dyDescent="0.3">
      <c r="A701" t="str">
        <f>"01"</f>
        <v>01</v>
      </c>
      <c r="B701" t="str">
        <f>"005135"</f>
        <v>005135</v>
      </c>
      <c r="C701" t="s">
        <v>212</v>
      </c>
      <c r="D701">
        <v>72266</v>
      </c>
      <c r="E701" s="2">
        <v>2301.21</v>
      </c>
      <c r="F701" s="1">
        <v>42976</v>
      </c>
      <c r="G701" t="str">
        <f>"201708234381"</f>
        <v>201708234381</v>
      </c>
      <c r="H701" t="str">
        <f>"VISITING JUDGE-MILEAGE"</f>
        <v>VISITING JUDGE-MILEAGE</v>
      </c>
      <c r="I701" s="2">
        <v>2301.21</v>
      </c>
      <c r="J701" t="str">
        <f>"TRAVELING JUDGE-MILEAGE"</f>
        <v>TRAVELING JUDGE-MILEAGE</v>
      </c>
    </row>
    <row r="702" spans="1:11" x14ac:dyDescent="0.3">
      <c r="A702" t="str">
        <f>"01"</f>
        <v>01</v>
      </c>
      <c r="B702" t="str">
        <f>"T7860"</f>
        <v>T7860</v>
      </c>
      <c r="C702" t="s">
        <v>213</v>
      </c>
      <c r="D702">
        <v>72267</v>
      </c>
      <c r="E702" s="2">
        <v>2000</v>
      </c>
      <c r="F702" s="1">
        <v>42976</v>
      </c>
      <c r="G702" t="s">
        <v>59</v>
      </c>
      <c r="H702" t="s">
        <v>61</v>
      </c>
      <c r="I702" s="2" t="str">
        <f>"AD LITEM FEE 6/14/17"</f>
        <v>AD LITEM FEE 6/14/17</v>
      </c>
      <c r="J702" t="str">
        <f>"995-4110"</f>
        <v>995-4110</v>
      </c>
      <c r="K702">
        <v>150</v>
      </c>
    </row>
    <row r="703" spans="1:11" x14ac:dyDescent="0.3">
      <c r="A703" t="str">
        <f>""</f>
        <v/>
      </c>
      <c r="B703" t="str">
        <f>""</f>
        <v/>
      </c>
      <c r="G703" t="str">
        <f>"11466"</f>
        <v>11466</v>
      </c>
      <c r="H703" t="str">
        <f>"AD LITEM FEE 7/5/17"</f>
        <v>AD LITEM FEE 7/5/17</v>
      </c>
      <c r="I703" s="2">
        <v>150</v>
      </c>
      <c r="J703" t="str">
        <f>"AD LITEM FEE 7/5/17"</f>
        <v>AD LITEM FEE 7/5/17</v>
      </c>
    </row>
    <row r="704" spans="1:11" x14ac:dyDescent="0.3">
      <c r="A704" t="str">
        <f>""</f>
        <v/>
      </c>
      <c r="B704" t="str">
        <f>""</f>
        <v/>
      </c>
      <c r="G704" t="str">
        <f>"12286"</f>
        <v>12286</v>
      </c>
      <c r="H704" t="str">
        <f t="shared" ref="H704:H710" si="10">"AD LITEM FEE 6/14/17"</f>
        <v>AD LITEM FEE 6/14/17</v>
      </c>
      <c r="I704" s="2">
        <v>150</v>
      </c>
      <c r="J704" t="str">
        <f t="shared" ref="J704:J709" si="11">"AD LITEM FEE 6/14/17"</f>
        <v>AD LITEM FEE 6/14/17</v>
      </c>
    </row>
    <row r="705" spans="1:10" x14ac:dyDescent="0.3">
      <c r="A705" t="str">
        <f>""</f>
        <v/>
      </c>
      <c r="B705" t="str">
        <f>""</f>
        <v/>
      </c>
      <c r="G705" t="str">
        <f>"12404"</f>
        <v>12404</v>
      </c>
      <c r="H705" t="str">
        <f t="shared" si="10"/>
        <v>AD LITEM FEE 6/14/17</v>
      </c>
      <c r="I705" s="2">
        <v>150</v>
      </c>
      <c r="J705" t="str">
        <f t="shared" si="11"/>
        <v>AD LITEM FEE 6/14/17</v>
      </c>
    </row>
    <row r="706" spans="1:10" x14ac:dyDescent="0.3">
      <c r="A706" t="str">
        <f>""</f>
        <v/>
      </c>
      <c r="B706" t="str">
        <f>""</f>
        <v/>
      </c>
      <c r="G706" t="str">
        <f>"12458"</f>
        <v>12458</v>
      </c>
      <c r="H706" t="str">
        <f t="shared" si="10"/>
        <v>AD LITEM FEE 6/14/17</v>
      </c>
      <c r="I706" s="2">
        <v>150</v>
      </c>
      <c r="J706" t="str">
        <f t="shared" si="11"/>
        <v>AD LITEM FEE 6/14/17</v>
      </c>
    </row>
    <row r="707" spans="1:10" x14ac:dyDescent="0.3">
      <c r="A707" t="str">
        <f>""</f>
        <v/>
      </c>
      <c r="B707" t="str">
        <f>""</f>
        <v/>
      </c>
      <c r="G707" t="str">
        <f>"12459"</f>
        <v>12459</v>
      </c>
      <c r="H707" t="str">
        <f t="shared" si="10"/>
        <v>AD LITEM FEE 6/14/17</v>
      </c>
      <c r="I707" s="2">
        <v>150</v>
      </c>
      <c r="J707" t="str">
        <f t="shared" si="11"/>
        <v>AD LITEM FEE 6/14/17</v>
      </c>
    </row>
    <row r="708" spans="1:10" x14ac:dyDescent="0.3">
      <c r="A708" t="str">
        <f>""</f>
        <v/>
      </c>
      <c r="B708" t="str">
        <f>""</f>
        <v/>
      </c>
      <c r="G708" t="str">
        <f>"12464"</f>
        <v>12464</v>
      </c>
      <c r="H708" t="str">
        <f t="shared" si="10"/>
        <v>AD LITEM FEE 6/14/17</v>
      </c>
      <c r="I708" s="2">
        <v>150</v>
      </c>
      <c r="J708" t="str">
        <f t="shared" si="11"/>
        <v>AD LITEM FEE 6/14/17</v>
      </c>
    </row>
    <row r="709" spans="1:10" x14ac:dyDescent="0.3">
      <c r="A709" t="str">
        <f>""</f>
        <v/>
      </c>
      <c r="B709" t="str">
        <f>""</f>
        <v/>
      </c>
      <c r="G709" t="str">
        <f>"12477"</f>
        <v>12477</v>
      </c>
      <c r="H709" t="str">
        <f t="shared" si="10"/>
        <v>AD LITEM FEE 6/14/17</v>
      </c>
      <c r="I709" s="2">
        <v>150</v>
      </c>
      <c r="J709" t="str">
        <f t="shared" si="11"/>
        <v>AD LITEM FEE 6/14/17</v>
      </c>
    </row>
    <row r="710" spans="1:10" x14ac:dyDescent="0.3">
      <c r="A710" t="str">
        <f>""</f>
        <v/>
      </c>
      <c r="B710" t="str">
        <f>""</f>
        <v/>
      </c>
      <c r="G710" t="str">
        <f>"12507"</f>
        <v>12507</v>
      </c>
      <c r="H710" t="str">
        <f t="shared" si="10"/>
        <v>AD LITEM FEE 6/14/17</v>
      </c>
      <c r="I710" s="2">
        <v>150</v>
      </c>
      <c r="J710" t="str">
        <f>"AD LITEM FEE"</f>
        <v>AD LITEM FEE</v>
      </c>
    </row>
    <row r="711" spans="1:10" x14ac:dyDescent="0.3">
      <c r="A711" t="str">
        <f>""</f>
        <v/>
      </c>
      <c r="B711" t="str">
        <f>""</f>
        <v/>
      </c>
      <c r="G711" t="str">
        <f>"201708234391"</f>
        <v>201708234391</v>
      </c>
      <c r="H711" t="str">
        <f>"JUVENILE DETENTION HEARING"</f>
        <v>JUVENILE DETENTION HEARING</v>
      </c>
      <c r="I711" s="2">
        <v>100</v>
      </c>
      <c r="J711" t="str">
        <f>"JUVENILE DETENTION HEARING"</f>
        <v>JUVENILE DETENTION HEARING</v>
      </c>
    </row>
    <row r="712" spans="1:10" x14ac:dyDescent="0.3">
      <c r="A712" t="str">
        <f>""</f>
        <v/>
      </c>
      <c r="B712" t="str">
        <f>""</f>
        <v/>
      </c>
      <c r="G712" t="str">
        <f>"201708234392"</f>
        <v>201708234392</v>
      </c>
      <c r="H712" t="str">
        <f>"17-18577"</f>
        <v>17-18577</v>
      </c>
      <c r="I712" s="2">
        <v>100</v>
      </c>
      <c r="J712" t="str">
        <f>"17-18577"</f>
        <v>17-18577</v>
      </c>
    </row>
    <row r="713" spans="1:10" x14ac:dyDescent="0.3">
      <c r="A713" t="str">
        <f>""</f>
        <v/>
      </c>
      <c r="B713" t="str">
        <f>""</f>
        <v/>
      </c>
      <c r="G713" t="str">
        <f>"201708234412"</f>
        <v>201708234412</v>
      </c>
      <c r="H713" t="str">
        <f>"16-17913"</f>
        <v>16-17913</v>
      </c>
      <c r="I713" s="2">
        <v>100</v>
      </c>
      <c r="J713" t="str">
        <f>"16-17913"</f>
        <v>16-17913</v>
      </c>
    </row>
    <row r="714" spans="1:10" x14ac:dyDescent="0.3">
      <c r="A714" t="str">
        <f>""</f>
        <v/>
      </c>
      <c r="B714" t="str">
        <f>""</f>
        <v/>
      </c>
      <c r="G714" t="str">
        <f>"201708234413"</f>
        <v>201708234413</v>
      </c>
      <c r="H714" t="str">
        <f>"16-18043"</f>
        <v>16-18043</v>
      </c>
      <c r="I714" s="2">
        <v>100</v>
      </c>
      <c r="J714" t="str">
        <f>"16-18043"</f>
        <v>16-18043</v>
      </c>
    </row>
    <row r="715" spans="1:10" x14ac:dyDescent="0.3">
      <c r="A715" t="str">
        <f>""</f>
        <v/>
      </c>
      <c r="B715" t="str">
        <f>""</f>
        <v/>
      </c>
      <c r="G715" t="str">
        <f>"201708234421"</f>
        <v>201708234421</v>
      </c>
      <c r="H715" t="str">
        <f>"55 308"</f>
        <v>55 308</v>
      </c>
      <c r="I715" s="2">
        <v>250</v>
      </c>
      <c r="J715" t="str">
        <f>"55 308"</f>
        <v>55 308</v>
      </c>
    </row>
    <row r="716" spans="1:10" x14ac:dyDescent="0.3">
      <c r="A716" t="str">
        <f>"01"</f>
        <v>01</v>
      </c>
      <c r="B716" t="str">
        <f>"T7860"</f>
        <v>T7860</v>
      </c>
      <c r="C716" t="s">
        <v>213</v>
      </c>
      <c r="D716">
        <v>999999</v>
      </c>
      <c r="E716" s="2">
        <v>1495</v>
      </c>
      <c r="F716" s="1">
        <v>42961</v>
      </c>
      <c r="G716" t="str">
        <f>"201707283913"</f>
        <v>201707283913</v>
      </c>
      <c r="H716" t="str">
        <f>"17-18461"</f>
        <v>17-18461</v>
      </c>
      <c r="I716" s="2">
        <v>100</v>
      </c>
      <c r="J716" t="str">
        <f>"17-18461"</f>
        <v>17-18461</v>
      </c>
    </row>
    <row r="717" spans="1:10" x14ac:dyDescent="0.3">
      <c r="A717" t="str">
        <f>""</f>
        <v/>
      </c>
      <c r="B717" t="str">
        <f>""</f>
        <v/>
      </c>
      <c r="G717" t="str">
        <f>"201708094227"</f>
        <v>201708094227</v>
      </c>
      <c r="H717" t="str">
        <f>"16-17601"</f>
        <v>16-17601</v>
      </c>
      <c r="I717" s="2">
        <v>945</v>
      </c>
      <c r="J717" t="str">
        <f>"16-17601"</f>
        <v>16-17601</v>
      </c>
    </row>
    <row r="718" spans="1:10" x14ac:dyDescent="0.3">
      <c r="A718" t="str">
        <f>""</f>
        <v/>
      </c>
      <c r="B718" t="str">
        <f>""</f>
        <v/>
      </c>
      <c r="G718" t="str">
        <f>"201708094228"</f>
        <v>201708094228</v>
      </c>
      <c r="H718" t="str">
        <f>"54 864"</f>
        <v>54 864</v>
      </c>
      <c r="I718" s="2">
        <v>250</v>
      </c>
      <c r="J718" t="str">
        <f>"54 864"</f>
        <v>54 864</v>
      </c>
    </row>
    <row r="719" spans="1:10" x14ac:dyDescent="0.3">
      <c r="A719" t="str">
        <f>""</f>
        <v/>
      </c>
      <c r="B719" t="str">
        <f>""</f>
        <v/>
      </c>
      <c r="G719" t="str">
        <f>"201708094229"</f>
        <v>201708094229</v>
      </c>
      <c r="H719" t="str">
        <f>"16-18016"</f>
        <v>16-18016</v>
      </c>
      <c r="I719" s="2">
        <v>100</v>
      </c>
      <c r="J719" t="str">
        <f>"16-18016"</f>
        <v>16-18016</v>
      </c>
    </row>
    <row r="720" spans="1:10" x14ac:dyDescent="0.3">
      <c r="A720" t="str">
        <f>""</f>
        <v/>
      </c>
      <c r="B720" t="str">
        <f>""</f>
        <v/>
      </c>
      <c r="G720" t="str">
        <f>"201708094230"</f>
        <v>201708094230</v>
      </c>
      <c r="H720" t="str">
        <f>"16-17760"</f>
        <v>16-17760</v>
      </c>
      <c r="I720" s="2">
        <v>100</v>
      </c>
      <c r="J720" t="str">
        <f>"16-17760"</f>
        <v>16-17760</v>
      </c>
    </row>
    <row r="721" spans="1:11" x14ac:dyDescent="0.3">
      <c r="A721" t="str">
        <f>"01"</f>
        <v>01</v>
      </c>
      <c r="B721" t="str">
        <f>"004891"</f>
        <v>004891</v>
      </c>
      <c r="C721" t="s">
        <v>214</v>
      </c>
      <c r="D721">
        <v>72008</v>
      </c>
      <c r="E721" s="2">
        <v>100</v>
      </c>
      <c r="F721" s="1">
        <v>42961</v>
      </c>
      <c r="G721" t="s">
        <v>215</v>
      </c>
      <c r="H721" t="s">
        <v>216</v>
      </c>
      <c r="I721" s="2" t="str">
        <f>"RESTITUTION-J. HOFROCK"</f>
        <v>RESTITUTION-J. HOFROCK</v>
      </c>
      <c r="J721" t="str">
        <f>"210-0000"</f>
        <v>210-0000</v>
      </c>
      <c r="K721">
        <v>50</v>
      </c>
    </row>
    <row r="722" spans="1:11" x14ac:dyDescent="0.3">
      <c r="A722" t="str">
        <f>""</f>
        <v/>
      </c>
      <c r="B722" t="str">
        <f>""</f>
        <v/>
      </c>
      <c r="G722" t="s">
        <v>215</v>
      </c>
      <c r="H722" t="s">
        <v>217</v>
      </c>
      <c r="I722" s="2" t="str">
        <f>"RESTITUTION-J. HOFROCK"</f>
        <v>RESTITUTION-J. HOFROCK</v>
      </c>
      <c r="J722" t="str">
        <f>"210-0000"</f>
        <v>210-0000</v>
      </c>
      <c r="K722">
        <v>50</v>
      </c>
    </row>
    <row r="723" spans="1:11" x14ac:dyDescent="0.3">
      <c r="A723" t="str">
        <f>"01"</f>
        <v>01</v>
      </c>
      <c r="B723" t="str">
        <f>"003848"</f>
        <v>003848</v>
      </c>
      <c r="C723" t="s">
        <v>218</v>
      </c>
      <c r="D723">
        <v>72268</v>
      </c>
      <c r="E723" s="2">
        <v>1240</v>
      </c>
      <c r="F723" s="1">
        <v>42976</v>
      </c>
      <c r="G723" t="str">
        <f>"201708224328"</f>
        <v>201708224328</v>
      </c>
      <c r="H723" t="str">
        <f>"15367  15366"</f>
        <v>15367  15366</v>
      </c>
      <c r="I723" s="2">
        <v>840</v>
      </c>
      <c r="J723" t="str">
        <f>"15367  15366"</f>
        <v>15367  15366</v>
      </c>
    </row>
    <row r="724" spans="1:11" x14ac:dyDescent="0.3">
      <c r="A724" t="str">
        <f>""</f>
        <v/>
      </c>
      <c r="B724" t="str">
        <f>""</f>
        <v/>
      </c>
      <c r="G724" t="str">
        <f>"201708224329"</f>
        <v>201708224329</v>
      </c>
      <c r="H724" t="str">
        <f>"16293"</f>
        <v>16293</v>
      </c>
      <c r="I724" s="2">
        <v>400</v>
      </c>
      <c r="J724" t="str">
        <f>"16293"</f>
        <v>16293</v>
      </c>
    </row>
    <row r="725" spans="1:11" x14ac:dyDescent="0.3">
      <c r="A725" t="str">
        <f>"01"</f>
        <v>01</v>
      </c>
      <c r="B725" t="str">
        <f>"004606"</f>
        <v>004606</v>
      </c>
      <c r="C725" t="s">
        <v>219</v>
      </c>
      <c r="D725">
        <v>72269</v>
      </c>
      <c r="E725" s="2">
        <v>40</v>
      </c>
      <c r="F725" s="1">
        <v>42976</v>
      </c>
      <c r="G725" t="str">
        <f>"201708224349"</f>
        <v>201708224349</v>
      </c>
      <c r="H725" t="str">
        <f>"REIMBURSE-CAPCOG TRAINING"</f>
        <v>REIMBURSE-CAPCOG TRAINING</v>
      </c>
      <c r="I725" s="2">
        <v>40</v>
      </c>
      <c r="J725" t="str">
        <f>"REIMBURSE-CAPCOG TRAINING"</f>
        <v>REIMBURSE-CAPCOG TRAINING</v>
      </c>
    </row>
    <row r="726" spans="1:11" x14ac:dyDescent="0.3">
      <c r="A726" t="str">
        <f>"01"</f>
        <v>01</v>
      </c>
      <c r="B726" t="str">
        <f>"T14548"</f>
        <v>T14548</v>
      </c>
      <c r="C726" t="s">
        <v>220</v>
      </c>
      <c r="D726">
        <v>72270</v>
      </c>
      <c r="E726" s="2">
        <v>12250</v>
      </c>
      <c r="F726" s="1">
        <v>42976</v>
      </c>
      <c r="G726" t="str">
        <f>"201708224330"</f>
        <v>201708224330</v>
      </c>
      <c r="H726" t="str">
        <f>"410025-IM   410025-2M"</f>
        <v>410025-IM   410025-2M</v>
      </c>
      <c r="I726" s="2">
        <v>600</v>
      </c>
      <c r="J726" t="str">
        <f>"410025-IM   410025-2M"</f>
        <v>410025-IM   410025-2M</v>
      </c>
    </row>
    <row r="727" spans="1:11" x14ac:dyDescent="0.3">
      <c r="A727" t="str">
        <f>""</f>
        <v/>
      </c>
      <c r="B727" t="str">
        <f>""</f>
        <v/>
      </c>
      <c r="G727" t="str">
        <f>"201708224331"</f>
        <v>201708224331</v>
      </c>
      <c r="H727" t="str">
        <f>"16257"</f>
        <v>16257</v>
      </c>
      <c r="I727" s="2">
        <v>400</v>
      </c>
      <c r="J727" t="str">
        <f>"16257"</f>
        <v>16257</v>
      </c>
    </row>
    <row r="728" spans="1:11" x14ac:dyDescent="0.3">
      <c r="A728" t="str">
        <f>""</f>
        <v/>
      </c>
      <c r="B728" t="str">
        <f>""</f>
        <v/>
      </c>
      <c r="G728" t="str">
        <f>"201708224332"</f>
        <v>201708224332</v>
      </c>
      <c r="H728" t="str">
        <f>"423-2898"</f>
        <v>423-2898</v>
      </c>
      <c r="I728" s="2">
        <v>300</v>
      </c>
      <c r="J728" t="str">
        <f>"423-2898"</f>
        <v>423-2898</v>
      </c>
    </row>
    <row r="729" spans="1:11" x14ac:dyDescent="0.3">
      <c r="A729" t="str">
        <f>""</f>
        <v/>
      </c>
      <c r="B729" t="str">
        <f>""</f>
        <v/>
      </c>
      <c r="G729" t="str">
        <f>"201708224333"</f>
        <v>201708224333</v>
      </c>
      <c r="H729" t="str">
        <f>"15724  16105"</f>
        <v>15724  16105</v>
      </c>
      <c r="I729" s="2">
        <v>9300</v>
      </c>
      <c r="J729" t="str">
        <f>"15724  16105"</f>
        <v>15724  16105</v>
      </c>
    </row>
    <row r="730" spans="1:11" x14ac:dyDescent="0.3">
      <c r="A730" t="str">
        <f>""</f>
        <v/>
      </c>
      <c r="B730" t="str">
        <f>""</f>
        <v/>
      </c>
      <c r="G730" t="str">
        <f>"201708224334"</f>
        <v>201708224334</v>
      </c>
      <c r="H730" t="str">
        <f>"CH-20151210-A"</f>
        <v>CH-20151210-A</v>
      </c>
      <c r="I730" s="2">
        <v>400</v>
      </c>
      <c r="J730" t="str">
        <f>"CH-20151210-A"</f>
        <v>CH-20151210-A</v>
      </c>
    </row>
    <row r="731" spans="1:11" x14ac:dyDescent="0.3">
      <c r="A731" t="str">
        <f>""</f>
        <v/>
      </c>
      <c r="B731" t="str">
        <f>""</f>
        <v/>
      </c>
      <c r="G731" t="str">
        <f>"201708234432"</f>
        <v>201708234432</v>
      </c>
      <c r="H731" t="str">
        <f>"55201"</f>
        <v>55201</v>
      </c>
      <c r="I731" s="2">
        <v>250</v>
      </c>
      <c r="J731" t="str">
        <f>"55201"</f>
        <v>55201</v>
      </c>
    </row>
    <row r="732" spans="1:11" x14ac:dyDescent="0.3">
      <c r="A732" t="str">
        <f>""</f>
        <v/>
      </c>
      <c r="B732" t="str">
        <f>""</f>
        <v/>
      </c>
      <c r="G732" t="str">
        <f>"201708234433"</f>
        <v>201708234433</v>
      </c>
      <c r="H732" t="str">
        <f>"55195   55196"</f>
        <v>55195   55196</v>
      </c>
      <c r="I732" s="2">
        <v>375</v>
      </c>
      <c r="J732" t="str">
        <f>"55195   55196"</f>
        <v>55195   55196</v>
      </c>
    </row>
    <row r="733" spans="1:11" x14ac:dyDescent="0.3">
      <c r="A733" t="str">
        <f>""</f>
        <v/>
      </c>
      <c r="B733" t="str">
        <f>""</f>
        <v/>
      </c>
      <c r="G733" t="str">
        <f>"201708234434"</f>
        <v>201708234434</v>
      </c>
      <c r="H733" t="str">
        <f>"55214"</f>
        <v>55214</v>
      </c>
      <c r="I733" s="2">
        <v>250</v>
      </c>
      <c r="J733" t="str">
        <f>"55214"</f>
        <v>55214</v>
      </c>
    </row>
    <row r="734" spans="1:11" x14ac:dyDescent="0.3">
      <c r="A734" t="str">
        <f>""</f>
        <v/>
      </c>
      <c r="B734" t="str">
        <f>""</f>
        <v/>
      </c>
      <c r="G734" t="str">
        <f>"201708234435"</f>
        <v>201708234435</v>
      </c>
      <c r="H734" t="str">
        <f>"55235   55236"</f>
        <v>55235   55236</v>
      </c>
      <c r="I734" s="2">
        <v>375</v>
      </c>
      <c r="J734" t="str">
        <f>"55235   55236"</f>
        <v>55235   55236</v>
      </c>
    </row>
    <row r="735" spans="1:11" x14ac:dyDescent="0.3">
      <c r="A735" t="str">
        <f>"01"</f>
        <v>01</v>
      </c>
      <c r="B735" t="str">
        <f>"T14548"</f>
        <v>T14548</v>
      </c>
      <c r="C735" t="s">
        <v>220</v>
      </c>
      <c r="D735">
        <v>999999</v>
      </c>
      <c r="E735" s="2">
        <v>1425</v>
      </c>
      <c r="F735" s="1">
        <v>42961</v>
      </c>
      <c r="G735" t="str">
        <f>"201707263871"</f>
        <v>201707263871</v>
      </c>
      <c r="H735" t="str">
        <f>"310182016A"</f>
        <v>310182016A</v>
      </c>
      <c r="I735" s="2">
        <v>150</v>
      </c>
      <c r="J735" t="str">
        <f>"310182016A"</f>
        <v>310182016A</v>
      </c>
    </row>
    <row r="736" spans="1:11" x14ac:dyDescent="0.3">
      <c r="A736" t="str">
        <f>""</f>
        <v/>
      </c>
      <c r="B736" t="str">
        <f>""</f>
        <v/>
      </c>
      <c r="G736" t="str">
        <f>"201707283914"</f>
        <v>201707283914</v>
      </c>
      <c r="H736" t="str">
        <f>"55340"</f>
        <v>55340</v>
      </c>
      <c r="I736" s="2">
        <v>250</v>
      </c>
      <c r="J736" t="str">
        <f>"55340"</f>
        <v>55340</v>
      </c>
    </row>
    <row r="737" spans="1:11" x14ac:dyDescent="0.3">
      <c r="A737" t="str">
        <f>""</f>
        <v/>
      </c>
      <c r="B737" t="str">
        <f>""</f>
        <v/>
      </c>
      <c r="G737" t="str">
        <f>"201707283915"</f>
        <v>201707283915</v>
      </c>
      <c r="H737" t="str">
        <f>"54398"</f>
        <v>54398</v>
      </c>
      <c r="I737" s="2">
        <v>250</v>
      </c>
      <c r="J737" t="str">
        <f>"54398"</f>
        <v>54398</v>
      </c>
    </row>
    <row r="738" spans="1:11" x14ac:dyDescent="0.3">
      <c r="A738" t="str">
        <f>""</f>
        <v/>
      </c>
      <c r="B738" t="str">
        <f>""</f>
        <v/>
      </c>
      <c r="G738" t="str">
        <f>"201708044011"</f>
        <v>201708044011</v>
      </c>
      <c r="H738" t="str">
        <f>"CH-2015 1013A"</f>
        <v>CH-2015 1013A</v>
      </c>
      <c r="I738" s="2">
        <v>400</v>
      </c>
      <c r="J738" t="str">
        <f>"CH-2015 1013A"</f>
        <v>CH-2015 1013A</v>
      </c>
    </row>
    <row r="739" spans="1:11" x14ac:dyDescent="0.3">
      <c r="A739" t="str">
        <f>""</f>
        <v/>
      </c>
      <c r="B739" t="str">
        <f>""</f>
        <v/>
      </c>
      <c r="G739" t="str">
        <f>"201708094239"</f>
        <v>201708094239</v>
      </c>
      <c r="H739" t="str">
        <f>"55374  55317"</f>
        <v>55374  55317</v>
      </c>
      <c r="I739" s="2">
        <v>375</v>
      </c>
      <c r="J739" t="str">
        <f>"55374  55317"</f>
        <v>55374  55317</v>
      </c>
    </row>
    <row r="740" spans="1:11" x14ac:dyDescent="0.3">
      <c r="A740" t="str">
        <f t="shared" ref="A740:A746" si="12">"01"</f>
        <v>01</v>
      </c>
      <c r="B740" t="str">
        <f>"004892"</f>
        <v>004892</v>
      </c>
      <c r="C740" t="s">
        <v>221</v>
      </c>
      <c r="D740">
        <v>72010</v>
      </c>
      <c r="E740" s="2">
        <v>25</v>
      </c>
      <c r="F740" s="1">
        <v>42961</v>
      </c>
      <c r="G740" t="s">
        <v>222</v>
      </c>
      <c r="H740" t="s">
        <v>223</v>
      </c>
      <c r="I740" s="2" t="str">
        <f>"RESTITUTION-J HOFFMAN"</f>
        <v>RESTITUTION-J HOFFMAN</v>
      </c>
      <c r="J740" t="str">
        <f>"210-0000"</f>
        <v>210-0000</v>
      </c>
      <c r="K740">
        <v>25</v>
      </c>
    </row>
    <row r="741" spans="1:11" x14ac:dyDescent="0.3">
      <c r="A741" t="str">
        <f t="shared" si="12"/>
        <v>01</v>
      </c>
      <c r="B741" t="str">
        <f>"003677"</f>
        <v>003677</v>
      </c>
      <c r="C741" t="s">
        <v>224</v>
      </c>
      <c r="D741">
        <v>72011</v>
      </c>
      <c r="E741" s="2">
        <v>25</v>
      </c>
      <c r="F741" s="1">
        <v>42961</v>
      </c>
      <c r="G741" t="s">
        <v>196</v>
      </c>
      <c r="H741" t="s">
        <v>225</v>
      </c>
      <c r="I741" s="2" t="str">
        <f>"RESTITUTION-D. SPURK"</f>
        <v>RESTITUTION-D. SPURK</v>
      </c>
      <c r="J741" t="str">
        <f>"210-0000"</f>
        <v>210-0000</v>
      </c>
      <c r="K741">
        <v>25</v>
      </c>
    </row>
    <row r="742" spans="1:11" x14ac:dyDescent="0.3">
      <c r="A742" t="str">
        <f t="shared" si="12"/>
        <v>01</v>
      </c>
      <c r="B742" t="str">
        <f>"T4688"</f>
        <v>T4688</v>
      </c>
      <c r="C742" t="s">
        <v>226</v>
      </c>
      <c r="D742">
        <v>72012</v>
      </c>
      <c r="E742" s="2">
        <v>343.75</v>
      </c>
      <c r="F742" s="1">
        <v>42961</v>
      </c>
      <c r="G742" t="str">
        <f>"4887137"</f>
        <v>4887137</v>
      </c>
      <c r="H742" t="str">
        <f>"REPLACE R F DOOR ASSY/PCT#3"</f>
        <v>REPLACE R F DOOR ASSY/PCT#3</v>
      </c>
      <c r="I742" s="2">
        <v>343.75</v>
      </c>
      <c r="J742" t="str">
        <f>"REPLACE R F DOOR ASSY/PCT#3"</f>
        <v>REPLACE R F DOOR ASSY/PCT#3</v>
      </c>
    </row>
    <row r="743" spans="1:11" x14ac:dyDescent="0.3">
      <c r="A743" t="str">
        <f t="shared" si="12"/>
        <v>01</v>
      </c>
      <c r="B743" t="str">
        <f>"KBTRI"</f>
        <v>KBTRI</v>
      </c>
      <c r="C743" t="s">
        <v>227</v>
      </c>
      <c r="D743">
        <v>72013</v>
      </c>
      <c r="E743" s="2">
        <v>2617</v>
      </c>
      <c r="F743" s="1">
        <v>42961</v>
      </c>
      <c r="G743" t="str">
        <f>"75"</f>
        <v>75</v>
      </c>
      <c r="H743" t="str">
        <f>"TOWER RENT"</f>
        <v>TOWER RENT</v>
      </c>
      <c r="I743" s="2">
        <v>2617</v>
      </c>
      <c r="J743" t="str">
        <f>"TOWER RENT"</f>
        <v>TOWER RENT</v>
      </c>
    </row>
    <row r="744" spans="1:11" x14ac:dyDescent="0.3">
      <c r="A744" t="str">
        <f t="shared" si="12"/>
        <v>01</v>
      </c>
      <c r="B744" t="str">
        <f>"003896"</f>
        <v>003896</v>
      </c>
      <c r="C744" t="s">
        <v>228</v>
      </c>
      <c r="D744">
        <v>72014</v>
      </c>
      <c r="E744" s="2">
        <v>200</v>
      </c>
      <c r="F744" s="1">
        <v>42961</v>
      </c>
      <c r="G744" t="str">
        <f>"201707263856"</f>
        <v>201707263856</v>
      </c>
      <c r="H744" t="str">
        <f>"REIMBURSE-MEALS"</f>
        <v>REIMBURSE-MEALS</v>
      </c>
      <c r="I744" s="2">
        <v>200</v>
      </c>
      <c r="J744" t="str">
        <f>"REIMBURSE-MEALS"</f>
        <v>REIMBURSE-MEALS</v>
      </c>
    </row>
    <row r="745" spans="1:11" x14ac:dyDescent="0.3">
      <c r="A745" t="str">
        <f t="shared" si="12"/>
        <v>01</v>
      </c>
      <c r="B745" t="str">
        <f>"T7006"</f>
        <v>T7006</v>
      </c>
      <c r="C745" t="s">
        <v>229</v>
      </c>
      <c r="D745">
        <v>72015</v>
      </c>
      <c r="E745" s="2">
        <v>5385</v>
      </c>
      <c r="F745" s="1">
        <v>42961</v>
      </c>
      <c r="G745" t="str">
        <f>"18331"</f>
        <v>18331</v>
      </c>
      <c r="H745" t="str">
        <f>"KIMCO SERVICES  INC"</f>
        <v>KIMCO SERVICES  INC</v>
      </c>
      <c r="I745" s="2">
        <v>5385</v>
      </c>
      <c r="J745" t="str">
        <f>"MSA AIRPAKS"</f>
        <v>MSA AIRPAKS</v>
      </c>
    </row>
    <row r="746" spans="1:11" x14ac:dyDescent="0.3">
      <c r="A746" t="str">
        <f t="shared" si="12"/>
        <v>01</v>
      </c>
      <c r="B746" t="str">
        <f>"KFT"</f>
        <v>KFT</v>
      </c>
      <c r="C746" t="s">
        <v>230</v>
      </c>
      <c r="D746">
        <v>72016</v>
      </c>
      <c r="E746" s="2">
        <v>706.96</v>
      </c>
      <c r="F746" s="1">
        <v>42961</v>
      </c>
      <c r="G746" t="str">
        <f>"201708044016"</f>
        <v>201708044016</v>
      </c>
      <c r="H746" t="str">
        <f>"#BASTCO/243877/243889/244050"</f>
        <v>#BASTCO/243877/243889/244050</v>
      </c>
      <c r="I746" s="2">
        <v>410.16</v>
      </c>
      <c r="J746" t="str">
        <f>"#BASTCO/243877/243889/244050"</f>
        <v>#BASTCO/243877/243889/244050</v>
      </c>
    </row>
    <row r="747" spans="1:11" x14ac:dyDescent="0.3">
      <c r="A747" t="str">
        <f>""</f>
        <v/>
      </c>
      <c r="B747" t="str">
        <f>""</f>
        <v/>
      </c>
      <c r="G747" t="str">
        <f>"201708044017"</f>
        <v>201708044017</v>
      </c>
      <c r="H747" t="str">
        <f>"#BASCO3/244036"</f>
        <v>#BASCO3/244036</v>
      </c>
      <c r="I747" s="2">
        <v>296.8</v>
      </c>
      <c r="J747" t="str">
        <f>"#BASCO3/244036"</f>
        <v>#BASCO3/244036</v>
      </c>
    </row>
    <row r="748" spans="1:11" x14ac:dyDescent="0.3">
      <c r="A748" t="str">
        <f>"01"</f>
        <v>01</v>
      </c>
      <c r="B748" t="str">
        <f>"004130"</f>
        <v>004130</v>
      </c>
      <c r="C748" t="s">
        <v>231</v>
      </c>
      <c r="D748">
        <v>72017</v>
      </c>
      <c r="E748" s="2">
        <v>54.45</v>
      </c>
      <c r="F748" s="1">
        <v>42961</v>
      </c>
      <c r="G748" t="str">
        <f>"FOCS134781"</f>
        <v>FOCS134781</v>
      </c>
      <c r="H748" t="str">
        <f>"CUST#31019/DIESEL REPAIR"</f>
        <v>CUST#31019/DIESEL REPAIR</v>
      </c>
      <c r="I748" s="2">
        <v>54.45</v>
      </c>
      <c r="J748" t="str">
        <f>"CUST#31019/DIESEL REPAIR"</f>
        <v>CUST#31019/DIESEL REPAIR</v>
      </c>
    </row>
    <row r="749" spans="1:11" x14ac:dyDescent="0.3">
      <c r="A749" t="str">
        <f>"01"</f>
        <v>01</v>
      </c>
      <c r="B749" t="str">
        <f>"001722"</f>
        <v>001722</v>
      </c>
      <c r="C749" t="s">
        <v>232</v>
      </c>
      <c r="D749">
        <v>72018</v>
      </c>
      <c r="E749" s="2">
        <v>3530.99</v>
      </c>
      <c r="F749" s="1">
        <v>42961</v>
      </c>
      <c r="G749" t="str">
        <f>"07199979"</f>
        <v>07199979</v>
      </c>
      <c r="H749" t="str">
        <f>"FOOD INV07199979"</f>
        <v>FOOD INV07199979</v>
      </c>
      <c r="I749" s="2">
        <v>1439.61</v>
      </c>
      <c r="J749" t="str">
        <f>"FOOD INV07199979"</f>
        <v>FOOD INV07199979</v>
      </c>
    </row>
    <row r="750" spans="1:11" x14ac:dyDescent="0.3">
      <c r="A750" t="str">
        <f>""</f>
        <v/>
      </c>
      <c r="B750" t="str">
        <f>""</f>
        <v/>
      </c>
      <c r="G750" t="str">
        <f>"07269557"</f>
        <v>07269557</v>
      </c>
      <c r="H750" t="str">
        <f>"FOOD INV07269557"</f>
        <v>FOOD INV07269557</v>
      </c>
      <c r="I750" s="2">
        <v>1123.28</v>
      </c>
      <c r="J750" t="str">
        <f>"FOOD INV07269557"</f>
        <v>FOOD INV07269557</v>
      </c>
    </row>
    <row r="751" spans="1:11" x14ac:dyDescent="0.3">
      <c r="A751" t="str">
        <f>""</f>
        <v/>
      </c>
      <c r="B751" t="str">
        <f>""</f>
        <v/>
      </c>
      <c r="G751" t="str">
        <f>"08020376"</f>
        <v>08020376</v>
      </c>
      <c r="H751" t="str">
        <f>"FOOD INV08020376"</f>
        <v>FOOD INV08020376</v>
      </c>
      <c r="I751" s="2">
        <v>968.1</v>
      </c>
      <c r="J751" t="str">
        <f>"FOOD INV08020376"</f>
        <v>FOOD INV08020376</v>
      </c>
    </row>
    <row r="752" spans="1:11" x14ac:dyDescent="0.3">
      <c r="A752" t="str">
        <f>"01"</f>
        <v>01</v>
      </c>
      <c r="B752" t="str">
        <f>"001722"</f>
        <v>001722</v>
      </c>
      <c r="C752" t="s">
        <v>232</v>
      </c>
      <c r="D752">
        <v>72272</v>
      </c>
      <c r="E752" s="2">
        <v>2559.59</v>
      </c>
      <c r="F752" s="1">
        <v>42976</v>
      </c>
      <c r="G752" t="str">
        <f>"08092362"</f>
        <v>08092362</v>
      </c>
      <c r="H752" t="str">
        <f>"INV 08092362"</f>
        <v>INV 08092362</v>
      </c>
      <c r="I752" s="2">
        <v>1050.29</v>
      </c>
      <c r="J752" t="str">
        <f>"INV 08092362"</f>
        <v>INV 08092362</v>
      </c>
    </row>
    <row r="753" spans="1:10" x14ac:dyDescent="0.3">
      <c r="A753" t="str">
        <f>""</f>
        <v/>
      </c>
      <c r="B753" t="str">
        <f>""</f>
        <v/>
      </c>
      <c r="G753" t="str">
        <f>"08167548"</f>
        <v>08167548</v>
      </c>
      <c r="H753" t="str">
        <f>"INV 08167548"</f>
        <v>INV 08167548</v>
      </c>
      <c r="I753" s="2">
        <v>1509.3</v>
      </c>
      <c r="J753" t="str">
        <f>"INV 08167548"</f>
        <v>INV 08167548</v>
      </c>
    </row>
    <row r="754" spans="1:10" x14ac:dyDescent="0.3">
      <c r="A754" t="str">
        <f>"01"</f>
        <v>01</v>
      </c>
      <c r="B754" t="str">
        <f>"000900"</f>
        <v>000900</v>
      </c>
      <c r="C754" t="s">
        <v>233</v>
      </c>
      <c r="D754">
        <v>72019</v>
      </c>
      <c r="E754" s="2">
        <v>2181</v>
      </c>
      <c r="F754" s="1">
        <v>42961</v>
      </c>
      <c r="G754" t="str">
        <f>"259690"</f>
        <v>259690</v>
      </c>
      <c r="H754" t="str">
        <f>"CUST#BASCOU/TIK#1101940/41/42"</f>
        <v>CUST#BASCOU/TIK#1101940/41/42</v>
      </c>
      <c r="I754" s="2">
        <v>2181</v>
      </c>
      <c r="J754" t="str">
        <f>"CUST#BASCOU/TIK#1101940/41/42"</f>
        <v>CUST#BASCOU/TIK#1101940/41/42</v>
      </c>
    </row>
    <row r="755" spans="1:10" x14ac:dyDescent="0.3">
      <c r="A755" t="str">
        <f>"01"</f>
        <v>01</v>
      </c>
      <c r="B755" t="str">
        <f>"T7089"</f>
        <v>T7089</v>
      </c>
      <c r="C755" t="s">
        <v>234</v>
      </c>
      <c r="D755">
        <v>72020</v>
      </c>
      <c r="E755" s="2">
        <v>242.33</v>
      </c>
      <c r="F755" s="1">
        <v>42961</v>
      </c>
      <c r="G755" t="str">
        <f>"201707273876"</f>
        <v>201707273876</v>
      </c>
      <c r="H755" t="str">
        <f>"REIMBURSE TRAVEL EXPENSES"</f>
        <v>REIMBURSE TRAVEL EXPENSES</v>
      </c>
      <c r="I755" s="2">
        <v>242.33</v>
      </c>
      <c r="J755" t="str">
        <f>"REIMBURSE TRAVEL EXPENSES"</f>
        <v>REIMBURSE TRAVEL EXPENSES</v>
      </c>
    </row>
    <row r="756" spans="1:10" x14ac:dyDescent="0.3">
      <c r="A756" t="str">
        <f>"01"</f>
        <v>01</v>
      </c>
      <c r="B756" t="str">
        <f>"002420"</f>
        <v>002420</v>
      </c>
      <c r="C756" t="s">
        <v>235</v>
      </c>
      <c r="D756">
        <v>0</v>
      </c>
      <c r="E756" s="2">
        <v>3072.5</v>
      </c>
      <c r="F756" s="1">
        <v>42961</v>
      </c>
      <c r="G756" t="str">
        <f>"201708074091"</f>
        <v>201708074091</v>
      </c>
      <c r="H756" t="str">
        <f>"16-17785"</f>
        <v>16-17785</v>
      </c>
      <c r="I756" s="2">
        <v>37.5</v>
      </c>
      <c r="J756" t="str">
        <f>"16-17785"</f>
        <v>16-17785</v>
      </c>
    </row>
    <row r="757" spans="1:10" x14ac:dyDescent="0.3">
      <c r="A757" t="str">
        <f>""</f>
        <v/>
      </c>
      <c r="B757" t="str">
        <f>""</f>
        <v/>
      </c>
      <c r="G757" t="str">
        <f>"201708074092"</f>
        <v>201708074092</v>
      </c>
      <c r="H757" t="str">
        <f>"16-17708"</f>
        <v>16-17708</v>
      </c>
      <c r="I757" s="2">
        <v>37.5</v>
      </c>
      <c r="J757" t="str">
        <f>"16-17708"</f>
        <v>16-17708</v>
      </c>
    </row>
    <row r="758" spans="1:10" x14ac:dyDescent="0.3">
      <c r="A758" t="str">
        <f>""</f>
        <v/>
      </c>
      <c r="B758" t="str">
        <f>""</f>
        <v/>
      </c>
      <c r="G758" t="str">
        <f>"201708074093"</f>
        <v>201708074093</v>
      </c>
      <c r="H758" t="str">
        <f>"14-16754"</f>
        <v>14-16754</v>
      </c>
      <c r="I758" s="2">
        <v>352.5</v>
      </c>
      <c r="J758" t="str">
        <f>"14-16754"</f>
        <v>14-16754</v>
      </c>
    </row>
    <row r="759" spans="1:10" x14ac:dyDescent="0.3">
      <c r="A759" t="str">
        <f>""</f>
        <v/>
      </c>
      <c r="B759" t="str">
        <f>""</f>
        <v/>
      </c>
      <c r="G759" t="str">
        <f>"201708074094"</f>
        <v>201708074094</v>
      </c>
      <c r="H759" t="str">
        <f>"16-18010"</f>
        <v>16-18010</v>
      </c>
      <c r="I759" s="2">
        <v>60</v>
      </c>
      <c r="J759" t="str">
        <f>"16-18010"</f>
        <v>16-18010</v>
      </c>
    </row>
    <row r="760" spans="1:10" x14ac:dyDescent="0.3">
      <c r="A760" t="str">
        <f>""</f>
        <v/>
      </c>
      <c r="B760" t="str">
        <f>""</f>
        <v/>
      </c>
      <c r="G760" t="str">
        <f>"201708074095"</f>
        <v>201708074095</v>
      </c>
      <c r="H760" t="str">
        <f>"16-17760"</f>
        <v>16-17760</v>
      </c>
      <c r="I760" s="2">
        <v>82.5</v>
      </c>
      <c r="J760" t="str">
        <f>"16-17760"</f>
        <v>16-17760</v>
      </c>
    </row>
    <row r="761" spans="1:10" x14ac:dyDescent="0.3">
      <c r="A761" t="str">
        <f>""</f>
        <v/>
      </c>
      <c r="B761" t="str">
        <f>""</f>
        <v/>
      </c>
      <c r="G761" t="str">
        <f>"201708074096"</f>
        <v>201708074096</v>
      </c>
      <c r="H761" t="str">
        <f>"423-2783"</f>
        <v>423-2783</v>
      </c>
      <c r="I761" s="2">
        <v>547.5</v>
      </c>
      <c r="J761" t="str">
        <f>"423-2783"</f>
        <v>423-2783</v>
      </c>
    </row>
    <row r="762" spans="1:10" x14ac:dyDescent="0.3">
      <c r="A762" t="str">
        <f>""</f>
        <v/>
      </c>
      <c r="B762" t="str">
        <f>""</f>
        <v/>
      </c>
      <c r="G762" t="str">
        <f>"201708074097"</f>
        <v>201708074097</v>
      </c>
      <c r="H762" t="str">
        <f>"423-2288"</f>
        <v>423-2288</v>
      </c>
      <c r="I762" s="2">
        <v>30</v>
      </c>
      <c r="J762" t="str">
        <f>"423-2288"</f>
        <v>423-2288</v>
      </c>
    </row>
    <row r="763" spans="1:10" x14ac:dyDescent="0.3">
      <c r="A763" t="str">
        <f>""</f>
        <v/>
      </c>
      <c r="B763" t="str">
        <f>""</f>
        <v/>
      </c>
      <c r="G763" t="str">
        <f>"201708074098"</f>
        <v>201708074098</v>
      </c>
      <c r="H763" t="str">
        <f>"423-2403"</f>
        <v>423-2403</v>
      </c>
      <c r="I763" s="2">
        <v>37.5</v>
      </c>
      <c r="J763" t="str">
        <f>"423-2403"</f>
        <v>423-2403</v>
      </c>
    </row>
    <row r="764" spans="1:10" x14ac:dyDescent="0.3">
      <c r="A764" t="str">
        <f>""</f>
        <v/>
      </c>
      <c r="B764" t="str">
        <f>""</f>
        <v/>
      </c>
      <c r="G764" t="str">
        <f>"201708094231"</f>
        <v>201708094231</v>
      </c>
      <c r="H764" t="str">
        <f>"16-18067"</f>
        <v>16-18067</v>
      </c>
      <c r="I764" s="2">
        <v>135</v>
      </c>
      <c r="J764" t="str">
        <f>"16-18067"</f>
        <v>16-18067</v>
      </c>
    </row>
    <row r="765" spans="1:10" x14ac:dyDescent="0.3">
      <c r="A765" t="str">
        <f>""</f>
        <v/>
      </c>
      <c r="B765" t="str">
        <f>""</f>
        <v/>
      </c>
      <c r="G765" t="str">
        <f>"201708094232"</f>
        <v>201708094232</v>
      </c>
      <c r="H765" t="str">
        <f>"14-16754"</f>
        <v>14-16754</v>
      </c>
      <c r="I765" s="2">
        <v>240</v>
      </c>
      <c r="J765" t="str">
        <f>"14-16754"</f>
        <v>14-16754</v>
      </c>
    </row>
    <row r="766" spans="1:10" x14ac:dyDescent="0.3">
      <c r="A766" t="str">
        <f>""</f>
        <v/>
      </c>
      <c r="B766" t="str">
        <f>""</f>
        <v/>
      </c>
      <c r="G766" t="str">
        <f>"201708094233"</f>
        <v>201708094233</v>
      </c>
      <c r="H766" t="str">
        <f>"08-13005"</f>
        <v>08-13005</v>
      </c>
      <c r="I766" s="2">
        <v>202.5</v>
      </c>
      <c r="J766" t="str">
        <f>"08-13005"</f>
        <v>08-13005</v>
      </c>
    </row>
    <row r="767" spans="1:10" x14ac:dyDescent="0.3">
      <c r="A767" t="str">
        <f>""</f>
        <v/>
      </c>
      <c r="B767" t="str">
        <f>""</f>
        <v/>
      </c>
      <c r="G767" t="str">
        <f>"201708094234"</f>
        <v>201708094234</v>
      </c>
      <c r="H767" t="str">
        <f>"16-17760"</f>
        <v>16-17760</v>
      </c>
      <c r="I767" s="2">
        <v>100</v>
      </c>
      <c r="J767" t="str">
        <f>"16-17760"</f>
        <v>16-17760</v>
      </c>
    </row>
    <row r="768" spans="1:10" x14ac:dyDescent="0.3">
      <c r="A768" t="str">
        <f>""</f>
        <v/>
      </c>
      <c r="B768" t="str">
        <f>""</f>
        <v/>
      </c>
      <c r="G768" t="str">
        <f>"201708094235"</f>
        <v>201708094235</v>
      </c>
      <c r="H768" t="str">
        <f>"16-18010"</f>
        <v>16-18010</v>
      </c>
      <c r="I768" s="2">
        <v>60</v>
      </c>
      <c r="J768" t="str">
        <f>"16-18010"</f>
        <v>16-18010</v>
      </c>
    </row>
    <row r="769" spans="1:10" x14ac:dyDescent="0.3">
      <c r="A769" t="str">
        <f>""</f>
        <v/>
      </c>
      <c r="B769" t="str">
        <f>""</f>
        <v/>
      </c>
      <c r="G769" t="str">
        <f>"201708094236"</f>
        <v>201708094236</v>
      </c>
      <c r="H769" t="str">
        <f>"17-18493"</f>
        <v>17-18493</v>
      </c>
      <c r="I769" s="2">
        <v>337.5</v>
      </c>
      <c r="J769" t="str">
        <f>"17-18493"</f>
        <v>17-18493</v>
      </c>
    </row>
    <row r="770" spans="1:10" x14ac:dyDescent="0.3">
      <c r="A770" t="str">
        <f>""</f>
        <v/>
      </c>
      <c r="B770" t="str">
        <f>""</f>
        <v/>
      </c>
      <c r="G770" t="str">
        <f>"201708094237"</f>
        <v>201708094237</v>
      </c>
      <c r="H770" t="str">
        <f>"17-18525"</f>
        <v>17-18525</v>
      </c>
      <c r="I770" s="2">
        <v>325</v>
      </c>
      <c r="J770" t="str">
        <f>"17-18525"</f>
        <v>17-18525</v>
      </c>
    </row>
    <row r="771" spans="1:10" x14ac:dyDescent="0.3">
      <c r="A771" t="str">
        <f>""</f>
        <v/>
      </c>
      <c r="B771" t="str">
        <f>""</f>
        <v/>
      </c>
      <c r="G771" t="str">
        <f>"201708094238"</f>
        <v>201708094238</v>
      </c>
      <c r="H771" t="str">
        <f>"03-12875"</f>
        <v>03-12875</v>
      </c>
      <c r="I771" s="2">
        <v>300</v>
      </c>
      <c r="J771" t="str">
        <f>"03-12875"</f>
        <v>03-12875</v>
      </c>
    </row>
    <row r="772" spans="1:10" x14ac:dyDescent="0.3">
      <c r="A772" t="str">
        <f>""</f>
        <v/>
      </c>
      <c r="B772" t="str">
        <f>""</f>
        <v/>
      </c>
      <c r="G772" t="str">
        <f>"201708094272"</f>
        <v>201708094272</v>
      </c>
      <c r="H772" t="str">
        <f>"16-18067"</f>
        <v>16-18067</v>
      </c>
      <c r="I772" s="2">
        <v>187.5</v>
      </c>
      <c r="J772" t="str">
        <f>"16-18067"</f>
        <v>16-18067</v>
      </c>
    </row>
    <row r="773" spans="1:10" x14ac:dyDescent="0.3">
      <c r="A773" t="str">
        <f>"01"</f>
        <v>01</v>
      </c>
      <c r="B773" t="str">
        <f>"002420"</f>
        <v>002420</v>
      </c>
      <c r="C773" t="s">
        <v>235</v>
      </c>
      <c r="D773">
        <v>0</v>
      </c>
      <c r="E773" s="2">
        <v>250</v>
      </c>
      <c r="F773" s="1">
        <v>42975</v>
      </c>
      <c r="G773" t="str">
        <f>"201708224338"</f>
        <v>201708224338</v>
      </c>
      <c r="H773" t="str">
        <f>"423-2783"</f>
        <v>423-2783</v>
      </c>
      <c r="I773" s="2">
        <v>127.5</v>
      </c>
      <c r="J773" t="str">
        <f>"423-2783"</f>
        <v>423-2783</v>
      </c>
    </row>
    <row r="774" spans="1:10" x14ac:dyDescent="0.3">
      <c r="A774" t="str">
        <f>""</f>
        <v/>
      </c>
      <c r="B774" t="str">
        <f>""</f>
        <v/>
      </c>
      <c r="G774" t="str">
        <f>"201708224339"</f>
        <v>201708224339</v>
      </c>
      <c r="H774" t="str">
        <f>"423-2288"</f>
        <v>423-2288</v>
      </c>
      <c r="I774" s="2">
        <v>122.5</v>
      </c>
      <c r="J774" t="str">
        <f>"423-2288"</f>
        <v>423-2288</v>
      </c>
    </row>
    <row r="775" spans="1:10" x14ac:dyDescent="0.3">
      <c r="A775" t="str">
        <f>"01"</f>
        <v>01</v>
      </c>
      <c r="B775" t="str">
        <f>"T11826"</f>
        <v>T11826</v>
      </c>
      <c r="C775" t="s">
        <v>236</v>
      </c>
      <c r="D775">
        <v>72021</v>
      </c>
      <c r="E775" s="2">
        <v>313.56</v>
      </c>
      <c r="F775" s="1">
        <v>42961</v>
      </c>
      <c r="G775" t="str">
        <f>"201707283887"</f>
        <v>201707283887</v>
      </c>
      <c r="H775" t="str">
        <f>"TIRE SVCS/PCT#4"</f>
        <v>TIRE SVCS/PCT#4</v>
      </c>
      <c r="I775" s="2">
        <v>313.56</v>
      </c>
      <c r="J775" t="str">
        <f>"TIRE SVCS/PCT#4"</f>
        <v>TIRE SVCS/PCT#4</v>
      </c>
    </row>
    <row r="776" spans="1:10" x14ac:dyDescent="0.3">
      <c r="A776" t="str">
        <f>"01"</f>
        <v>01</v>
      </c>
      <c r="B776" t="str">
        <f>"T11826"</f>
        <v>T11826</v>
      </c>
      <c r="C776" t="s">
        <v>236</v>
      </c>
      <c r="D776">
        <v>72273</v>
      </c>
      <c r="E776" s="2">
        <v>155</v>
      </c>
      <c r="F776" s="1">
        <v>42976</v>
      </c>
      <c r="G776" t="str">
        <f>"201708224369"</f>
        <v>201708224369</v>
      </c>
      <c r="H776" t="str">
        <f>"TIRE SERVICES/PCT#4"</f>
        <v>TIRE SERVICES/PCT#4</v>
      </c>
      <c r="I776" s="2">
        <v>155</v>
      </c>
      <c r="J776" t="str">
        <f>"TIRE SERVICES/PCT#4"</f>
        <v>TIRE SERVICES/PCT#4</v>
      </c>
    </row>
    <row r="777" spans="1:10" x14ac:dyDescent="0.3">
      <c r="A777" t="str">
        <f>"01"</f>
        <v>01</v>
      </c>
      <c r="B777" t="str">
        <f>"T9279"</f>
        <v>T9279</v>
      </c>
      <c r="C777" t="s">
        <v>237</v>
      </c>
      <c r="D777">
        <v>71892</v>
      </c>
      <c r="E777" s="2">
        <v>100.5</v>
      </c>
      <c r="F777" s="1">
        <v>42948</v>
      </c>
      <c r="G777" t="str">
        <f>"201707313963"</f>
        <v>201707313963</v>
      </c>
      <c r="H777" t="str">
        <f>"ACCT #1-09-00072-02"</f>
        <v>ACCT #1-09-00072-02</v>
      </c>
      <c r="I777" s="2">
        <v>50.25</v>
      </c>
      <c r="J777" t="str">
        <f>"ACCT #1-09-00072-02"</f>
        <v>ACCT #1-09-00072-02</v>
      </c>
    </row>
    <row r="778" spans="1:10" x14ac:dyDescent="0.3">
      <c r="A778" t="str">
        <f>""</f>
        <v/>
      </c>
      <c r="B778" t="str">
        <f>""</f>
        <v/>
      </c>
      <c r="G778" t="str">
        <f>"201707313964"</f>
        <v>201707313964</v>
      </c>
      <c r="H778" t="str">
        <f>"ACCT #3-09-00175-03"</f>
        <v>ACCT #3-09-00175-03</v>
      </c>
      <c r="I778" s="2">
        <v>50.25</v>
      </c>
      <c r="J778" t="str">
        <f>"LEE COUNTY WATER SUPPLY CORP"</f>
        <v>LEE COUNTY WATER SUPPLY CORP</v>
      </c>
    </row>
    <row r="779" spans="1:10" x14ac:dyDescent="0.3">
      <c r="A779" t="str">
        <f>"01"</f>
        <v>01</v>
      </c>
      <c r="B779" t="str">
        <f>"004538"</f>
        <v>004538</v>
      </c>
      <c r="C779" t="s">
        <v>238</v>
      </c>
      <c r="D779">
        <v>72274</v>
      </c>
      <c r="E779" s="2">
        <v>47.61</v>
      </c>
      <c r="F779" s="1">
        <v>42976</v>
      </c>
      <c r="G779" t="str">
        <f>"201708234380"</f>
        <v>201708234380</v>
      </c>
      <c r="H779" t="str">
        <f>"MILEAGE REIMBURSEMENT"</f>
        <v>MILEAGE REIMBURSEMENT</v>
      </c>
      <c r="I779" s="2">
        <v>47.61</v>
      </c>
      <c r="J779" t="str">
        <f>"MILEAGE REIMBURSEMENT"</f>
        <v>MILEAGE REIMBURSEMENT</v>
      </c>
    </row>
    <row r="780" spans="1:10" x14ac:dyDescent="0.3">
      <c r="A780" t="str">
        <f>"01"</f>
        <v>01</v>
      </c>
      <c r="B780" t="str">
        <f>"001530"</f>
        <v>001530</v>
      </c>
      <c r="C780" t="s">
        <v>239</v>
      </c>
      <c r="D780">
        <v>72022</v>
      </c>
      <c r="E780" s="2">
        <v>661.45</v>
      </c>
      <c r="F780" s="1">
        <v>42961</v>
      </c>
      <c r="G780" t="str">
        <f>"1211621-20170731"</f>
        <v>1211621-20170731</v>
      </c>
      <c r="H780" t="str">
        <f>"BILLING#1211621/JULY 2017"</f>
        <v>BILLING#1211621/JULY 2017</v>
      </c>
      <c r="I780" s="2">
        <v>50</v>
      </c>
      <c r="J780" t="str">
        <f>"BILLING#1211621/JULY 2017"</f>
        <v>BILLING#1211621/JULY 2017</v>
      </c>
    </row>
    <row r="781" spans="1:10" x14ac:dyDescent="0.3">
      <c r="A781" t="str">
        <f>""</f>
        <v/>
      </c>
      <c r="B781" t="str">
        <f>""</f>
        <v/>
      </c>
      <c r="G781" t="str">
        <f>"1361725-20170731"</f>
        <v>1361725-20170731</v>
      </c>
      <c r="H781" t="str">
        <f>"BILL ID#1361725/INDIGENT HLTH"</f>
        <v>BILL ID#1361725/INDIGENT HLTH</v>
      </c>
      <c r="I781" s="2">
        <v>171.45</v>
      </c>
      <c r="J781" t="str">
        <f>"BILL ID#1361725/INDIGENT HLTH"</f>
        <v>BILL ID#1361725/INDIGENT HLTH</v>
      </c>
    </row>
    <row r="782" spans="1:10" x14ac:dyDescent="0.3">
      <c r="A782" t="str">
        <f>""</f>
        <v/>
      </c>
      <c r="B782" t="str">
        <f>""</f>
        <v/>
      </c>
      <c r="G782" t="str">
        <f>"1394645-20170731"</f>
        <v>1394645-20170731</v>
      </c>
      <c r="H782" t="str">
        <f>"BILLING ID#1394645/CNTY CLERK"</f>
        <v>BILLING ID#1394645/CNTY CLERK</v>
      </c>
      <c r="I782" s="2">
        <v>100</v>
      </c>
      <c r="J782" t="str">
        <f>"BILLING ID#1394645/CNTY CLERK"</f>
        <v>BILLING ID#1394645/CNTY CLERK</v>
      </c>
    </row>
    <row r="783" spans="1:10" x14ac:dyDescent="0.3">
      <c r="A783" t="str">
        <f>""</f>
        <v/>
      </c>
      <c r="B783" t="str">
        <f>""</f>
        <v/>
      </c>
      <c r="G783" t="str">
        <f>"1420944-20170731"</f>
        <v>1420944-20170731</v>
      </c>
      <c r="H783" t="str">
        <f>"BILL#1420944/INDIGENT"</f>
        <v>BILL#1420944/INDIGENT</v>
      </c>
      <c r="I783" s="2">
        <v>290</v>
      </c>
      <c r="J783" t="str">
        <f>"BILL#1420944/INDIGENT"</f>
        <v>BILL#1420944/INDIGENT</v>
      </c>
    </row>
    <row r="784" spans="1:10" x14ac:dyDescent="0.3">
      <c r="A784" t="str">
        <f>""</f>
        <v/>
      </c>
      <c r="B784" t="str">
        <f>""</f>
        <v/>
      </c>
      <c r="G784" t="str">
        <f>"1489870-20170731"</f>
        <v>1489870-20170731</v>
      </c>
      <c r="H784" t="str">
        <f>"BILLING ID#1489870/JULY 2017"</f>
        <v>BILLING ID#1489870/JULY 2017</v>
      </c>
      <c r="I784" s="2">
        <v>50</v>
      </c>
      <c r="J784" t="str">
        <f>"BILLING ID#1489870/JULY 2017"</f>
        <v>BILLING ID#1489870/JULY 2017</v>
      </c>
    </row>
    <row r="785" spans="1:11" x14ac:dyDescent="0.3">
      <c r="A785" t="str">
        <f>"01"</f>
        <v>01</v>
      </c>
      <c r="B785" t="str">
        <f>"001530"</f>
        <v>001530</v>
      </c>
      <c r="C785" t="s">
        <v>239</v>
      </c>
      <c r="D785">
        <v>72275</v>
      </c>
      <c r="E785" s="2">
        <v>50</v>
      </c>
      <c r="F785" s="1">
        <v>42976</v>
      </c>
      <c r="G785" t="str">
        <f>"1489870-20170131"</f>
        <v>1489870-20170131</v>
      </c>
      <c r="H785" t="str">
        <f>"ID#1489870/DISTRICT CLERK"</f>
        <v>ID#1489870/DISTRICT CLERK</v>
      </c>
      <c r="I785" s="2">
        <v>50</v>
      </c>
      <c r="J785" t="str">
        <f>"ID#1489870/DISTRICT CLERK"</f>
        <v>ID#1489870/DISTRICT CLERK</v>
      </c>
    </row>
    <row r="786" spans="1:11" x14ac:dyDescent="0.3">
      <c r="A786" t="str">
        <f>"01"</f>
        <v>01</v>
      </c>
      <c r="B786" t="str">
        <f>"000684"</f>
        <v>000684</v>
      </c>
      <c r="C786" t="s">
        <v>240</v>
      </c>
      <c r="D786">
        <v>72023</v>
      </c>
      <c r="E786" s="2">
        <v>969.66</v>
      </c>
      <c r="F786" s="1">
        <v>42961</v>
      </c>
      <c r="G786" t="str">
        <f>"1177658"</f>
        <v>1177658</v>
      </c>
      <c r="H786" t="str">
        <f>"ACCT#15717/TIRE SVCS"</f>
        <v>ACCT#15717/TIRE SVCS</v>
      </c>
      <c r="I786" s="2">
        <v>969.66</v>
      </c>
      <c r="J786" t="str">
        <f>"ACCT#15717/TIRE SVCS"</f>
        <v>ACCT#15717/TIRE SVCS</v>
      </c>
    </row>
    <row r="787" spans="1:11" x14ac:dyDescent="0.3">
      <c r="A787" t="str">
        <f>"01"</f>
        <v>01</v>
      </c>
      <c r="B787" t="str">
        <f>"000684"</f>
        <v>000684</v>
      </c>
      <c r="C787" t="s">
        <v>240</v>
      </c>
      <c r="D787">
        <v>72276</v>
      </c>
      <c r="E787" s="2">
        <v>217.13</v>
      </c>
      <c r="F787" s="1">
        <v>42976</v>
      </c>
      <c r="G787" t="str">
        <f>"1194012"</f>
        <v>1194012</v>
      </c>
      <c r="H787" t="str">
        <f>"ACCT#15717/WO#0004144240"</f>
        <v>ACCT#15717/WO#0004144240</v>
      </c>
      <c r="I787" s="2">
        <v>217.13</v>
      </c>
      <c r="J787" t="str">
        <f>"ACCT#15717/WO#0004144240"</f>
        <v>ACCT#15717/WO#0004144240</v>
      </c>
    </row>
    <row r="788" spans="1:11" x14ac:dyDescent="0.3">
      <c r="A788" t="str">
        <f>"01"</f>
        <v>01</v>
      </c>
      <c r="B788" t="str">
        <f>"005172"</f>
        <v>005172</v>
      </c>
      <c r="C788" t="s">
        <v>241</v>
      </c>
      <c r="D788">
        <v>72024</v>
      </c>
      <c r="E788" s="2">
        <v>458</v>
      </c>
      <c r="F788" s="1">
        <v>42961</v>
      </c>
      <c r="G788" t="str">
        <f>"TRAINING"</f>
        <v>TRAINING</v>
      </c>
      <c r="H788" t="str">
        <f>"TRAINING"</f>
        <v>TRAINING</v>
      </c>
      <c r="I788" s="2">
        <v>458</v>
      </c>
      <c r="J788" t="str">
        <f>"PAULINE CROWLEY"</f>
        <v>PAULINE CROWLEY</v>
      </c>
    </row>
    <row r="789" spans="1:11" x14ac:dyDescent="0.3">
      <c r="A789" t="str">
        <f>""</f>
        <v/>
      </c>
      <c r="B789" t="str">
        <f>""</f>
        <v/>
      </c>
      <c r="G789" t="str">
        <f>""</f>
        <v/>
      </c>
      <c r="H789" t="str">
        <f>""</f>
        <v/>
      </c>
      <c r="J789" t="str">
        <f>"ROGER STOPPELBERG"</f>
        <v>ROGER STOPPELBERG</v>
      </c>
    </row>
    <row r="790" spans="1:11" x14ac:dyDescent="0.3">
      <c r="A790" t="str">
        <f>"01"</f>
        <v>01</v>
      </c>
      <c r="B790" t="str">
        <f>"T11113"</f>
        <v>T11113</v>
      </c>
      <c r="C790" t="s">
        <v>242</v>
      </c>
      <c r="D790">
        <v>0</v>
      </c>
      <c r="E790" s="2">
        <v>7.5</v>
      </c>
      <c r="F790" s="1">
        <v>42961</v>
      </c>
      <c r="G790" t="str">
        <f>"201708094267"</f>
        <v>201708094267</v>
      </c>
      <c r="H790" t="str">
        <f>"VEHICLE REGISTRATIONS-SHERIFF"</f>
        <v>VEHICLE REGISTRATIONS-SHERIFF</v>
      </c>
      <c r="I790" s="2">
        <v>7.5</v>
      </c>
      <c r="J790" t="str">
        <f>"VEHICLE REGISTRATIONS-SHERIFF"</f>
        <v>VEHICLE REGISTRATIONS-SHERIFF</v>
      </c>
    </row>
    <row r="791" spans="1:11" x14ac:dyDescent="0.3">
      <c r="A791" t="str">
        <f>"01"</f>
        <v>01</v>
      </c>
      <c r="B791" t="str">
        <f>"T11113"</f>
        <v>T11113</v>
      </c>
      <c r="C791" t="s">
        <v>242</v>
      </c>
      <c r="D791">
        <v>0</v>
      </c>
      <c r="E791" s="2">
        <v>15</v>
      </c>
      <c r="F791" s="1">
        <v>42975</v>
      </c>
      <c r="G791" t="str">
        <f>"201708214303"</f>
        <v>201708214303</v>
      </c>
      <c r="H791" t="str">
        <f>"2014 FORD PK/GEN SVCS"</f>
        <v>2014 FORD PK/GEN SVCS</v>
      </c>
      <c r="I791" s="2">
        <v>7.5</v>
      </c>
      <c r="J791" t="str">
        <f>"2014 FORD PK/GEN SVCS"</f>
        <v>2014 FORD PK/GEN SVCS</v>
      </c>
    </row>
    <row r="792" spans="1:11" x14ac:dyDescent="0.3">
      <c r="A792" t="str">
        <f>""</f>
        <v/>
      </c>
      <c r="B792" t="str">
        <f>""</f>
        <v/>
      </c>
      <c r="G792" t="str">
        <f>"201708214306"</f>
        <v>201708214306</v>
      </c>
      <c r="H792" t="str">
        <f>"2011 FRHT/REGISTRATION/PCT#2"</f>
        <v>2011 FRHT/REGISTRATION/PCT#2</v>
      </c>
      <c r="I792" s="2">
        <v>7.5</v>
      </c>
      <c r="J792" t="str">
        <f>"2011 FRHT/REGISTRATION/PCT#2"</f>
        <v>2011 FRHT/REGISTRATION/PCT#2</v>
      </c>
    </row>
    <row r="793" spans="1:11" x14ac:dyDescent="0.3">
      <c r="A793" t="str">
        <f>"01"</f>
        <v>01</v>
      </c>
      <c r="B793" t="str">
        <f>"T12652"</f>
        <v>T12652</v>
      </c>
      <c r="C793" t="s">
        <v>243</v>
      </c>
      <c r="D793">
        <v>72025</v>
      </c>
      <c r="E793" s="2">
        <v>1000</v>
      </c>
      <c r="F793" s="1">
        <v>42961</v>
      </c>
      <c r="G793" t="str">
        <f>"201708094241"</f>
        <v>201708094241</v>
      </c>
      <c r="H793" t="str">
        <f>"54 300"</f>
        <v>54 300</v>
      </c>
      <c r="I793" s="2">
        <v>250</v>
      </c>
      <c r="J793" t="str">
        <f>"54 300"</f>
        <v>54 300</v>
      </c>
    </row>
    <row r="794" spans="1:11" x14ac:dyDescent="0.3">
      <c r="A794" t="str">
        <f>""</f>
        <v/>
      </c>
      <c r="B794" t="str">
        <f>""</f>
        <v/>
      </c>
      <c r="G794" t="str">
        <f>"201708094264"</f>
        <v>201708094264</v>
      </c>
      <c r="H794" t="str">
        <f>"54 588"</f>
        <v>54 588</v>
      </c>
      <c r="I794" s="2">
        <v>250</v>
      </c>
      <c r="J794" t="str">
        <f>"54 588"</f>
        <v>54 588</v>
      </c>
    </row>
    <row r="795" spans="1:11" x14ac:dyDescent="0.3">
      <c r="A795" t="str">
        <f>""</f>
        <v/>
      </c>
      <c r="B795" t="str">
        <f>""</f>
        <v/>
      </c>
      <c r="G795" t="str">
        <f>"201708094265"</f>
        <v>201708094265</v>
      </c>
      <c r="H795" t="str">
        <f>"54 931"</f>
        <v>54 931</v>
      </c>
      <c r="I795" s="2">
        <v>250</v>
      </c>
      <c r="J795" t="str">
        <f>"54 931"</f>
        <v>54 931</v>
      </c>
    </row>
    <row r="796" spans="1:11" x14ac:dyDescent="0.3">
      <c r="A796" t="str">
        <f>""</f>
        <v/>
      </c>
      <c r="B796" t="str">
        <f>""</f>
        <v/>
      </c>
      <c r="G796" t="str">
        <f>"201708094266"</f>
        <v>201708094266</v>
      </c>
      <c r="H796" t="str">
        <f>"54 905"</f>
        <v>54 905</v>
      </c>
      <c r="I796" s="2">
        <v>250</v>
      </c>
      <c r="J796" t="str">
        <f>"54 905"</f>
        <v>54 905</v>
      </c>
    </row>
    <row r="797" spans="1:11" x14ac:dyDescent="0.3">
      <c r="A797" t="str">
        <f>"01"</f>
        <v>01</v>
      </c>
      <c r="B797" t="str">
        <f>"002437"</f>
        <v>002437</v>
      </c>
      <c r="C797" t="s">
        <v>244</v>
      </c>
      <c r="D797">
        <v>72277</v>
      </c>
      <c r="E797" s="2">
        <v>75</v>
      </c>
      <c r="F797" s="1">
        <v>42976</v>
      </c>
      <c r="G797" t="s">
        <v>64</v>
      </c>
      <c r="H797" t="s">
        <v>188</v>
      </c>
      <c r="I797" s="2" t="str">
        <f>"SERVICE 6/15/17"</f>
        <v>SERVICE 6/15/17</v>
      </c>
      <c r="J797" t="str">
        <f>"995-4110"</f>
        <v>995-4110</v>
      </c>
      <c r="K797">
        <v>75</v>
      </c>
    </row>
    <row r="798" spans="1:11" x14ac:dyDescent="0.3">
      <c r="A798" t="str">
        <f>"01"</f>
        <v>01</v>
      </c>
      <c r="B798" t="str">
        <f>"004851"</f>
        <v>004851</v>
      </c>
      <c r="C798" t="s">
        <v>245</v>
      </c>
      <c r="D798">
        <v>72026</v>
      </c>
      <c r="E798" s="2">
        <v>846.04</v>
      </c>
      <c r="F798" s="1">
        <v>42961</v>
      </c>
      <c r="G798" t="str">
        <f>"201708094166"</f>
        <v>201708094166</v>
      </c>
      <c r="H798" t="str">
        <f>"INDIGENT HEALTH"</f>
        <v>INDIGENT HEALTH</v>
      </c>
      <c r="I798" s="2">
        <v>846.04</v>
      </c>
      <c r="J798" t="str">
        <f>"INDIGENT HEALTH"</f>
        <v>INDIGENT HEALTH</v>
      </c>
    </row>
    <row r="799" spans="1:11" x14ac:dyDescent="0.3">
      <c r="A799" t="str">
        <f>""</f>
        <v/>
      </c>
      <c r="B799" t="str">
        <f>""</f>
        <v/>
      </c>
      <c r="G799" t="str">
        <f>""</f>
        <v/>
      </c>
      <c r="H799" t="str">
        <f>""</f>
        <v/>
      </c>
      <c r="J799" t="str">
        <f>"INDIGENT HEALTH"</f>
        <v>INDIGENT HEALTH</v>
      </c>
    </row>
    <row r="800" spans="1:11" x14ac:dyDescent="0.3">
      <c r="A800" t="str">
        <f>"01"</f>
        <v>01</v>
      </c>
      <c r="B800" t="str">
        <f>"004851"</f>
        <v>004851</v>
      </c>
      <c r="C800" t="s">
        <v>245</v>
      </c>
      <c r="D800">
        <v>72278</v>
      </c>
      <c r="E800" s="2">
        <v>479.37</v>
      </c>
      <c r="F800" s="1">
        <v>42976</v>
      </c>
      <c r="G800" t="str">
        <f>"201708234398"</f>
        <v>201708234398</v>
      </c>
      <c r="H800" t="str">
        <f>"INDIGENT HEALTH"</f>
        <v>INDIGENT HEALTH</v>
      </c>
      <c r="I800" s="2">
        <v>479.37</v>
      </c>
      <c r="J800" t="str">
        <f>"INDIGENT HEALTH"</f>
        <v>INDIGENT HEALTH</v>
      </c>
    </row>
    <row r="801" spans="1:10" x14ac:dyDescent="0.3">
      <c r="A801" t="str">
        <f>"01"</f>
        <v>01</v>
      </c>
      <c r="B801" t="str">
        <f>"004557"</f>
        <v>004557</v>
      </c>
      <c r="C801" t="s">
        <v>246</v>
      </c>
      <c r="D801">
        <v>72279</v>
      </c>
      <c r="E801" s="2">
        <v>693.28</v>
      </c>
      <c r="F801" s="1">
        <v>42976</v>
      </c>
      <c r="G801" t="str">
        <f>"LS-176556"</f>
        <v>LS-176556</v>
      </c>
      <c r="H801" t="str">
        <f>"INV LS-176556-BCSO"</f>
        <v>INV LS-176556-BCSO</v>
      </c>
      <c r="I801" s="2">
        <v>693.28</v>
      </c>
      <c r="J801" t="str">
        <f>"INV LS-176556-BCSO"</f>
        <v>INV LS-176556-BCSO</v>
      </c>
    </row>
    <row r="802" spans="1:10" x14ac:dyDescent="0.3">
      <c r="A802" t="str">
        <f>"01"</f>
        <v>01</v>
      </c>
      <c r="B802" t="str">
        <f>"004109"</f>
        <v>004109</v>
      </c>
      <c r="C802" t="s">
        <v>247</v>
      </c>
      <c r="D802">
        <v>72280</v>
      </c>
      <c r="E802" s="2">
        <v>76.06</v>
      </c>
      <c r="F802" s="1">
        <v>42976</v>
      </c>
      <c r="G802" t="str">
        <f>"201708234399"</f>
        <v>201708234399</v>
      </c>
      <c r="H802" t="str">
        <f>"INDIGENT HEALTH"</f>
        <v>INDIGENT HEALTH</v>
      </c>
      <c r="I802" s="2">
        <v>76.06</v>
      </c>
      <c r="J802" t="str">
        <f>"INDIGENT HEALTH"</f>
        <v>INDIGENT HEALTH</v>
      </c>
    </row>
    <row r="803" spans="1:10" x14ac:dyDescent="0.3">
      <c r="A803" t="str">
        <f>"01"</f>
        <v>01</v>
      </c>
      <c r="B803" t="str">
        <f>"LIE"</f>
        <v>LIE</v>
      </c>
      <c r="C803" t="s">
        <v>248</v>
      </c>
      <c r="D803">
        <v>72027</v>
      </c>
      <c r="E803" s="2">
        <v>1712.58</v>
      </c>
      <c r="F803" s="1">
        <v>42961</v>
      </c>
      <c r="G803" t="str">
        <f>"CM1014774"</f>
        <v>CM1014774</v>
      </c>
      <c r="H803" t="str">
        <f>"ACCT#4360/PCT#2"</f>
        <v>ACCT#4360/PCT#2</v>
      </c>
      <c r="I803" s="2">
        <v>-65</v>
      </c>
      <c r="J803" t="str">
        <f>"ACCT#4360/PCT#2"</f>
        <v>ACCT#4360/PCT#2</v>
      </c>
    </row>
    <row r="804" spans="1:10" x14ac:dyDescent="0.3">
      <c r="A804" t="str">
        <f>""</f>
        <v/>
      </c>
      <c r="B804" t="str">
        <f>""</f>
        <v/>
      </c>
      <c r="G804" t="str">
        <f>"1015973"</f>
        <v>1015973</v>
      </c>
      <c r="H804" t="str">
        <f>"ACCT#4358/PCT#2"</f>
        <v>ACCT#4358/PCT#2</v>
      </c>
      <c r="I804" s="2">
        <v>1542.94</v>
      </c>
      <c r="J804" t="str">
        <f>"ACCT#4358/PCT#2"</f>
        <v>ACCT#4358/PCT#2</v>
      </c>
    </row>
    <row r="805" spans="1:10" x14ac:dyDescent="0.3">
      <c r="A805" t="str">
        <f>""</f>
        <v/>
      </c>
      <c r="B805" t="str">
        <f>""</f>
        <v/>
      </c>
      <c r="G805" t="str">
        <f>"1017783"</f>
        <v>1017783</v>
      </c>
      <c r="H805" t="str">
        <f>"ACCT#4360/PCT#2"</f>
        <v>ACCT#4360/PCT#2</v>
      </c>
      <c r="I805" s="2">
        <v>32.21</v>
      </c>
      <c r="J805" t="str">
        <f>"ACCT#4360/PCT#2"</f>
        <v>ACCT#4360/PCT#2</v>
      </c>
    </row>
    <row r="806" spans="1:10" x14ac:dyDescent="0.3">
      <c r="A806" t="str">
        <f>""</f>
        <v/>
      </c>
      <c r="B806" t="str">
        <f>""</f>
        <v/>
      </c>
      <c r="G806" t="str">
        <f>"1018388"</f>
        <v>1018388</v>
      </c>
      <c r="H806" t="str">
        <f>"ACCT#4360/PCT#2"</f>
        <v>ACCT#4360/PCT#2</v>
      </c>
      <c r="I806" s="2">
        <v>202.43</v>
      </c>
      <c r="J806" t="str">
        <f>"ACCT#4360/PCT#2"</f>
        <v>ACCT#4360/PCT#2</v>
      </c>
    </row>
    <row r="807" spans="1:10" x14ac:dyDescent="0.3">
      <c r="A807" t="str">
        <f>"01"</f>
        <v>01</v>
      </c>
      <c r="B807" t="str">
        <f>"LIE"</f>
        <v>LIE</v>
      </c>
      <c r="C807" t="s">
        <v>248</v>
      </c>
      <c r="D807">
        <v>72281</v>
      </c>
      <c r="E807" s="2">
        <v>6076.02</v>
      </c>
      <c r="F807" s="1">
        <v>42976</v>
      </c>
      <c r="G807" t="str">
        <f>"1018527"</f>
        <v>1018527</v>
      </c>
      <c r="H807" t="str">
        <f>"ACCT#4358/PCT#1"</f>
        <v>ACCT#4358/PCT#1</v>
      </c>
      <c r="I807" s="2">
        <v>284.02999999999997</v>
      </c>
      <c r="J807" t="str">
        <f>"ACCT#4358/PCT#1"</f>
        <v>ACCT#4358/PCT#1</v>
      </c>
    </row>
    <row r="808" spans="1:10" x14ac:dyDescent="0.3">
      <c r="A808" t="str">
        <f>""</f>
        <v/>
      </c>
      <c r="B808" t="str">
        <f>""</f>
        <v/>
      </c>
      <c r="G808" t="str">
        <f>"313439"</f>
        <v>313439</v>
      </c>
      <c r="H808" t="str">
        <f>"CUST#4358/PCT#1"</f>
        <v>CUST#4358/PCT#1</v>
      </c>
      <c r="I808" s="2">
        <v>5791.99</v>
      </c>
      <c r="J808" t="str">
        <f>"CUST#4358/PCT#1"</f>
        <v>CUST#4358/PCT#1</v>
      </c>
    </row>
    <row r="809" spans="1:10" x14ac:dyDescent="0.3">
      <c r="A809" t="str">
        <f>"01"</f>
        <v>01</v>
      </c>
      <c r="B809" t="str">
        <f>"T13085"</f>
        <v>T13085</v>
      </c>
      <c r="C809" t="s">
        <v>249</v>
      </c>
      <c r="D809">
        <v>999999</v>
      </c>
      <c r="E809" s="2">
        <v>374</v>
      </c>
      <c r="F809" s="1">
        <v>42961</v>
      </c>
      <c r="G809" t="str">
        <f>"JULY CAR WASHES"</f>
        <v>JULY CAR WASHES</v>
      </c>
      <c r="H809" t="str">
        <f>"JULY STATEMENT"</f>
        <v>JULY STATEMENT</v>
      </c>
      <c r="I809" s="2">
        <v>374</v>
      </c>
      <c r="J809" t="str">
        <f>"JULY STATEMENT"</f>
        <v>JULY STATEMENT</v>
      </c>
    </row>
    <row r="810" spans="1:10" x14ac:dyDescent="0.3">
      <c r="A810" t="str">
        <f>"01"</f>
        <v>01</v>
      </c>
      <c r="B810" t="str">
        <f>"000888"</f>
        <v>000888</v>
      </c>
      <c r="C810" t="s">
        <v>250</v>
      </c>
      <c r="D810">
        <v>72028</v>
      </c>
      <c r="E810" s="2">
        <v>1423.62</v>
      </c>
      <c r="F810" s="1">
        <v>42961</v>
      </c>
      <c r="G810" t="str">
        <f>"STATEMENT 8/2/17"</f>
        <v>STATEMENT 8/2/17</v>
      </c>
      <c r="H810" t="str">
        <f>"Acct 99006938692"</f>
        <v>Acct 99006938692</v>
      </c>
      <c r="I810" s="2">
        <v>1423.62</v>
      </c>
      <c r="J810" t="str">
        <f>"Inv# 310540"</f>
        <v>Inv# 310540</v>
      </c>
    </row>
    <row r="811" spans="1:10" x14ac:dyDescent="0.3">
      <c r="A811" t="str">
        <f>""</f>
        <v/>
      </c>
      <c r="B811" t="str">
        <f>""</f>
        <v/>
      </c>
      <c r="G811" t="str">
        <f>""</f>
        <v/>
      </c>
      <c r="H811" t="str">
        <f>""</f>
        <v/>
      </c>
      <c r="J811" t="str">
        <f>"Inv# 910349"</f>
        <v>Inv# 910349</v>
      </c>
    </row>
    <row r="812" spans="1:10" x14ac:dyDescent="0.3">
      <c r="A812" t="str">
        <f>""</f>
        <v/>
      </c>
      <c r="B812" t="str">
        <f>""</f>
        <v/>
      </c>
      <c r="G812" t="str">
        <f>""</f>
        <v/>
      </c>
      <c r="H812" t="str">
        <f>""</f>
        <v/>
      </c>
      <c r="J812" t="str">
        <f>"Inv# 910353"</f>
        <v>Inv# 910353</v>
      </c>
    </row>
    <row r="813" spans="1:10" x14ac:dyDescent="0.3">
      <c r="A813" t="str">
        <f>""</f>
        <v/>
      </c>
      <c r="B813" t="str">
        <f>""</f>
        <v/>
      </c>
      <c r="G813" t="str">
        <f>""</f>
        <v/>
      </c>
      <c r="H813" t="str">
        <f>""</f>
        <v/>
      </c>
      <c r="J813" t="str">
        <f>"Inv# 914564"</f>
        <v>Inv# 914564</v>
      </c>
    </row>
    <row r="814" spans="1:10" x14ac:dyDescent="0.3">
      <c r="A814" t="str">
        <f>""</f>
        <v/>
      </c>
      <c r="B814" t="str">
        <f>""</f>
        <v/>
      </c>
      <c r="G814" t="str">
        <f>""</f>
        <v/>
      </c>
      <c r="H814" t="str">
        <f>""</f>
        <v/>
      </c>
      <c r="J814" t="str">
        <f>"Inv# 913270"</f>
        <v>Inv# 913270</v>
      </c>
    </row>
    <row r="815" spans="1:10" x14ac:dyDescent="0.3">
      <c r="A815" t="str">
        <f>""</f>
        <v/>
      </c>
      <c r="B815" t="str">
        <f>""</f>
        <v/>
      </c>
      <c r="G815" t="str">
        <f>""</f>
        <v/>
      </c>
      <c r="H815" t="str">
        <f>""</f>
        <v/>
      </c>
      <c r="J815" t="str">
        <f>"Inv# 993174"</f>
        <v>Inv# 993174</v>
      </c>
    </row>
    <row r="816" spans="1:10" x14ac:dyDescent="0.3">
      <c r="A816" t="str">
        <f>""</f>
        <v/>
      </c>
      <c r="B816" t="str">
        <f>""</f>
        <v/>
      </c>
      <c r="G816" t="str">
        <f>""</f>
        <v/>
      </c>
      <c r="H816" t="str">
        <f>""</f>
        <v/>
      </c>
      <c r="J816" t="str">
        <f>"Inv# 914473"</f>
        <v>Inv# 914473</v>
      </c>
    </row>
    <row r="817" spans="1:10" x14ac:dyDescent="0.3">
      <c r="A817" t="str">
        <f>""</f>
        <v/>
      </c>
      <c r="B817" t="str">
        <f>""</f>
        <v/>
      </c>
      <c r="G817" t="str">
        <f>""</f>
        <v/>
      </c>
      <c r="H817" t="str">
        <f>""</f>
        <v/>
      </c>
      <c r="J817" t="str">
        <f>"Inv# 914594"</f>
        <v>Inv# 914594</v>
      </c>
    </row>
    <row r="818" spans="1:10" x14ac:dyDescent="0.3">
      <c r="A818" t="str">
        <f>""</f>
        <v/>
      </c>
      <c r="B818" t="str">
        <f>""</f>
        <v/>
      </c>
      <c r="G818" t="str">
        <f>""</f>
        <v/>
      </c>
      <c r="H818" t="str">
        <f>""</f>
        <v/>
      </c>
      <c r="J818" t="str">
        <f>"Inv# 902956"</f>
        <v>Inv# 902956</v>
      </c>
    </row>
    <row r="819" spans="1:10" x14ac:dyDescent="0.3">
      <c r="A819" t="str">
        <f>""</f>
        <v/>
      </c>
      <c r="B819" t="str">
        <f>""</f>
        <v/>
      </c>
      <c r="G819" t="str">
        <f>""</f>
        <v/>
      </c>
      <c r="H819" t="str">
        <f>""</f>
        <v/>
      </c>
      <c r="J819" t="str">
        <f>"Inv# 914785"</f>
        <v>Inv# 914785</v>
      </c>
    </row>
    <row r="820" spans="1:10" x14ac:dyDescent="0.3">
      <c r="A820" t="str">
        <f>""</f>
        <v/>
      </c>
      <c r="B820" t="str">
        <f>""</f>
        <v/>
      </c>
      <c r="G820" t="str">
        <f>""</f>
        <v/>
      </c>
      <c r="H820" t="str">
        <f>""</f>
        <v/>
      </c>
      <c r="J820" t="str">
        <f>"Inv# 907932"</f>
        <v>Inv# 907932</v>
      </c>
    </row>
    <row r="821" spans="1:10" x14ac:dyDescent="0.3">
      <c r="A821" t="str">
        <f>""</f>
        <v/>
      </c>
      <c r="B821" t="str">
        <f>""</f>
        <v/>
      </c>
      <c r="G821" t="str">
        <f>""</f>
        <v/>
      </c>
      <c r="H821" t="str">
        <f>""</f>
        <v/>
      </c>
      <c r="J821" t="str">
        <f>"Inv# 910811"</f>
        <v>Inv# 910811</v>
      </c>
    </row>
    <row r="822" spans="1:10" x14ac:dyDescent="0.3">
      <c r="A822" t="str">
        <f>""</f>
        <v/>
      </c>
      <c r="B822" t="str">
        <f>""</f>
        <v/>
      </c>
      <c r="G822" t="str">
        <f>""</f>
        <v/>
      </c>
      <c r="H822" t="str">
        <f>""</f>
        <v/>
      </c>
      <c r="J822" t="str">
        <f>"Inv# 907988"</f>
        <v>Inv# 907988</v>
      </c>
    </row>
    <row r="823" spans="1:10" x14ac:dyDescent="0.3">
      <c r="A823" t="str">
        <f>""</f>
        <v/>
      </c>
      <c r="B823" t="str">
        <f>""</f>
        <v/>
      </c>
      <c r="G823" t="str">
        <f>""</f>
        <v/>
      </c>
      <c r="H823" t="str">
        <f>""</f>
        <v/>
      </c>
      <c r="J823" t="str">
        <f>"Inv# 901865"</f>
        <v>Inv# 901865</v>
      </c>
    </row>
    <row r="824" spans="1:10" x14ac:dyDescent="0.3">
      <c r="A824" t="str">
        <f>""</f>
        <v/>
      </c>
      <c r="B824" t="str">
        <f>""</f>
        <v/>
      </c>
      <c r="G824" t="str">
        <f>""</f>
        <v/>
      </c>
      <c r="H824" t="str">
        <f>""</f>
        <v/>
      </c>
      <c r="J824" t="str">
        <f>"Inv# 909167"</f>
        <v>Inv# 909167</v>
      </c>
    </row>
    <row r="825" spans="1:10" x14ac:dyDescent="0.3">
      <c r="A825" t="str">
        <f>""</f>
        <v/>
      </c>
      <c r="B825" t="str">
        <f>""</f>
        <v/>
      </c>
      <c r="G825" t="str">
        <f>""</f>
        <v/>
      </c>
      <c r="H825" t="str">
        <f>""</f>
        <v/>
      </c>
      <c r="J825" t="str">
        <f>"Inv# 902839"</f>
        <v>Inv# 902839</v>
      </c>
    </row>
    <row r="826" spans="1:10" x14ac:dyDescent="0.3">
      <c r="A826" t="str">
        <f>""</f>
        <v/>
      </c>
      <c r="B826" t="str">
        <f>""</f>
        <v/>
      </c>
      <c r="G826" t="str">
        <f>""</f>
        <v/>
      </c>
      <c r="H826" t="str">
        <f>""</f>
        <v/>
      </c>
      <c r="J826" t="str">
        <f>"Inv# 901710"</f>
        <v>Inv# 901710</v>
      </c>
    </row>
    <row r="827" spans="1:10" x14ac:dyDescent="0.3">
      <c r="A827" t="str">
        <f>""</f>
        <v/>
      </c>
      <c r="B827" t="str">
        <f>""</f>
        <v/>
      </c>
      <c r="G827" t="str">
        <f>""</f>
        <v/>
      </c>
      <c r="H827" t="str">
        <f>""</f>
        <v/>
      </c>
      <c r="J827" t="str">
        <f>"Inv# 913595"</f>
        <v>Inv# 913595</v>
      </c>
    </row>
    <row r="828" spans="1:10" x14ac:dyDescent="0.3">
      <c r="A828" t="str">
        <f>""</f>
        <v/>
      </c>
      <c r="B828" t="str">
        <f>""</f>
        <v/>
      </c>
      <c r="G828" t="str">
        <f>""</f>
        <v/>
      </c>
      <c r="H828" t="str">
        <f>""</f>
        <v/>
      </c>
      <c r="J828" t="str">
        <f>"Inv# 917605"</f>
        <v>Inv# 917605</v>
      </c>
    </row>
    <row r="829" spans="1:10" x14ac:dyDescent="0.3">
      <c r="A829" t="str">
        <f>""</f>
        <v/>
      </c>
      <c r="B829" t="str">
        <f>""</f>
        <v/>
      </c>
      <c r="G829" t="str">
        <f>""</f>
        <v/>
      </c>
      <c r="H829" t="str">
        <f>""</f>
        <v/>
      </c>
      <c r="J829" t="str">
        <f>"Inv# 913734"</f>
        <v>Inv# 913734</v>
      </c>
    </row>
    <row r="830" spans="1:10" x14ac:dyDescent="0.3">
      <c r="A830" t="str">
        <f>""</f>
        <v/>
      </c>
      <c r="B830" t="str">
        <f>""</f>
        <v/>
      </c>
      <c r="G830" t="str">
        <f>""</f>
        <v/>
      </c>
      <c r="H830" t="str">
        <f>""</f>
        <v/>
      </c>
      <c r="J830" t="str">
        <f>"Inv# 907984"</f>
        <v>Inv# 907984</v>
      </c>
    </row>
    <row r="831" spans="1:10" x14ac:dyDescent="0.3">
      <c r="A831" t="str">
        <f>""</f>
        <v/>
      </c>
      <c r="B831" t="str">
        <f>""</f>
        <v/>
      </c>
      <c r="G831" t="str">
        <f>""</f>
        <v/>
      </c>
      <c r="H831" t="str">
        <f>""</f>
        <v/>
      </c>
      <c r="J831" t="str">
        <f>"Inv# 901979"</f>
        <v>Inv# 901979</v>
      </c>
    </row>
    <row r="832" spans="1:10" x14ac:dyDescent="0.3">
      <c r="A832" t="str">
        <f>""</f>
        <v/>
      </c>
      <c r="B832" t="str">
        <f>""</f>
        <v/>
      </c>
      <c r="G832" t="str">
        <f>""</f>
        <v/>
      </c>
      <c r="H832" t="str">
        <f>""</f>
        <v/>
      </c>
      <c r="J832" t="str">
        <f>"Inv# 907041"</f>
        <v>Inv# 907041</v>
      </c>
    </row>
    <row r="833" spans="1:10" x14ac:dyDescent="0.3">
      <c r="A833" t="str">
        <f>""</f>
        <v/>
      </c>
      <c r="B833" t="str">
        <f>""</f>
        <v/>
      </c>
      <c r="G833" t="str">
        <f>""</f>
        <v/>
      </c>
      <c r="H833" t="str">
        <f>""</f>
        <v/>
      </c>
      <c r="J833" t="str">
        <f>"Inv# 909400"</f>
        <v>Inv# 909400</v>
      </c>
    </row>
    <row r="834" spans="1:10" x14ac:dyDescent="0.3">
      <c r="A834" t="str">
        <f>""</f>
        <v/>
      </c>
      <c r="B834" t="str">
        <f>""</f>
        <v/>
      </c>
      <c r="G834" t="str">
        <f>""</f>
        <v/>
      </c>
      <c r="H834" t="str">
        <f>""</f>
        <v/>
      </c>
      <c r="J834" t="str">
        <f>"Inv# 914212"</f>
        <v>Inv# 914212</v>
      </c>
    </row>
    <row r="835" spans="1:10" x14ac:dyDescent="0.3">
      <c r="A835" t="str">
        <f>""</f>
        <v/>
      </c>
      <c r="B835" t="str">
        <f>""</f>
        <v/>
      </c>
      <c r="G835" t="str">
        <f>""</f>
        <v/>
      </c>
      <c r="H835" t="str">
        <f>""</f>
        <v/>
      </c>
      <c r="J835" t="str">
        <f>"Inv# 914524"</f>
        <v>Inv# 914524</v>
      </c>
    </row>
    <row r="836" spans="1:10" x14ac:dyDescent="0.3">
      <c r="A836" t="str">
        <f>""</f>
        <v/>
      </c>
      <c r="B836" t="str">
        <f>""</f>
        <v/>
      </c>
      <c r="G836" t="str">
        <f>""</f>
        <v/>
      </c>
      <c r="H836" t="str">
        <f>""</f>
        <v/>
      </c>
      <c r="J836" t="str">
        <f>"Inv# 910504"</f>
        <v>Inv# 910504</v>
      </c>
    </row>
    <row r="837" spans="1:10" x14ac:dyDescent="0.3">
      <c r="A837" t="str">
        <f>"01"</f>
        <v>01</v>
      </c>
      <c r="B837" t="str">
        <f>"005192"</f>
        <v>005192</v>
      </c>
      <c r="C837" t="s">
        <v>251</v>
      </c>
      <c r="D837">
        <v>72171</v>
      </c>
      <c r="E837" s="2">
        <v>1007</v>
      </c>
      <c r="F837" s="1">
        <v>42965</v>
      </c>
      <c r="G837" t="str">
        <f>"190907"</f>
        <v>190907</v>
      </c>
      <c r="H837" t="str">
        <f>"DRAG BROOM/PCT#3"</f>
        <v>DRAG BROOM/PCT#3</v>
      </c>
      <c r="I837" s="2">
        <v>1007</v>
      </c>
      <c r="J837" t="str">
        <f>"DRAG BROOM/PCT#3"</f>
        <v>DRAG BROOM/PCT#3</v>
      </c>
    </row>
    <row r="838" spans="1:10" x14ac:dyDescent="0.3">
      <c r="A838" t="str">
        <f>"01"</f>
        <v>01</v>
      </c>
      <c r="B838" t="str">
        <f>"000031"</f>
        <v>000031</v>
      </c>
      <c r="C838" t="s">
        <v>252</v>
      </c>
      <c r="D838">
        <v>72029</v>
      </c>
      <c r="E838" s="2">
        <v>280</v>
      </c>
      <c r="F838" s="1">
        <v>42961</v>
      </c>
      <c r="G838" t="str">
        <f>"0067974"</f>
        <v>0067974</v>
      </c>
      <c r="H838" t="str">
        <f>"ACCT#4301300/SUPPLY ORDER"</f>
        <v>ACCT#4301300/SUPPLY ORDER</v>
      </c>
      <c r="I838" s="2">
        <v>280</v>
      </c>
      <c r="J838" t="str">
        <f>"ACCT#4301300/SUPPLY ORDER"</f>
        <v>ACCT#4301300/SUPPLY ORDER</v>
      </c>
    </row>
    <row r="839" spans="1:10" x14ac:dyDescent="0.3">
      <c r="A839" t="str">
        <f>"01"</f>
        <v>01</v>
      </c>
      <c r="B839" t="str">
        <f>"005173"</f>
        <v>005173</v>
      </c>
      <c r="C839" t="s">
        <v>253</v>
      </c>
      <c r="D839">
        <v>72030</v>
      </c>
      <c r="E839" s="2">
        <v>100</v>
      </c>
      <c r="F839" s="1">
        <v>42961</v>
      </c>
      <c r="G839" t="str">
        <f>"17-0614-16122-O"</f>
        <v>17-0614-16122-O</v>
      </c>
      <c r="H839" t="str">
        <f>"TRANSCRIPTION-CAUSE#16 122"</f>
        <v>TRANSCRIPTION-CAUSE#16 122</v>
      </c>
      <c r="I839" s="2">
        <v>100</v>
      </c>
      <c r="J839" t="str">
        <f>"TRANSCRIPTION-CAUSE#16 122"</f>
        <v>TRANSCRIPTION-CAUSE#16 122</v>
      </c>
    </row>
    <row r="840" spans="1:10" x14ac:dyDescent="0.3">
      <c r="A840" t="str">
        <f>"01"</f>
        <v>01</v>
      </c>
      <c r="B840" t="str">
        <f>"MARIA"</f>
        <v>MARIA</v>
      </c>
      <c r="C840" t="s">
        <v>254</v>
      </c>
      <c r="D840">
        <v>72282</v>
      </c>
      <c r="E840" s="2">
        <v>732.68</v>
      </c>
      <c r="F840" s="1">
        <v>42976</v>
      </c>
      <c r="G840" t="str">
        <f>"201708224335"</f>
        <v>201708224335</v>
      </c>
      <c r="H840" t="str">
        <f>"CRIMINAL 8/16/17"</f>
        <v>CRIMINAL 8/16/17</v>
      </c>
      <c r="I840" s="2">
        <v>183.17</v>
      </c>
      <c r="J840" t="str">
        <f>"CRIMINAL 8/16/17"</f>
        <v>CRIMINAL 8/16/17</v>
      </c>
    </row>
    <row r="841" spans="1:10" x14ac:dyDescent="0.3">
      <c r="A841" t="str">
        <f>""</f>
        <v/>
      </c>
      <c r="B841" t="str">
        <f>""</f>
        <v/>
      </c>
      <c r="G841" t="str">
        <f>"201708224336"</f>
        <v>201708224336</v>
      </c>
      <c r="H841" t="str">
        <f>"423-4933"</f>
        <v>423-4933</v>
      </c>
      <c r="I841" s="2">
        <v>75</v>
      </c>
      <c r="J841" t="str">
        <f>"423-4933"</f>
        <v>423-4933</v>
      </c>
    </row>
    <row r="842" spans="1:10" x14ac:dyDescent="0.3">
      <c r="A842" t="str">
        <f>""</f>
        <v/>
      </c>
      <c r="B842" t="str">
        <f>""</f>
        <v/>
      </c>
      <c r="G842" t="str">
        <f>"201708224337"</f>
        <v>201708224337</v>
      </c>
      <c r="H842" t="str">
        <f>"423-3495"</f>
        <v>423-3495</v>
      </c>
      <c r="I842" s="2">
        <v>108.17</v>
      </c>
      <c r="J842" t="str">
        <f>"423-3495"</f>
        <v>423-3495</v>
      </c>
    </row>
    <row r="843" spans="1:10" x14ac:dyDescent="0.3">
      <c r="A843" t="str">
        <f>""</f>
        <v/>
      </c>
      <c r="B843" t="str">
        <f>""</f>
        <v/>
      </c>
      <c r="G843" t="str">
        <f>"201708234389"</f>
        <v>201708234389</v>
      </c>
      <c r="H843" t="str">
        <f>"CRIMINAL 8/21/17"</f>
        <v>CRIMINAL 8/21/17</v>
      </c>
      <c r="I843" s="2">
        <v>183.17</v>
      </c>
      <c r="J843" t="str">
        <f>"CRIMINAL 8/21/17"</f>
        <v>CRIMINAL 8/21/17</v>
      </c>
    </row>
    <row r="844" spans="1:10" x14ac:dyDescent="0.3">
      <c r="A844" t="str">
        <f>""</f>
        <v/>
      </c>
      <c r="B844" t="str">
        <f>""</f>
        <v/>
      </c>
      <c r="G844" t="str">
        <f>"201708234390"</f>
        <v>201708234390</v>
      </c>
      <c r="H844" t="str">
        <f>"17-18525"</f>
        <v>17-18525</v>
      </c>
      <c r="I844" s="2">
        <v>183.17</v>
      </c>
      <c r="J844" t="str">
        <f>"17-18525"</f>
        <v>17-18525</v>
      </c>
    </row>
    <row r="845" spans="1:10" x14ac:dyDescent="0.3">
      <c r="A845" t="str">
        <f>"01"</f>
        <v>01</v>
      </c>
      <c r="B845" t="str">
        <f>"MARIA"</f>
        <v>MARIA</v>
      </c>
      <c r="C845" t="s">
        <v>254</v>
      </c>
      <c r="D845">
        <v>999999</v>
      </c>
      <c r="E845" s="2">
        <v>549.51</v>
      </c>
      <c r="F845" s="1">
        <v>42961</v>
      </c>
      <c r="G845" t="str">
        <f>"201707263872"</f>
        <v>201707263872</v>
      </c>
      <c r="H845" t="str">
        <f>"CRIMINAL DC 7/19/17"</f>
        <v>CRIMINAL DC 7/19/17</v>
      </c>
      <c r="I845" s="2">
        <v>183.17</v>
      </c>
      <c r="J845" t="str">
        <f>"CRIMINAL DC 7/19/17"</f>
        <v>CRIMINAL DC 7/19/17</v>
      </c>
    </row>
    <row r="846" spans="1:10" x14ac:dyDescent="0.3">
      <c r="A846" t="str">
        <f>""</f>
        <v/>
      </c>
      <c r="B846" t="str">
        <f>""</f>
        <v/>
      </c>
      <c r="G846" t="str">
        <f>"201707283922"</f>
        <v>201707283922</v>
      </c>
      <c r="H846" t="str">
        <f>"J3085"</f>
        <v>J3085</v>
      </c>
      <c r="I846" s="2">
        <v>50</v>
      </c>
      <c r="J846" t="str">
        <f>"J3085"</f>
        <v>J3085</v>
      </c>
    </row>
    <row r="847" spans="1:10" x14ac:dyDescent="0.3">
      <c r="A847" t="str">
        <f>""</f>
        <v/>
      </c>
      <c r="B847" t="str">
        <f>""</f>
        <v/>
      </c>
      <c r="G847" t="str">
        <f>"201707283923"</f>
        <v>201707283923</v>
      </c>
      <c r="H847" t="str">
        <f>"16-17894"</f>
        <v>16-17894</v>
      </c>
      <c r="I847" s="2">
        <v>83.17</v>
      </c>
      <c r="J847" t="str">
        <f>"16-17894"</f>
        <v>16-17894</v>
      </c>
    </row>
    <row r="848" spans="1:10" x14ac:dyDescent="0.3">
      <c r="A848" t="str">
        <f>""</f>
        <v/>
      </c>
      <c r="B848" t="str">
        <f>""</f>
        <v/>
      </c>
      <c r="G848" t="str">
        <f>"201707283924"</f>
        <v>201707283924</v>
      </c>
      <c r="H848" t="str">
        <f>"16-17909"</f>
        <v>16-17909</v>
      </c>
      <c r="I848" s="2">
        <v>50</v>
      </c>
      <c r="J848" t="str">
        <f>"16-17909"</f>
        <v>16-17909</v>
      </c>
    </row>
    <row r="849" spans="1:10" x14ac:dyDescent="0.3">
      <c r="A849" t="str">
        <f>""</f>
        <v/>
      </c>
      <c r="B849" t="str">
        <f>""</f>
        <v/>
      </c>
      <c r="G849" t="str">
        <f>"201707283925"</f>
        <v>201707283925</v>
      </c>
      <c r="H849" t="str">
        <f>"CRIMINAL CC 7-20-17"</f>
        <v>CRIMINAL CC 7-20-17</v>
      </c>
      <c r="I849" s="2">
        <v>183.17</v>
      </c>
      <c r="J849" t="str">
        <f>"CRIMINAL CC 7-20-17"</f>
        <v>CRIMINAL CC 7-20-17</v>
      </c>
    </row>
    <row r="850" spans="1:10" x14ac:dyDescent="0.3">
      <c r="A850" t="str">
        <f>"01"</f>
        <v>01</v>
      </c>
      <c r="B850" t="str">
        <f>"002282"</f>
        <v>002282</v>
      </c>
      <c r="C850" t="s">
        <v>255</v>
      </c>
      <c r="D850">
        <v>72031</v>
      </c>
      <c r="E850" s="2">
        <v>3150</v>
      </c>
      <c r="F850" s="1">
        <v>42961</v>
      </c>
      <c r="G850" t="str">
        <f>"201708084126"</f>
        <v>201708084126</v>
      </c>
      <c r="H850" t="str">
        <f>"VETERINARY SVC/JULY 6-JULY 27"</f>
        <v>VETERINARY SVC/JULY 6-JULY 27</v>
      </c>
      <c r="I850" s="2">
        <v>3150</v>
      </c>
      <c r="J850" t="str">
        <f>"VETERINARY SVC/JULY 6-JULY 27"</f>
        <v>VETERINARY SVC/JULY 6-JULY 27</v>
      </c>
    </row>
    <row r="851" spans="1:10" x14ac:dyDescent="0.3">
      <c r="A851" t="str">
        <f>"01"</f>
        <v>01</v>
      </c>
      <c r="B851" t="str">
        <f>"T13936"</f>
        <v>T13936</v>
      </c>
      <c r="C851" t="s">
        <v>256</v>
      </c>
      <c r="D851">
        <v>72032</v>
      </c>
      <c r="E851" s="2">
        <v>3732.8</v>
      </c>
      <c r="F851" s="1">
        <v>42961</v>
      </c>
      <c r="G851" t="str">
        <f>"201708094167"</f>
        <v>201708094167</v>
      </c>
      <c r="H851" t="str">
        <f>"INDIGENT HEALTH"</f>
        <v>INDIGENT HEALTH</v>
      </c>
      <c r="I851" s="2">
        <v>3732.8</v>
      </c>
      <c r="J851" t="str">
        <f>"INDIGENT HEALTH"</f>
        <v>INDIGENT HEALTH</v>
      </c>
    </row>
    <row r="852" spans="1:10" x14ac:dyDescent="0.3">
      <c r="A852" t="str">
        <f>""</f>
        <v/>
      </c>
      <c r="B852" t="str">
        <f>""</f>
        <v/>
      </c>
      <c r="G852" t="str">
        <f>""</f>
        <v/>
      </c>
      <c r="H852" t="str">
        <f>""</f>
        <v/>
      </c>
      <c r="J852" t="str">
        <f>"INDIGENT HEALTH"</f>
        <v>INDIGENT HEALTH</v>
      </c>
    </row>
    <row r="853" spans="1:10" x14ac:dyDescent="0.3">
      <c r="A853" t="str">
        <f>"01"</f>
        <v>01</v>
      </c>
      <c r="B853" t="str">
        <f>"T13936"</f>
        <v>T13936</v>
      </c>
      <c r="C853" t="s">
        <v>256</v>
      </c>
      <c r="D853">
        <v>72283</v>
      </c>
      <c r="E853" s="2">
        <v>1007.46</v>
      </c>
      <c r="F853" s="1">
        <v>42976</v>
      </c>
      <c r="G853" t="str">
        <f>"201708234400"</f>
        <v>201708234400</v>
      </c>
      <c r="H853" t="str">
        <f>"INDIGENT HEALTH"</f>
        <v>INDIGENT HEALTH</v>
      </c>
      <c r="I853" s="2">
        <v>1007.46</v>
      </c>
      <c r="J853" t="str">
        <f>"INDIGENT HEALTH"</f>
        <v>INDIGENT HEALTH</v>
      </c>
    </row>
    <row r="854" spans="1:10" x14ac:dyDescent="0.3">
      <c r="A854" t="str">
        <f>"01"</f>
        <v>01</v>
      </c>
      <c r="B854" t="str">
        <f>"T12624"</f>
        <v>T12624</v>
      </c>
      <c r="C854" t="s">
        <v>257</v>
      </c>
      <c r="D854">
        <v>72033</v>
      </c>
      <c r="E854" s="2">
        <v>1859.18</v>
      </c>
      <c r="F854" s="1">
        <v>42961</v>
      </c>
      <c r="G854" t="str">
        <f>"INV001631556"</f>
        <v>INV001631556</v>
      </c>
      <c r="H854" t="str">
        <f>"CUST#326388/ITEM#11144"</f>
        <v>CUST#326388/ITEM#11144</v>
      </c>
      <c r="I854" s="2">
        <v>1859.18</v>
      </c>
      <c r="J854" t="str">
        <f>"CUST#326388/ITEM#11144"</f>
        <v>CUST#326388/ITEM#11144</v>
      </c>
    </row>
    <row r="855" spans="1:10" x14ac:dyDescent="0.3">
      <c r="A855" t="str">
        <f>"01"</f>
        <v>01</v>
      </c>
      <c r="B855" t="str">
        <f>"T12624"</f>
        <v>T12624</v>
      </c>
      <c r="C855" t="s">
        <v>257</v>
      </c>
      <c r="D855">
        <v>72284</v>
      </c>
      <c r="E855" s="2">
        <v>1780.73</v>
      </c>
      <c r="F855" s="1">
        <v>42976</v>
      </c>
      <c r="G855" t="str">
        <f>"INV001638788"</f>
        <v>INV001638788</v>
      </c>
      <c r="H855" t="str">
        <f>"CUST#326388/GEN SVCS"</f>
        <v>CUST#326388/GEN SVCS</v>
      </c>
      <c r="I855" s="2">
        <v>1780.73</v>
      </c>
      <c r="J855" t="str">
        <f>"CUST#326388/GEN SVCS"</f>
        <v>CUST#326388/GEN SVCS</v>
      </c>
    </row>
    <row r="856" spans="1:10" x14ac:dyDescent="0.3">
      <c r="A856" t="str">
        <f>"01"</f>
        <v>01</v>
      </c>
      <c r="B856" t="str">
        <f>"004144"</f>
        <v>004144</v>
      </c>
      <c r="C856" t="s">
        <v>258</v>
      </c>
      <c r="D856">
        <v>999999</v>
      </c>
      <c r="E856" s="2">
        <v>3118.75</v>
      </c>
      <c r="F856" s="1">
        <v>42961</v>
      </c>
      <c r="G856" t="str">
        <f>"201707283926"</f>
        <v>201707283926</v>
      </c>
      <c r="H856" t="str">
        <f>"54 956"</f>
        <v>54 956</v>
      </c>
      <c r="I856" s="2">
        <v>250</v>
      </c>
      <c r="J856" t="str">
        <f>"54 956"</f>
        <v>54 956</v>
      </c>
    </row>
    <row r="857" spans="1:10" x14ac:dyDescent="0.3">
      <c r="A857" t="str">
        <f>""</f>
        <v/>
      </c>
      <c r="B857" t="str">
        <f>""</f>
        <v/>
      </c>
      <c r="G857" t="str">
        <f>"201707283927"</f>
        <v>201707283927</v>
      </c>
      <c r="H857" t="str">
        <f>"54 450"</f>
        <v>54 450</v>
      </c>
      <c r="I857" s="2">
        <v>250</v>
      </c>
      <c r="J857" t="str">
        <f>"54 450"</f>
        <v>54 450</v>
      </c>
    </row>
    <row r="858" spans="1:10" x14ac:dyDescent="0.3">
      <c r="A858" t="str">
        <f>""</f>
        <v/>
      </c>
      <c r="B858" t="str">
        <f>""</f>
        <v/>
      </c>
      <c r="G858" t="str">
        <f>"201707283928"</f>
        <v>201707283928</v>
      </c>
      <c r="H858" t="str">
        <f>"55 291"</f>
        <v>55 291</v>
      </c>
      <c r="I858" s="2">
        <v>250</v>
      </c>
      <c r="J858" t="str">
        <f>"55 291"</f>
        <v>55 291</v>
      </c>
    </row>
    <row r="859" spans="1:10" x14ac:dyDescent="0.3">
      <c r="A859" t="str">
        <f>""</f>
        <v/>
      </c>
      <c r="B859" t="str">
        <f>""</f>
        <v/>
      </c>
      <c r="G859" t="str">
        <f>"201707283929"</f>
        <v>201707283929</v>
      </c>
      <c r="H859" t="str">
        <f>"55 292"</f>
        <v>55 292</v>
      </c>
      <c r="I859" s="2">
        <v>250</v>
      </c>
      <c r="J859" t="str">
        <f>"55 292"</f>
        <v>55 292</v>
      </c>
    </row>
    <row r="860" spans="1:10" x14ac:dyDescent="0.3">
      <c r="A860" t="str">
        <f>""</f>
        <v/>
      </c>
      <c r="B860" t="str">
        <f>""</f>
        <v/>
      </c>
      <c r="G860" t="str">
        <f>"201707283930"</f>
        <v>201707283930</v>
      </c>
      <c r="H860" t="str">
        <f>"AC-2017-0401-A"</f>
        <v>AC-2017-0401-A</v>
      </c>
      <c r="I860" s="2">
        <v>250</v>
      </c>
      <c r="J860" t="str">
        <f>"AC-2017-0401-A"</f>
        <v>AC-2017-0401-A</v>
      </c>
    </row>
    <row r="861" spans="1:10" x14ac:dyDescent="0.3">
      <c r="A861" t="str">
        <f>""</f>
        <v/>
      </c>
      <c r="B861" t="str">
        <f>""</f>
        <v/>
      </c>
      <c r="G861" t="str">
        <f>"201707283931"</f>
        <v>201707283931</v>
      </c>
      <c r="H861" t="str">
        <f>"54 978"</f>
        <v>54 978</v>
      </c>
      <c r="I861" s="2">
        <v>250</v>
      </c>
      <c r="J861" t="str">
        <f>"54 978"</f>
        <v>54 978</v>
      </c>
    </row>
    <row r="862" spans="1:10" x14ac:dyDescent="0.3">
      <c r="A862" t="str">
        <f>""</f>
        <v/>
      </c>
      <c r="B862" t="str">
        <f>""</f>
        <v/>
      </c>
      <c r="G862" t="str">
        <f>"201707283932"</f>
        <v>201707283932</v>
      </c>
      <c r="H862" t="str">
        <f>"16-17820"</f>
        <v>16-17820</v>
      </c>
      <c r="I862" s="2">
        <v>718.75</v>
      </c>
      <c r="J862" t="str">
        <f>"16-17820"</f>
        <v>16-17820</v>
      </c>
    </row>
    <row r="863" spans="1:10" x14ac:dyDescent="0.3">
      <c r="A863" t="str">
        <f>""</f>
        <v/>
      </c>
      <c r="B863" t="str">
        <f>""</f>
        <v/>
      </c>
      <c r="G863" t="str">
        <f>"201707283933"</f>
        <v>201707283933</v>
      </c>
      <c r="H863" t="str">
        <f>"16-17820"</f>
        <v>16-17820</v>
      </c>
      <c r="I863" s="2">
        <v>400</v>
      </c>
      <c r="J863" t="str">
        <f>"16-17820"</f>
        <v>16-17820</v>
      </c>
    </row>
    <row r="864" spans="1:10" x14ac:dyDescent="0.3">
      <c r="A864" t="str">
        <f>""</f>
        <v/>
      </c>
      <c r="B864" t="str">
        <f>""</f>
        <v/>
      </c>
      <c r="G864" t="str">
        <f>"201708094242"</f>
        <v>201708094242</v>
      </c>
      <c r="H864" t="str">
        <f>"55 078"</f>
        <v>55 078</v>
      </c>
      <c r="I864" s="2">
        <v>250</v>
      </c>
      <c r="J864" t="str">
        <f>"55 078"</f>
        <v>55 078</v>
      </c>
    </row>
    <row r="865" spans="1:11" x14ac:dyDescent="0.3">
      <c r="A865" t="str">
        <f>""</f>
        <v/>
      </c>
      <c r="B865" t="str">
        <f>""</f>
        <v/>
      </c>
      <c r="G865" t="str">
        <f>"201708094243"</f>
        <v>201708094243</v>
      </c>
      <c r="H865" t="str">
        <f>"53 648"</f>
        <v>53 648</v>
      </c>
      <c r="I865" s="2">
        <v>250</v>
      </c>
      <c r="J865" t="str">
        <f>"53 648"</f>
        <v>53 648</v>
      </c>
    </row>
    <row r="866" spans="1:11" x14ac:dyDescent="0.3">
      <c r="A866" t="str">
        <f>"01"</f>
        <v>01</v>
      </c>
      <c r="B866" t="str">
        <f>"TRIGA"</f>
        <v>TRIGA</v>
      </c>
      <c r="C866" t="s">
        <v>259</v>
      </c>
      <c r="D866">
        <v>72034</v>
      </c>
      <c r="E866" s="2">
        <v>49.12</v>
      </c>
      <c r="F866" s="1">
        <v>42961</v>
      </c>
      <c r="G866" t="str">
        <f>"15881039"</f>
        <v>15881039</v>
      </c>
      <c r="H866" t="str">
        <f>"MONTHLY RENTAL"</f>
        <v>MONTHLY RENTAL</v>
      </c>
      <c r="I866" s="2">
        <v>49.12</v>
      </c>
      <c r="J866" t="str">
        <f>"MONTHLY RENTAL"</f>
        <v>MONTHLY RENTAL</v>
      </c>
    </row>
    <row r="867" spans="1:11" x14ac:dyDescent="0.3">
      <c r="A867" t="str">
        <f>"01"</f>
        <v>01</v>
      </c>
      <c r="B867" t="str">
        <f>"TRIGA"</f>
        <v>TRIGA</v>
      </c>
      <c r="C867" t="s">
        <v>259</v>
      </c>
      <c r="D867">
        <v>72285</v>
      </c>
      <c r="E867" s="2">
        <v>151.96</v>
      </c>
      <c r="F867" s="1">
        <v>42976</v>
      </c>
      <c r="G867" t="str">
        <f>"15880863"</f>
        <v>15880863</v>
      </c>
      <c r="H867" t="str">
        <f>"ACCT#41472/CYLINDER RENTAL"</f>
        <v>ACCT#41472/CYLINDER RENTAL</v>
      </c>
      <c r="I867" s="2">
        <v>22.23</v>
      </c>
      <c r="J867" t="str">
        <f>"ACCT#41472/CYLINDER RENTAL"</f>
        <v>ACCT#41472/CYLINDER RENTAL</v>
      </c>
    </row>
    <row r="868" spans="1:11" x14ac:dyDescent="0.3">
      <c r="A868" t="str">
        <f>""</f>
        <v/>
      </c>
      <c r="B868" t="str">
        <f>""</f>
        <v/>
      </c>
      <c r="G868" t="str">
        <f>"15880971"</f>
        <v>15880971</v>
      </c>
      <c r="H868" t="str">
        <f>"ACCT#45057/PCT#4"</f>
        <v>ACCT#45057/PCT#4</v>
      </c>
      <c r="I868" s="2">
        <v>39.729999999999997</v>
      </c>
      <c r="J868" t="str">
        <f>"ACCT#45057/PCT#4"</f>
        <v>ACCT#45057/PCT#4</v>
      </c>
    </row>
    <row r="869" spans="1:11" x14ac:dyDescent="0.3">
      <c r="A869" t="str">
        <f>""</f>
        <v/>
      </c>
      <c r="B869" t="str">
        <f>""</f>
        <v/>
      </c>
      <c r="G869" t="str">
        <f>"15889297"</f>
        <v>15889297</v>
      </c>
      <c r="H869" t="str">
        <f>"CUST#S9549/CYLINDER RENTAL"</f>
        <v>CUST#S9549/CYLINDER RENTAL</v>
      </c>
      <c r="I869" s="2">
        <v>90</v>
      </c>
      <c r="J869" t="str">
        <f>"CUST#S9549/CYLINDER RENTAL"</f>
        <v>CUST#S9549/CYLINDER RENTAL</v>
      </c>
    </row>
    <row r="870" spans="1:11" x14ac:dyDescent="0.3">
      <c r="A870" t="str">
        <f>"01"</f>
        <v>01</v>
      </c>
      <c r="B870" t="str">
        <f>"002647"</f>
        <v>002647</v>
      </c>
      <c r="C870" t="s">
        <v>260</v>
      </c>
      <c r="D870">
        <v>72286</v>
      </c>
      <c r="E870" s="2">
        <v>703.6</v>
      </c>
      <c r="F870" s="1">
        <v>42976</v>
      </c>
      <c r="G870" t="str">
        <f>"B31375"</f>
        <v>B31375</v>
      </c>
      <c r="H870" t="str">
        <f>"1 DAY RENTAL/GEN SVCS"</f>
        <v>1 DAY RENTAL/GEN SVCS</v>
      </c>
      <c r="I870" s="2">
        <v>703.6</v>
      </c>
      <c r="J870" t="str">
        <f>"1 DAY RENTAL/GEN SVCS"</f>
        <v>1 DAY RENTAL/GEN SVCS</v>
      </c>
    </row>
    <row r="871" spans="1:11" x14ac:dyDescent="0.3">
      <c r="A871" t="str">
        <f>"01"</f>
        <v>01</v>
      </c>
      <c r="B871" t="str">
        <f>"005177"</f>
        <v>005177</v>
      </c>
      <c r="C871" t="s">
        <v>261</v>
      </c>
      <c r="D871">
        <v>72035</v>
      </c>
      <c r="E871" s="2">
        <v>120</v>
      </c>
      <c r="F871" s="1">
        <v>42961</v>
      </c>
      <c r="G871" t="str">
        <f>"PER DIEM-M.COOK"</f>
        <v>PER DIEM-M.COOK</v>
      </c>
      <c r="H871" t="str">
        <f>"PER DIEM"</f>
        <v>PER DIEM</v>
      </c>
      <c r="I871" s="2">
        <v>120</v>
      </c>
      <c r="J871" t="str">
        <f>"PER DIEM"</f>
        <v>PER DIEM</v>
      </c>
    </row>
    <row r="872" spans="1:11" x14ac:dyDescent="0.3">
      <c r="A872" t="str">
        <f>"01"</f>
        <v>01</v>
      </c>
      <c r="B872" t="str">
        <f>"MC COY"</f>
        <v>MC COY</v>
      </c>
      <c r="C872" t="s">
        <v>262</v>
      </c>
      <c r="D872">
        <v>72287</v>
      </c>
      <c r="E872" s="2">
        <v>15.98</v>
      </c>
      <c r="F872" s="1">
        <v>42976</v>
      </c>
      <c r="G872" t="str">
        <f>"642928"</f>
        <v>642928</v>
      </c>
      <c r="H872" t="str">
        <f>"ACCT#0900-98011130-001/PCT#1"</f>
        <v>ACCT#0900-98011130-001/PCT#1</v>
      </c>
      <c r="I872" s="2">
        <v>15.98</v>
      </c>
      <c r="J872" t="str">
        <f>"ACCT#0900-98011130-001/PCT#1"</f>
        <v>ACCT#0900-98011130-001/PCT#1</v>
      </c>
    </row>
    <row r="873" spans="1:11" x14ac:dyDescent="0.3">
      <c r="A873" t="str">
        <f>"01"</f>
        <v>01</v>
      </c>
      <c r="B873" t="str">
        <f>"MC COY"</f>
        <v>MC COY</v>
      </c>
      <c r="C873" t="s">
        <v>262</v>
      </c>
      <c r="D873">
        <v>999999</v>
      </c>
      <c r="E873" s="2">
        <v>494.05</v>
      </c>
      <c r="F873" s="1">
        <v>42961</v>
      </c>
      <c r="G873" t="str">
        <f>"201708074115"</f>
        <v>201708074115</v>
      </c>
      <c r="H873" t="str">
        <f>"ACCT#900-98011130 001"</f>
        <v>ACCT#900-98011130 001</v>
      </c>
      <c r="I873" s="2">
        <v>450.77</v>
      </c>
      <c r="J873" t="str">
        <f>"ACCT#900-98011130 001"</f>
        <v>ACCT#900-98011130 001</v>
      </c>
    </row>
    <row r="874" spans="1:11" x14ac:dyDescent="0.3">
      <c r="A874" t="str">
        <f>""</f>
        <v/>
      </c>
      <c r="B874" t="str">
        <f>""</f>
        <v/>
      </c>
      <c r="G874" t="str">
        <f>""</f>
        <v/>
      </c>
      <c r="H874" t="str">
        <f>""</f>
        <v/>
      </c>
      <c r="J874" t="str">
        <f>"ACCT#900-98011130 001"</f>
        <v>ACCT#900-98011130 001</v>
      </c>
    </row>
    <row r="875" spans="1:11" x14ac:dyDescent="0.3">
      <c r="A875" t="str">
        <f>""</f>
        <v/>
      </c>
      <c r="B875" t="str">
        <f>""</f>
        <v/>
      </c>
      <c r="G875" t="str">
        <f>""</f>
        <v/>
      </c>
      <c r="H875" t="str">
        <f>""</f>
        <v/>
      </c>
      <c r="J875" t="str">
        <f>"ACCT#900-98011130 001"</f>
        <v>ACCT#900-98011130 001</v>
      </c>
    </row>
    <row r="876" spans="1:11" x14ac:dyDescent="0.3">
      <c r="A876" t="str">
        <f>""</f>
        <v/>
      </c>
      <c r="B876" t="str">
        <f>""</f>
        <v/>
      </c>
      <c r="G876" t="str">
        <f>"641853"</f>
        <v>641853</v>
      </c>
      <c r="H876" t="str">
        <f>"ACCT#900-98011130 001-7/31/17"</f>
        <v>ACCT#900-98011130 001-7/31/17</v>
      </c>
      <c r="I876" s="2">
        <v>43.28</v>
      </c>
      <c r="J876" t="str">
        <f>"ACCT#900-98011130 001-7/31/17"</f>
        <v>ACCT#900-98011130 001-7/31/17</v>
      </c>
    </row>
    <row r="877" spans="1:11" x14ac:dyDescent="0.3">
      <c r="A877" t="str">
        <f>"01"</f>
        <v>01</v>
      </c>
      <c r="B877" t="str">
        <f>"MC CRE"</f>
        <v>MC CRE</v>
      </c>
      <c r="C877" t="s">
        <v>263</v>
      </c>
      <c r="D877">
        <v>72036</v>
      </c>
      <c r="E877" s="2">
        <v>20968.97</v>
      </c>
      <c r="F877" s="1">
        <v>42961</v>
      </c>
      <c r="G877" t="s">
        <v>64</v>
      </c>
      <c r="H877" t="s">
        <v>264</v>
      </c>
      <c r="I877" s="2" t="str">
        <f>"PRINTER FEE 6/8/17"</f>
        <v>PRINTER FEE 6/8/17</v>
      </c>
      <c r="J877" t="str">
        <f>"995-4110"</f>
        <v>995-4110</v>
      </c>
      <c r="K877">
        <v>80</v>
      </c>
    </row>
    <row r="878" spans="1:11" x14ac:dyDescent="0.3">
      <c r="A878" t="str">
        <f>""</f>
        <v/>
      </c>
      <c r="B878" t="str">
        <f>""</f>
        <v/>
      </c>
      <c r="G878" t="str">
        <f>"201708044014"</f>
        <v>201708044014</v>
      </c>
      <c r="H878" t="str">
        <f>"DELIN TAX COLLECTION-JULY 2017"</f>
        <v>DELIN TAX COLLECTION-JULY 2017</v>
      </c>
      <c r="I878" s="2">
        <v>20888.97</v>
      </c>
      <c r="J878" t="str">
        <f>"DELIN TAX COLLECTION-JULY 2017"</f>
        <v>DELIN TAX COLLECTION-JULY 2017</v>
      </c>
    </row>
    <row r="879" spans="1:11" x14ac:dyDescent="0.3">
      <c r="A879" t="str">
        <f>"01"</f>
        <v>01</v>
      </c>
      <c r="B879" t="str">
        <f>"MC CRE"</f>
        <v>MC CRE</v>
      </c>
      <c r="C879" t="s">
        <v>263</v>
      </c>
      <c r="D879">
        <v>72288</v>
      </c>
      <c r="E879" s="2">
        <v>5221.87</v>
      </c>
      <c r="F879" s="1">
        <v>42976</v>
      </c>
      <c r="G879" t="str">
        <f>"10063 07/05/17"</f>
        <v>10063 07/05/17</v>
      </c>
      <c r="H879" t="str">
        <f>"ABST FEE 07/05/2017"</f>
        <v>ABST FEE 07/05/2017</v>
      </c>
      <c r="I879" s="2">
        <v>145</v>
      </c>
      <c r="J879" t="str">
        <f>"ABST FEE 07/05/2017"</f>
        <v>ABST FEE 07/05/2017</v>
      </c>
    </row>
    <row r="880" spans="1:11" x14ac:dyDescent="0.3">
      <c r="A880" t="str">
        <f>""</f>
        <v/>
      </c>
      <c r="B880" t="str">
        <f>""</f>
        <v/>
      </c>
      <c r="G880" t="s">
        <v>59</v>
      </c>
      <c r="H880" t="s">
        <v>60</v>
      </c>
      <c r="I880" s="2" t="str">
        <f>"ABST FEE 7/5/17"</f>
        <v>ABST FEE 7/5/17</v>
      </c>
      <c r="J880" t="str">
        <f>"995-4110"</f>
        <v>995-4110</v>
      </c>
      <c r="K880">
        <v>7.5</v>
      </c>
    </row>
    <row r="881" spans="1:11" x14ac:dyDescent="0.3">
      <c r="A881" t="str">
        <f>""</f>
        <v/>
      </c>
      <c r="B881" t="str">
        <f>""</f>
        <v/>
      </c>
      <c r="G881" t="s">
        <v>59</v>
      </c>
      <c r="H881" t="s">
        <v>61</v>
      </c>
      <c r="I881" s="2" t="str">
        <f>"ABST FEE 6/14/17"</f>
        <v>ABST FEE 6/14/17</v>
      </c>
      <c r="J881" t="str">
        <f>"995-4110"</f>
        <v>995-4110</v>
      </c>
      <c r="K881">
        <v>175</v>
      </c>
    </row>
    <row r="882" spans="1:11" x14ac:dyDescent="0.3">
      <c r="A882" t="str">
        <f>""</f>
        <v/>
      </c>
      <c r="B882" t="str">
        <f>""</f>
        <v/>
      </c>
      <c r="G882" t="s">
        <v>59</v>
      </c>
      <c r="H882" t="s">
        <v>62</v>
      </c>
      <c r="I882" s="2" t="str">
        <f>"ABST FEE 6/14/17"</f>
        <v>ABST FEE 6/14/17</v>
      </c>
      <c r="J882" t="str">
        <f>"995-4110"</f>
        <v>995-4110</v>
      </c>
      <c r="K882">
        <v>175</v>
      </c>
    </row>
    <row r="883" spans="1:11" x14ac:dyDescent="0.3">
      <c r="A883" t="str">
        <f>""</f>
        <v/>
      </c>
      <c r="B883" t="str">
        <f>""</f>
        <v/>
      </c>
      <c r="G883" t="s">
        <v>59</v>
      </c>
      <c r="H883" t="s">
        <v>63</v>
      </c>
      <c r="I883" s="2" t="str">
        <f>"ABST FEE 6/14/17"</f>
        <v>ABST FEE 6/14/17</v>
      </c>
      <c r="J883" t="str">
        <f>"995-4110"</f>
        <v>995-4110</v>
      </c>
      <c r="K883">
        <v>175</v>
      </c>
    </row>
    <row r="884" spans="1:11" x14ac:dyDescent="0.3">
      <c r="A884" t="str">
        <f>""</f>
        <v/>
      </c>
      <c r="B884" t="str">
        <f>""</f>
        <v/>
      </c>
      <c r="G884" t="str">
        <f>"11466"</f>
        <v>11466</v>
      </c>
      <c r="H884" t="str">
        <f>"ABST FEE 7/5/17"</f>
        <v>ABST FEE 7/5/17</v>
      </c>
      <c r="I884" s="2">
        <v>175</v>
      </c>
      <c r="J884" t="str">
        <f>"ABST FEE 7/5/17"</f>
        <v>ABST FEE 7/5/17</v>
      </c>
    </row>
    <row r="885" spans="1:11" x14ac:dyDescent="0.3">
      <c r="A885" t="str">
        <f>""</f>
        <v/>
      </c>
      <c r="B885" t="str">
        <f>""</f>
        <v/>
      </c>
      <c r="G885" t="s">
        <v>64</v>
      </c>
      <c r="H885" t="s">
        <v>265</v>
      </c>
      <c r="I885" s="2" t="str">
        <f>"PRINTER FEE 6/21/17"</f>
        <v>PRINTER FEE 6/21/17</v>
      </c>
      <c r="J885" t="str">
        <f t="shared" ref="J885:J891" si="13">"995-4110"</f>
        <v>995-4110</v>
      </c>
      <c r="K885">
        <v>80</v>
      </c>
    </row>
    <row r="886" spans="1:11" x14ac:dyDescent="0.3">
      <c r="A886" t="str">
        <f>""</f>
        <v/>
      </c>
      <c r="B886" t="str">
        <f>""</f>
        <v/>
      </c>
      <c r="G886" t="s">
        <v>64</v>
      </c>
      <c r="H886" t="s">
        <v>65</v>
      </c>
      <c r="I886" s="2" t="str">
        <f>"SERVICE-$55 + ABST FEE-$175"</f>
        <v>SERVICE-$55 + ABST FEE-$175</v>
      </c>
      <c r="J886" t="str">
        <f t="shared" si="13"/>
        <v>995-4110</v>
      </c>
      <c r="K886">
        <v>230</v>
      </c>
    </row>
    <row r="887" spans="1:11" x14ac:dyDescent="0.3">
      <c r="A887" t="str">
        <f>""</f>
        <v/>
      </c>
      <c r="B887" t="str">
        <f>""</f>
        <v/>
      </c>
      <c r="G887" t="s">
        <v>64</v>
      </c>
      <c r="H887" t="s">
        <v>66</v>
      </c>
      <c r="I887" s="2" t="str">
        <f>"ABST FEE 6/14/17"</f>
        <v>ABST FEE 6/14/17</v>
      </c>
      <c r="J887" t="str">
        <f t="shared" si="13"/>
        <v>995-4110</v>
      </c>
      <c r="K887">
        <v>175</v>
      </c>
    </row>
    <row r="888" spans="1:11" x14ac:dyDescent="0.3">
      <c r="A888" t="str">
        <f>""</f>
        <v/>
      </c>
      <c r="B888" t="str">
        <f>""</f>
        <v/>
      </c>
      <c r="G888" t="s">
        <v>64</v>
      </c>
      <c r="H888" t="s">
        <v>67</v>
      </c>
      <c r="I888" s="2" t="str">
        <f>"ABST FEE-$175 + SERVICE-$55"</f>
        <v>ABST FEE-$175 + SERVICE-$55</v>
      </c>
      <c r="J888" t="str">
        <f t="shared" si="13"/>
        <v>995-4110</v>
      </c>
      <c r="K888">
        <v>230</v>
      </c>
    </row>
    <row r="889" spans="1:11" x14ac:dyDescent="0.3">
      <c r="A889" t="str">
        <f>""</f>
        <v/>
      </c>
      <c r="B889" t="str">
        <f>""</f>
        <v/>
      </c>
      <c r="G889" t="s">
        <v>64</v>
      </c>
      <c r="H889" t="s">
        <v>266</v>
      </c>
      <c r="I889" s="2" t="str">
        <f>"ABST FEE 6/15/17"</f>
        <v>ABST FEE 6/15/17</v>
      </c>
      <c r="J889" t="str">
        <f t="shared" si="13"/>
        <v>995-4110</v>
      </c>
      <c r="K889">
        <v>136.37</v>
      </c>
    </row>
    <row r="890" spans="1:11" x14ac:dyDescent="0.3">
      <c r="A890" t="str">
        <f>""</f>
        <v/>
      </c>
      <c r="B890" t="str">
        <f>""</f>
        <v/>
      </c>
      <c r="G890" t="s">
        <v>64</v>
      </c>
      <c r="H890" t="s">
        <v>188</v>
      </c>
      <c r="I890" s="2" t="str">
        <f>"ABST FEE 6/15/17"</f>
        <v>ABST FEE 6/15/17</v>
      </c>
      <c r="J890" t="str">
        <f t="shared" si="13"/>
        <v>995-4110</v>
      </c>
      <c r="K890">
        <v>175</v>
      </c>
    </row>
    <row r="891" spans="1:11" x14ac:dyDescent="0.3">
      <c r="A891" t="str">
        <f>""</f>
        <v/>
      </c>
      <c r="B891" t="str">
        <f>""</f>
        <v/>
      </c>
      <c r="G891" t="s">
        <v>64</v>
      </c>
      <c r="H891" t="s">
        <v>68</v>
      </c>
      <c r="I891" s="2" t="str">
        <f>"ABST FEE 6/26/17"</f>
        <v>ABST FEE 6/26/17</v>
      </c>
      <c r="J891" t="str">
        <f t="shared" si="13"/>
        <v>995-4110</v>
      </c>
      <c r="K891">
        <v>225</v>
      </c>
    </row>
    <row r="892" spans="1:11" x14ac:dyDescent="0.3">
      <c r="A892" t="str">
        <f>""</f>
        <v/>
      </c>
      <c r="B892" t="str">
        <f>""</f>
        <v/>
      </c>
      <c r="G892" t="str">
        <f>"12010 7/6/17"</f>
        <v>12010 7/6/17</v>
      </c>
      <c r="H892" t="str">
        <f>"PRINTER FEE 7/6/17"</f>
        <v>PRINTER FEE 7/6/17</v>
      </c>
      <c r="I892" s="2">
        <v>75</v>
      </c>
      <c r="J892" t="str">
        <f>"PRINTER FEE 7/6/17"</f>
        <v>PRINTER FEE 7/6/17</v>
      </c>
    </row>
    <row r="893" spans="1:11" x14ac:dyDescent="0.3">
      <c r="A893" t="str">
        <f>""</f>
        <v/>
      </c>
      <c r="B893" t="str">
        <f>""</f>
        <v/>
      </c>
      <c r="G893" t="str">
        <f>"12280 6/14/17"</f>
        <v>12280 6/14/17</v>
      </c>
      <c r="H893" t="str">
        <f>"ABST FEE 6/14/17"</f>
        <v>ABST FEE 6/14/17</v>
      </c>
      <c r="I893" s="2">
        <v>175</v>
      </c>
      <c r="J893" t="str">
        <f>"ABST FEE 6/14/17"</f>
        <v>ABST FEE 6/14/17</v>
      </c>
    </row>
    <row r="894" spans="1:11" x14ac:dyDescent="0.3">
      <c r="A894" t="str">
        <f>""</f>
        <v/>
      </c>
      <c r="B894" t="str">
        <f>""</f>
        <v/>
      </c>
      <c r="G894" t="str">
        <f>"12286 6/14/17"</f>
        <v>12286 6/14/17</v>
      </c>
      <c r="H894" t="str">
        <f>"ABST FEE 6/14/17"</f>
        <v>ABST FEE 6/14/17</v>
      </c>
      <c r="I894" s="2">
        <v>175</v>
      </c>
      <c r="J894" t="str">
        <f>"ABST FEE 6/14/17"</f>
        <v>ABST FEE 6/14/17</v>
      </c>
    </row>
    <row r="895" spans="1:11" x14ac:dyDescent="0.3">
      <c r="A895" t="str">
        <f>""</f>
        <v/>
      </c>
      <c r="B895" t="str">
        <f>""</f>
        <v/>
      </c>
      <c r="G895" t="str">
        <f>"12309"</f>
        <v>12309</v>
      </c>
      <c r="H895" t="str">
        <f>"SERVICE 6/14/17"</f>
        <v>SERVICE 6/14/17</v>
      </c>
      <c r="I895" s="2">
        <v>175</v>
      </c>
      <c r="J895" t="str">
        <f>"SERVICE 6/14/17"</f>
        <v>SERVICE 6/14/17</v>
      </c>
    </row>
    <row r="896" spans="1:11" x14ac:dyDescent="0.3">
      <c r="A896" t="str">
        <f>""</f>
        <v/>
      </c>
      <c r="B896" t="str">
        <f>""</f>
        <v/>
      </c>
      <c r="G896" t="str">
        <f>"12404"</f>
        <v>12404</v>
      </c>
      <c r="H896" t="str">
        <f t="shared" ref="H896:H904" si="14">"ABST FEE 6/14/17"</f>
        <v>ABST FEE 6/14/17</v>
      </c>
      <c r="I896" s="2">
        <v>175</v>
      </c>
      <c r="J896" t="str">
        <f t="shared" ref="J896:J904" si="15">"ABST FEE 6/14/17"</f>
        <v>ABST FEE 6/14/17</v>
      </c>
    </row>
    <row r="897" spans="1:10" x14ac:dyDescent="0.3">
      <c r="A897" t="str">
        <f>""</f>
        <v/>
      </c>
      <c r="B897" t="str">
        <f>""</f>
        <v/>
      </c>
      <c r="G897" t="str">
        <f>"12458"</f>
        <v>12458</v>
      </c>
      <c r="H897" t="str">
        <f t="shared" si="14"/>
        <v>ABST FEE 6/14/17</v>
      </c>
      <c r="I897" s="2">
        <v>175</v>
      </c>
      <c r="J897" t="str">
        <f t="shared" si="15"/>
        <v>ABST FEE 6/14/17</v>
      </c>
    </row>
    <row r="898" spans="1:10" x14ac:dyDescent="0.3">
      <c r="A898" t="str">
        <f>""</f>
        <v/>
      </c>
      <c r="B898" t="str">
        <f>""</f>
        <v/>
      </c>
      <c r="G898" t="str">
        <f>"12459"</f>
        <v>12459</v>
      </c>
      <c r="H898" t="str">
        <f t="shared" si="14"/>
        <v>ABST FEE 6/14/17</v>
      </c>
      <c r="I898" s="2">
        <v>175</v>
      </c>
      <c r="J898" t="str">
        <f t="shared" si="15"/>
        <v>ABST FEE 6/14/17</v>
      </c>
    </row>
    <row r="899" spans="1:10" x14ac:dyDescent="0.3">
      <c r="A899" t="str">
        <f>""</f>
        <v/>
      </c>
      <c r="B899" t="str">
        <f>""</f>
        <v/>
      </c>
      <c r="G899" t="str">
        <f>"12464"</f>
        <v>12464</v>
      </c>
      <c r="H899" t="str">
        <f t="shared" si="14"/>
        <v>ABST FEE 6/14/17</v>
      </c>
      <c r="I899" s="2">
        <v>175</v>
      </c>
      <c r="J899" t="str">
        <f t="shared" si="15"/>
        <v>ABST FEE 6/14/17</v>
      </c>
    </row>
    <row r="900" spans="1:10" x14ac:dyDescent="0.3">
      <c r="A900" t="str">
        <f>""</f>
        <v/>
      </c>
      <c r="B900" t="str">
        <f>""</f>
        <v/>
      </c>
      <c r="G900" t="str">
        <f>"12468"</f>
        <v>12468</v>
      </c>
      <c r="H900" t="str">
        <f t="shared" si="14"/>
        <v>ABST FEE 6/14/17</v>
      </c>
      <c r="I900" s="2">
        <v>175</v>
      </c>
      <c r="J900" t="str">
        <f t="shared" si="15"/>
        <v>ABST FEE 6/14/17</v>
      </c>
    </row>
    <row r="901" spans="1:10" x14ac:dyDescent="0.3">
      <c r="A901" t="str">
        <f>""</f>
        <v/>
      </c>
      <c r="B901" t="str">
        <f>""</f>
        <v/>
      </c>
      <c r="G901" t="str">
        <f>"12477"</f>
        <v>12477</v>
      </c>
      <c r="H901" t="str">
        <f t="shared" si="14"/>
        <v>ABST FEE 6/14/17</v>
      </c>
      <c r="I901" s="2">
        <v>175</v>
      </c>
      <c r="J901" t="str">
        <f t="shared" si="15"/>
        <v>ABST FEE 6/14/17</v>
      </c>
    </row>
    <row r="902" spans="1:10" x14ac:dyDescent="0.3">
      <c r="A902" t="str">
        <f>""</f>
        <v/>
      </c>
      <c r="B902" t="str">
        <f>""</f>
        <v/>
      </c>
      <c r="G902" t="str">
        <f>"12507"</f>
        <v>12507</v>
      </c>
      <c r="H902" t="str">
        <f t="shared" si="14"/>
        <v>ABST FEE 6/14/17</v>
      </c>
      <c r="I902" s="2">
        <v>175</v>
      </c>
      <c r="J902" t="str">
        <f t="shared" si="15"/>
        <v>ABST FEE 6/14/17</v>
      </c>
    </row>
    <row r="903" spans="1:10" x14ac:dyDescent="0.3">
      <c r="A903" t="str">
        <f>""</f>
        <v/>
      </c>
      <c r="B903" t="str">
        <f>""</f>
        <v/>
      </c>
      <c r="G903" t="str">
        <f>"12530"</f>
        <v>12530</v>
      </c>
      <c r="H903" t="str">
        <f t="shared" si="14"/>
        <v>ABST FEE 6/14/17</v>
      </c>
      <c r="I903" s="2">
        <v>175</v>
      </c>
      <c r="J903" t="str">
        <f t="shared" si="15"/>
        <v>ABST FEE 6/14/17</v>
      </c>
    </row>
    <row r="904" spans="1:10" x14ac:dyDescent="0.3">
      <c r="A904" t="str">
        <f>""</f>
        <v/>
      </c>
      <c r="B904" t="str">
        <f>""</f>
        <v/>
      </c>
      <c r="G904" t="str">
        <f>"12539"</f>
        <v>12539</v>
      </c>
      <c r="H904" t="str">
        <f t="shared" si="14"/>
        <v>ABST FEE 6/14/17</v>
      </c>
      <c r="I904" s="2">
        <v>175</v>
      </c>
      <c r="J904" t="str">
        <f t="shared" si="15"/>
        <v>ABST FEE 6/14/17</v>
      </c>
    </row>
    <row r="905" spans="1:10" x14ac:dyDescent="0.3">
      <c r="A905" t="str">
        <f>""</f>
        <v/>
      </c>
      <c r="B905" t="str">
        <f>""</f>
        <v/>
      </c>
      <c r="G905" t="str">
        <f>"12593"</f>
        <v>12593</v>
      </c>
      <c r="H905" t="str">
        <f>"ABST FEE 6/29/17"</f>
        <v>ABST FEE 6/29/17</v>
      </c>
      <c r="I905" s="2">
        <v>56</v>
      </c>
      <c r="J905" t="str">
        <f>"ABST FEE 6/29/17"</f>
        <v>ABST FEE 6/29/17</v>
      </c>
    </row>
    <row r="906" spans="1:10" x14ac:dyDescent="0.3">
      <c r="A906" t="str">
        <f>""</f>
        <v/>
      </c>
      <c r="B906" t="str">
        <f>""</f>
        <v/>
      </c>
      <c r="G906" t="str">
        <f>"12650"</f>
        <v>12650</v>
      </c>
      <c r="H906" t="str">
        <f>"ABST FEE 6/30/17"</f>
        <v>ABST FEE 6/30/17</v>
      </c>
      <c r="I906" s="2">
        <v>225</v>
      </c>
      <c r="J906" t="str">
        <f>"ABST FEE 6/30/17"</f>
        <v>ABST FEE 6/30/17</v>
      </c>
    </row>
    <row r="907" spans="1:10" x14ac:dyDescent="0.3">
      <c r="A907" t="str">
        <f>""</f>
        <v/>
      </c>
      <c r="B907" t="str">
        <f>""</f>
        <v/>
      </c>
      <c r="G907" t="str">
        <f>"12720"</f>
        <v>12720</v>
      </c>
      <c r="H907" t="str">
        <f>"ABST FEE 7/5/17"</f>
        <v>ABST FEE 7/5/17</v>
      </c>
      <c r="I907" s="2">
        <v>225</v>
      </c>
      <c r="J907" t="str">
        <f>"ABST FEE 7/5/17"</f>
        <v>ABST FEE 7/5/17</v>
      </c>
    </row>
    <row r="908" spans="1:10" x14ac:dyDescent="0.3">
      <c r="A908" t="str">
        <f>""</f>
        <v/>
      </c>
      <c r="B908" t="str">
        <f>""</f>
        <v/>
      </c>
      <c r="G908" t="str">
        <f>"12727"</f>
        <v>12727</v>
      </c>
      <c r="H908" t="str">
        <f>"ABST FEE 6/29/17"</f>
        <v>ABST FEE 6/29/17</v>
      </c>
      <c r="I908" s="2">
        <v>225</v>
      </c>
      <c r="J908" t="str">
        <f>"ABST FEE 6/29/17"</f>
        <v>ABST FEE 6/29/17</v>
      </c>
    </row>
    <row r="909" spans="1:10" x14ac:dyDescent="0.3">
      <c r="A909" t="str">
        <f>""</f>
        <v/>
      </c>
      <c r="B909" t="str">
        <f>""</f>
        <v/>
      </c>
      <c r="G909" t="str">
        <f>"7360 7/5/17"</f>
        <v>7360 7/5/17</v>
      </c>
      <c r="H909" t="str">
        <f>"ABST FEE 7/5/17"</f>
        <v>ABST FEE 7/5/17</v>
      </c>
      <c r="I909" s="2">
        <v>212</v>
      </c>
      <c r="J909" t="str">
        <f>"ABST FEE 7/5/17"</f>
        <v>ABST FEE 7/5/17</v>
      </c>
    </row>
    <row r="910" spans="1:10" x14ac:dyDescent="0.3">
      <c r="A910" t="str">
        <f t="shared" ref="A910:A915" si="16">"01"</f>
        <v>01</v>
      </c>
      <c r="B910" t="str">
        <f>"002271"</f>
        <v>002271</v>
      </c>
      <c r="C910" t="s">
        <v>267</v>
      </c>
      <c r="D910">
        <v>72037</v>
      </c>
      <c r="E910" s="2">
        <v>682.57</v>
      </c>
      <c r="F910" s="1">
        <v>42961</v>
      </c>
      <c r="G910" t="str">
        <f>"201708094168"</f>
        <v>201708094168</v>
      </c>
      <c r="H910" t="str">
        <f>"INDIGENT HEALTH"</f>
        <v>INDIGENT HEALTH</v>
      </c>
      <c r="I910" s="2">
        <v>682.57</v>
      </c>
      <c r="J910" t="str">
        <f>"INDIGENT HEALTH"</f>
        <v>INDIGENT HEALTH</v>
      </c>
    </row>
    <row r="911" spans="1:10" x14ac:dyDescent="0.3">
      <c r="A911" t="str">
        <f t="shared" si="16"/>
        <v>01</v>
      </c>
      <c r="B911" t="str">
        <f>"002271"</f>
        <v>002271</v>
      </c>
      <c r="C911" t="s">
        <v>267</v>
      </c>
      <c r="D911">
        <v>72289</v>
      </c>
      <c r="E911" s="2">
        <v>1057.8</v>
      </c>
      <c r="F911" s="1">
        <v>42976</v>
      </c>
      <c r="G911" t="str">
        <f>"201708234401"</f>
        <v>201708234401</v>
      </c>
      <c r="H911" t="str">
        <f>"INDIGENT HEALTH"</f>
        <v>INDIGENT HEALTH</v>
      </c>
      <c r="I911" s="2">
        <v>1057.8</v>
      </c>
      <c r="J911" t="str">
        <f>"INDIGENT HEALTH"</f>
        <v>INDIGENT HEALTH</v>
      </c>
    </row>
    <row r="912" spans="1:10" x14ac:dyDescent="0.3">
      <c r="A912" t="str">
        <f t="shared" si="16"/>
        <v>01</v>
      </c>
      <c r="B912" t="str">
        <f>"002616"</f>
        <v>002616</v>
      </c>
      <c r="C912" t="s">
        <v>268</v>
      </c>
      <c r="D912">
        <v>72290</v>
      </c>
      <c r="E912" s="2">
        <v>100</v>
      </c>
      <c r="F912" s="1">
        <v>42976</v>
      </c>
      <c r="G912" t="str">
        <f>"12464"</f>
        <v>12464</v>
      </c>
      <c r="H912" t="str">
        <f>"SERVICE 6/14/17"</f>
        <v>SERVICE 6/14/17</v>
      </c>
      <c r="I912" s="2">
        <v>100</v>
      </c>
      <c r="J912" t="str">
        <f>"SERVICE 6/14/17"</f>
        <v>SERVICE 6/14/17</v>
      </c>
    </row>
    <row r="913" spans="1:11" x14ac:dyDescent="0.3">
      <c r="A913" t="str">
        <f t="shared" si="16"/>
        <v>01</v>
      </c>
      <c r="B913" t="str">
        <f>"003745"</f>
        <v>003745</v>
      </c>
      <c r="C913" t="s">
        <v>269</v>
      </c>
      <c r="D913">
        <v>72038</v>
      </c>
      <c r="E913" s="2">
        <v>25</v>
      </c>
      <c r="F913" s="1">
        <v>42961</v>
      </c>
      <c r="G913" t="s">
        <v>196</v>
      </c>
      <c r="H913" t="s">
        <v>225</v>
      </c>
      <c r="I913" s="2" t="str">
        <f>"RESTITUTION-D. SPURK"</f>
        <v>RESTITUTION-D. SPURK</v>
      </c>
      <c r="J913" t="str">
        <f>"210-0000"</f>
        <v>210-0000</v>
      </c>
      <c r="K913">
        <v>25</v>
      </c>
    </row>
    <row r="914" spans="1:11" x14ac:dyDescent="0.3">
      <c r="A914" t="str">
        <f t="shared" si="16"/>
        <v>01</v>
      </c>
      <c r="B914" t="str">
        <f>"000754"</f>
        <v>000754</v>
      </c>
      <c r="C914" t="s">
        <v>270</v>
      </c>
      <c r="D914">
        <v>72039</v>
      </c>
      <c r="E914" s="2">
        <v>1800</v>
      </c>
      <c r="F914" s="1">
        <v>42961</v>
      </c>
      <c r="G914" t="str">
        <f>"201708044008"</f>
        <v>201708044008</v>
      </c>
      <c r="H914" t="str">
        <f>"HCP SURVEY MAY JUNE JULY '17"</f>
        <v>HCP SURVEY MAY JUNE JULY '17</v>
      </c>
      <c r="I914" s="2">
        <v>1800</v>
      </c>
      <c r="J914" t="str">
        <f>"HCP SURVEY MAY JUNE JULY '17"</f>
        <v>HCP SURVEY MAY JUNE JULY '17</v>
      </c>
    </row>
    <row r="915" spans="1:11" x14ac:dyDescent="0.3">
      <c r="A915" t="str">
        <f t="shared" si="16"/>
        <v>01</v>
      </c>
      <c r="B915" t="str">
        <f>"MU&amp;E"</f>
        <v>MU&amp;E</v>
      </c>
      <c r="C915" t="s">
        <v>271</v>
      </c>
      <c r="D915">
        <v>72040</v>
      </c>
      <c r="E915" s="2">
        <v>2580.73</v>
      </c>
      <c r="F915" s="1">
        <v>42961</v>
      </c>
      <c r="G915" t="str">
        <f>"80776"</f>
        <v>80776</v>
      </c>
      <c r="H915" t="str">
        <f>"DESCHAMBAULT 80776"</f>
        <v>DESCHAMBAULT 80776</v>
      </c>
      <c r="I915" s="2">
        <v>208.5</v>
      </c>
      <c r="J915" t="str">
        <f>"DESCHAMBAULT 80776"</f>
        <v>DESCHAMBAULT 80776</v>
      </c>
    </row>
    <row r="916" spans="1:11" x14ac:dyDescent="0.3">
      <c r="A916" t="str">
        <f>""</f>
        <v/>
      </c>
      <c r="B916" t="str">
        <f>""</f>
        <v/>
      </c>
      <c r="G916" t="str">
        <f>"80777"</f>
        <v>80777</v>
      </c>
      <c r="H916" t="str">
        <f>"BENTURA 80777"</f>
        <v>BENTURA 80777</v>
      </c>
      <c r="I916" s="2">
        <v>233.97</v>
      </c>
      <c r="J916" t="str">
        <f>"BENTURA 80777"</f>
        <v>BENTURA 80777</v>
      </c>
    </row>
    <row r="917" spans="1:11" x14ac:dyDescent="0.3">
      <c r="A917" t="str">
        <f>""</f>
        <v/>
      </c>
      <c r="B917" t="str">
        <f>""</f>
        <v/>
      </c>
      <c r="G917" t="str">
        <f>"80878"</f>
        <v>80878</v>
      </c>
      <c r="H917" t="str">
        <f>"INV 80878"</f>
        <v>INV 80878</v>
      </c>
      <c r="I917" s="2">
        <v>979.63</v>
      </c>
      <c r="J917" t="str">
        <f>"INV 80878"</f>
        <v>INV 80878</v>
      </c>
    </row>
    <row r="918" spans="1:11" x14ac:dyDescent="0.3">
      <c r="A918" t="str">
        <f>""</f>
        <v/>
      </c>
      <c r="B918" t="str">
        <f>""</f>
        <v/>
      </c>
      <c r="G918" t="str">
        <f>"80879"</f>
        <v>80879</v>
      </c>
      <c r="H918" t="str">
        <f>"INV 80879"</f>
        <v>INV 80879</v>
      </c>
      <c r="I918" s="2">
        <v>979.63</v>
      </c>
      <c r="J918" t="str">
        <f>"INV 80879"</f>
        <v>INV 80879</v>
      </c>
    </row>
    <row r="919" spans="1:11" x14ac:dyDescent="0.3">
      <c r="A919" t="str">
        <f>""</f>
        <v/>
      </c>
      <c r="B919" t="str">
        <f>""</f>
        <v/>
      </c>
      <c r="G919" t="str">
        <f>"81532"</f>
        <v>81532</v>
      </c>
      <c r="H919" t="str">
        <f>"INV 81532"</f>
        <v>INV 81532</v>
      </c>
      <c r="I919" s="2">
        <v>89.5</v>
      </c>
      <c r="J919" t="str">
        <f>"INV 81532"</f>
        <v>INV 81532</v>
      </c>
    </row>
    <row r="920" spans="1:11" x14ac:dyDescent="0.3">
      <c r="A920" t="str">
        <f>""</f>
        <v/>
      </c>
      <c r="B920" t="str">
        <f>""</f>
        <v/>
      </c>
      <c r="G920" t="str">
        <f>"81748"</f>
        <v>81748</v>
      </c>
      <c r="H920" t="str">
        <f>"INV 81748"</f>
        <v>INV 81748</v>
      </c>
      <c r="I920" s="2">
        <v>89.5</v>
      </c>
      <c r="J920" t="str">
        <f>"INV 81748"</f>
        <v>INV 81748</v>
      </c>
    </row>
    <row r="921" spans="1:11" x14ac:dyDescent="0.3">
      <c r="A921" t="str">
        <f>"01"</f>
        <v>01</v>
      </c>
      <c r="B921" t="str">
        <f>"MU&amp;E"</f>
        <v>MU&amp;E</v>
      </c>
      <c r="C921" t="s">
        <v>271</v>
      </c>
      <c r="D921">
        <v>72291</v>
      </c>
      <c r="E921" s="2">
        <v>1087.49</v>
      </c>
      <c r="F921" s="1">
        <v>42976</v>
      </c>
      <c r="G921" t="str">
        <f>"72708"</f>
        <v>72708</v>
      </c>
      <c r="H921" t="str">
        <f>"ACCT#892/PCT#4"</f>
        <v>ACCT#892/PCT#4</v>
      </c>
      <c r="I921" s="2">
        <v>24.94</v>
      </c>
      <c r="J921" t="str">
        <f>"ACCT#892/PCT#4"</f>
        <v>ACCT#892/PCT#4</v>
      </c>
    </row>
    <row r="922" spans="1:11" x14ac:dyDescent="0.3">
      <c r="A922" t="str">
        <f>""</f>
        <v/>
      </c>
      <c r="B922" t="str">
        <f>""</f>
        <v/>
      </c>
      <c r="G922" t="str">
        <f>"78391/80253"</f>
        <v>78391/80253</v>
      </c>
      <c r="H922" t="str">
        <f>"INV 78391/80253"</f>
        <v>INV 78391/80253</v>
      </c>
      <c r="I922" s="2">
        <v>487.45</v>
      </c>
      <c r="J922" t="str">
        <f>"INV 78391"</f>
        <v>INV 78391</v>
      </c>
    </row>
    <row r="923" spans="1:11" x14ac:dyDescent="0.3">
      <c r="A923" t="str">
        <f>""</f>
        <v/>
      </c>
      <c r="B923" t="str">
        <f>""</f>
        <v/>
      </c>
      <c r="G923" t="str">
        <f>""</f>
        <v/>
      </c>
      <c r="H923" t="str">
        <f>""</f>
        <v/>
      </c>
      <c r="J923" t="str">
        <f>"INV 80253"</f>
        <v>INV 80253</v>
      </c>
    </row>
    <row r="924" spans="1:11" x14ac:dyDescent="0.3">
      <c r="A924" t="str">
        <f>""</f>
        <v/>
      </c>
      <c r="B924" t="str">
        <f>""</f>
        <v/>
      </c>
      <c r="G924" t="str">
        <f>"81835"</f>
        <v>81835</v>
      </c>
      <c r="H924" t="str">
        <f>"INV 81835"</f>
        <v>INV 81835</v>
      </c>
      <c r="I924" s="2">
        <v>47.5</v>
      </c>
      <c r="J924" t="str">
        <f>"INV 81835"</f>
        <v>INV 81835</v>
      </c>
    </row>
    <row r="925" spans="1:11" x14ac:dyDescent="0.3">
      <c r="A925" t="str">
        <f>""</f>
        <v/>
      </c>
      <c r="B925" t="str">
        <f>""</f>
        <v/>
      </c>
      <c r="G925" t="str">
        <f>"82415"</f>
        <v>82415</v>
      </c>
      <c r="H925" t="str">
        <f>"INV 82415"</f>
        <v>INV 82415</v>
      </c>
      <c r="I925" s="2">
        <v>319.10000000000002</v>
      </c>
      <c r="J925" t="str">
        <f>"INV 82415"</f>
        <v>INV 82415</v>
      </c>
    </row>
    <row r="926" spans="1:11" x14ac:dyDescent="0.3">
      <c r="A926" t="str">
        <f>""</f>
        <v/>
      </c>
      <c r="B926" t="str">
        <f>""</f>
        <v/>
      </c>
      <c r="G926" t="str">
        <f>"82965"</f>
        <v>82965</v>
      </c>
      <c r="H926" t="str">
        <f>"INV 82965"</f>
        <v>INV 82965</v>
      </c>
      <c r="I926" s="2">
        <v>208.5</v>
      </c>
      <c r="J926" t="str">
        <f>"INV 82965"</f>
        <v>INV 82965</v>
      </c>
    </row>
    <row r="927" spans="1:11" x14ac:dyDescent="0.3">
      <c r="A927" t="str">
        <f t="shared" ref="A927:A940" si="17">"01"</f>
        <v>01</v>
      </c>
      <c r="B927" t="str">
        <f t="shared" ref="B927:B938" si="18">"1"</f>
        <v>1</v>
      </c>
      <c r="C927" t="s">
        <v>272</v>
      </c>
      <c r="D927">
        <v>72394</v>
      </c>
      <c r="E927" s="2">
        <v>40</v>
      </c>
      <c r="F927" s="1">
        <v>42976</v>
      </c>
      <c r="G927" t="str">
        <f>"201708294455"</f>
        <v>201708294455</v>
      </c>
      <c r="H927" t="str">
        <f>"Miscell"</f>
        <v>Miscell</v>
      </c>
      <c r="I927" s="2">
        <v>40</v>
      </c>
      <c r="J927" t="str">
        <f>"JUSTIN MARK GERHARDT"</f>
        <v>JUSTIN MARK GERHARDT</v>
      </c>
    </row>
    <row r="928" spans="1:11" x14ac:dyDescent="0.3">
      <c r="A928" t="str">
        <f t="shared" si="17"/>
        <v>01</v>
      </c>
      <c r="B928" t="str">
        <f t="shared" si="18"/>
        <v>1</v>
      </c>
      <c r="C928" t="s">
        <v>273</v>
      </c>
      <c r="D928">
        <v>72395</v>
      </c>
      <c r="E928" s="2">
        <v>40</v>
      </c>
      <c r="F928" s="1">
        <v>42976</v>
      </c>
      <c r="G928" t="str">
        <f>"201708294456"</f>
        <v>201708294456</v>
      </c>
      <c r="H928" t="str">
        <f>"Misce"</f>
        <v>Misce</v>
      </c>
      <c r="I928" s="2">
        <v>40</v>
      </c>
      <c r="J928" t="str">
        <f>"STEPHANIE REBER GOERTZ"</f>
        <v>STEPHANIE REBER GOERTZ</v>
      </c>
    </row>
    <row r="929" spans="1:10" x14ac:dyDescent="0.3">
      <c r="A929" t="str">
        <f t="shared" si="17"/>
        <v>01</v>
      </c>
      <c r="B929" t="str">
        <f t="shared" si="18"/>
        <v>1</v>
      </c>
      <c r="C929" t="s">
        <v>274</v>
      </c>
      <c r="D929">
        <v>72396</v>
      </c>
      <c r="E929" s="2">
        <v>40</v>
      </c>
      <c r="F929" s="1">
        <v>42976</v>
      </c>
      <c r="G929" t="str">
        <f>"201708294457"</f>
        <v>201708294457</v>
      </c>
      <c r="H929" t="str">
        <f>"Miscellane"</f>
        <v>Miscellane</v>
      </c>
      <c r="I929" s="2">
        <v>40</v>
      </c>
      <c r="J929" t="str">
        <f>"JOSHUA DEAN NIXON"</f>
        <v>JOSHUA DEAN NIXON</v>
      </c>
    </row>
    <row r="930" spans="1:10" x14ac:dyDescent="0.3">
      <c r="A930" t="str">
        <f t="shared" si="17"/>
        <v>01</v>
      </c>
      <c r="B930" t="str">
        <f t="shared" si="18"/>
        <v>1</v>
      </c>
      <c r="C930" t="s">
        <v>275</v>
      </c>
      <c r="D930">
        <v>72397</v>
      </c>
      <c r="E930" s="2">
        <v>40</v>
      </c>
      <c r="F930" s="1">
        <v>42976</v>
      </c>
      <c r="G930" t="str">
        <f>"201708294458"</f>
        <v>201708294458</v>
      </c>
      <c r="H930" t="str">
        <f>"Misce"</f>
        <v>Misce</v>
      </c>
      <c r="I930" s="2">
        <v>40</v>
      </c>
      <c r="J930" t="str">
        <f>"RICHARD BRENT CARLISLE"</f>
        <v>RICHARD BRENT CARLISLE</v>
      </c>
    </row>
    <row r="931" spans="1:10" x14ac:dyDescent="0.3">
      <c r="A931" t="str">
        <f t="shared" si="17"/>
        <v>01</v>
      </c>
      <c r="B931" t="str">
        <f t="shared" si="18"/>
        <v>1</v>
      </c>
      <c r="C931" t="s">
        <v>276</v>
      </c>
      <c r="D931">
        <v>72398</v>
      </c>
      <c r="E931" s="2">
        <v>40</v>
      </c>
      <c r="F931" s="1">
        <v>42976</v>
      </c>
      <c r="G931" t="str">
        <f>"201708294459"</f>
        <v>201708294459</v>
      </c>
      <c r="H931" t="str">
        <f>"Miscel"</f>
        <v>Miscel</v>
      </c>
      <c r="I931" s="2">
        <v>40</v>
      </c>
      <c r="J931" t="str">
        <f>"POLLYE ANITA HOFSTEDT"</f>
        <v>POLLYE ANITA HOFSTEDT</v>
      </c>
    </row>
    <row r="932" spans="1:10" x14ac:dyDescent="0.3">
      <c r="A932" t="str">
        <f t="shared" si="17"/>
        <v>01</v>
      </c>
      <c r="B932" t="str">
        <f t="shared" si="18"/>
        <v>1</v>
      </c>
      <c r="C932" t="s">
        <v>277</v>
      </c>
      <c r="D932">
        <v>72399</v>
      </c>
      <c r="E932" s="2">
        <v>40</v>
      </c>
      <c r="F932" s="1">
        <v>42976</v>
      </c>
      <c r="G932" t="str">
        <f>"201708294460"</f>
        <v>201708294460</v>
      </c>
      <c r="H932" t="str">
        <f>"Miscellaneous"</f>
        <v>Miscellaneous</v>
      </c>
      <c r="I932" s="2">
        <v>40</v>
      </c>
      <c r="J932" t="str">
        <f>"SOLEDAD SIERRA"</f>
        <v>SOLEDAD SIERRA</v>
      </c>
    </row>
    <row r="933" spans="1:10" x14ac:dyDescent="0.3">
      <c r="A933" t="str">
        <f t="shared" si="17"/>
        <v>01</v>
      </c>
      <c r="B933" t="str">
        <f t="shared" si="18"/>
        <v>1</v>
      </c>
      <c r="C933" t="s">
        <v>278</v>
      </c>
      <c r="D933">
        <v>72400</v>
      </c>
      <c r="E933" s="2">
        <v>40</v>
      </c>
      <c r="F933" s="1">
        <v>42976</v>
      </c>
      <c r="G933" t="str">
        <f>"201708294461"</f>
        <v>201708294461</v>
      </c>
      <c r="H933" t="str">
        <f>"Miscellaneo"</f>
        <v>Miscellaneo</v>
      </c>
      <c r="I933" s="2">
        <v>40</v>
      </c>
      <c r="J933" t="str">
        <f>"HAROLD DEE FLOYD"</f>
        <v>HAROLD DEE FLOYD</v>
      </c>
    </row>
    <row r="934" spans="1:10" x14ac:dyDescent="0.3">
      <c r="A934" t="str">
        <f t="shared" si="17"/>
        <v>01</v>
      </c>
      <c r="B934" t="str">
        <f t="shared" si="18"/>
        <v>1</v>
      </c>
      <c r="C934" t="s">
        <v>279</v>
      </c>
      <c r="D934">
        <v>72401</v>
      </c>
      <c r="E934" s="2">
        <v>40</v>
      </c>
      <c r="F934" s="1">
        <v>42976</v>
      </c>
      <c r="G934" t="str">
        <f>"201708294462"</f>
        <v>201708294462</v>
      </c>
      <c r="H934" t="str">
        <f>"Miscell"</f>
        <v>Miscell</v>
      </c>
      <c r="I934" s="2">
        <v>40</v>
      </c>
      <c r="J934" t="str">
        <f>"RANDY DALE GELTMEIER"</f>
        <v>RANDY DALE GELTMEIER</v>
      </c>
    </row>
    <row r="935" spans="1:10" x14ac:dyDescent="0.3">
      <c r="A935" t="str">
        <f t="shared" si="17"/>
        <v>01</v>
      </c>
      <c r="B935" t="str">
        <f t="shared" si="18"/>
        <v>1</v>
      </c>
      <c r="C935" t="s">
        <v>280</v>
      </c>
      <c r="D935">
        <v>72402</v>
      </c>
      <c r="E935" s="2">
        <v>40</v>
      </c>
      <c r="F935" s="1">
        <v>42976</v>
      </c>
      <c r="G935" t="str">
        <f>"201708294463"</f>
        <v>201708294463</v>
      </c>
      <c r="H935" t="str">
        <f>"Miscel"</f>
        <v>Miscel</v>
      </c>
      <c r="I935" s="2">
        <v>40</v>
      </c>
      <c r="J935" t="str">
        <f>"JEFFREY DONALD HARRIS"</f>
        <v>JEFFREY DONALD HARRIS</v>
      </c>
    </row>
    <row r="936" spans="1:10" x14ac:dyDescent="0.3">
      <c r="A936" t="str">
        <f t="shared" si="17"/>
        <v>01</v>
      </c>
      <c r="B936" t="str">
        <f t="shared" si="18"/>
        <v>1</v>
      </c>
      <c r="C936" t="s">
        <v>281</v>
      </c>
      <c r="D936">
        <v>72403</v>
      </c>
      <c r="E936" s="2">
        <v>40</v>
      </c>
      <c r="F936" s="1">
        <v>42976</v>
      </c>
      <c r="G936" t="str">
        <f>"201708294464"</f>
        <v>201708294464</v>
      </c>
      <c r="H936" t="str">
        <f>"Miscella"</f>
        <v>Miscella</v>
      </c>
      <c r="I936" s="2">
        <v>40</v>
      </c>
      <c r="J936" t="str">
        <f>"CHARLES WALTER FERS"</f>
        <v>CHARLES WALTER FERS</v>
      </c>
    </row>
    <row r="937" spans="1:10" x14ac:dyDescent="0.3">
      <c r="A937" t="str">
        <f t="shared" si="17"/>
        <v>01</v>
      </c>
      <c r="B937" t="str">
        <f t="shared" si="18"/>
        <v>1</v>
      </c>
      <c r="C937" t="s">
        <v>282</v>
      </c>
      <c r="D937">
        <v>72404</v>
      </c>
      <c r="E937" s="2">
        <v>40</v>
      </c>
      <c r="F937" s="1">
        <v>42976</v>
      </c>
      <c r="G937" t="str">
        <f>"201708294465"</f>
        <v>201708294465</v>
      </c>
      <c r="H937" t="str">
        <f>"Mi"</f>
        <v>Mi</v>
      </c>
      <c r="I937" s="2">
        <v>40</v>
      </c>
      <c r="J937" t="str">
        <f>"NORA EASTERWOOD SCHLUETER"</f>
        <v>NORA EASTERWOOD SCHLUETER</v>
      </c>
    </row>
    <row r="938" spans="1:10" x14ac:dyDescent="0.3">
      <c r="A938" t="str">
        <f t="shared" si="17"/>
        <v>01</v>
      </c>
      <c r="B938" t="str">
        <f t="shared" si="18"/>
        <v>1</v>
      </c>
      <c r="C938" t="s">
        <v>283</v>
      </c>
      <c r="D938">
        <v>72405</v>
      </c>
      <c r="E938" s="2">
        <v>40</v>
      </c>
      <c r="F938" s="1">
        <v>42976</v>
      </c>
      <c r="G938" t="str">
        <f>"201708294466"</f>
        <v>201708294466</v>
      </c>
      <c r="H938" t="str">
        <f>"Miscellan"</f>
        <v>Miscellan</v>
      </c>
      <c r="I938" s="2">
        <v>40</v>
      </c>
      <c r="J938" t="str">
        <f>"JOHN THOMAS ZINKER"</f>
        <v>JOHN THOMAS ZINKER</v>
      </c>
    </row>
    <row r="939" spans="1:10" x14ac:dyDescent="0.3">
      <c r="A939" t="str">
        <f t="shared" si="17"/>
        <v>01</v>
      </c>
      <c r="B939" t="str">
        <f>"MOORE"</f>
        <v>MOORE</v>
      </c>
      <c r="C939" t="s">
        <v>284</v>
      </c>
      <c r="D939">
        <v>72041</v>
      </c>
      <c r="E939" s="2">
        <v>582.71</v>
      </c>
      <c r="F939" s="1">
        <v>42961</v>
      </c>
      <c r="G939" t="str">
        <f>"99552632"</f>
        <v>99552632</v>
      </c>
      <c r="H939" t="str">
        <f>"MEDICAL SUPPLIES"</f>
        <v>MEDICAL SUPPLIES</v>
      </c>
      <c r="I939" s="2">
        <v>582.71</v>
      </c>
      <c r="J939" t="str">
        <f>"MEDICAL SUPPLIES"</f>
        <v>MEDICAL SUPPLIES</v>
      </c>
    </row>
    <row r="940" spans="1:10" x14ac:dyDescent="0.3">
      <c r="A940" t="str">
        <f t="shared" si="17"/>
        <v>01</v>
      </c>
      <c r="B940" t="str">
        <f>"MOORE"</f>
        <v>MOORE</v>
      </c>
      <c r="C940" t="s">
        <v>284</v>
      </c>
      <c r="D940">
        <v>72292</v>
      </c>
      <c r="E940" s="2">
        <v>1098.5999999999999</v>
      </c>
      <c r="F940" s="1">
        <v>42976</v>
      </c>
      <c r="G940" t="str">
        <f>"MULT INV#'S"</f>
        <v>MULT INV#'S</v>
      </c>
      <c r="H940" t="str">
        <f>"MULTIPLE INVOICE"</f>
        <v>MULTIPLE INVOICE</v>
      </c>
      <c r="I940" s="2">
        <v>699.96</v>
      </c>
      <c r="J940" t="str">
        <f>"INV 99575387"</f>
        <v>INV 99575387</v>
      </c>
    </row>
    <row r="941" spans="1:10" x14ac:dyDescent="0.3">
      <c r="A941" t="str">
        <f>""</f>
        <v/>
      </c>
      <c r="B941" t="str">
        <f>""</f>
        <v/>
      </c>
      <c r="G941" t="str">
        <f>""</f>
        <v/>
      </c>
      <c r="H941" t="str">
        <f>""</f>
        <v/>
      </c>
      <c r="J941" t="str">
        <f>"INV 99584847"</f>
        <v>INV 99584847</v>
      </c>
    </row>
    <row r="942" spans="1:10" x14ac:dyDescent="0.3">
      <c r="A942" t="str">
        <f>""</f>
        <v/>
      </c>
      <c r="B942" t="str">
        <f>""</f>
        <v/>
      </c>
      <c r="G942" t="str">
        <f>""</f>
        <v/>
      </c>
      <c r="H942" t="str">
        <f>""</f>
        <v/>
      </c>
      <c r="J942" t="str">
        <f>"INV 99588063"</f>
        <v>INV 99588063</v>
      </c>
    </row>
    <row r="943" spans="1:10" x14ac:dyDescent="0.3">
      <c r="A943" t="str">
        <f>""</f>
        <v/>
      </c>
      <c r="B943" t="str">
        <f>""</f>
        <v/>
      </c>
      <c r="G943" t="str">
        <f>"MULTIPLE INV #'S"</f>
        <v>MULTIPLE INV #'S</v>
      </c>
      <c r="H943" t="str">
        <f>"MULTIPLY INVOICES"</f>
        <v>MULTIPLY INVOICES</v>
      </c>
      <c r="I943" s="2">
        <v>398.64</v>
      </c>
      <c r="J943" t="str">
        <f>"INV 99567452"</f>
        <v>INV 99567452</v>
      </c>
    </row>
    <row r="944" spans="1:10" x14ac:dyDescent="0.3">
      <c r="A944" t="str">
        <f>""</f>
        <v/>
      </c>
      <c r="B944" t="str">
        <f>""</f>
        <v/>
      </c>
      <c r="G944" t="str">
        <f>""</f>
        <v/>
      </c>
      <c r="H944" t="str">
        <f>""</f>
        <v/>
      </c>
      <c r="J944" t="str">
        <f>"INV 99581544"</f>
        <v>INV 99581544</v>
      </c>
    </row>
    <row r="945" spans="1:10" x14ac:dyDescent="0.3">
      <c r="A945" t="str">
        <f>""</f>
        <v/>
      </c>
      <c r="B945" t="str">
        <f>""</f>
        <v/>
      </c>
      <c r="G945" t="str">
        <f>""</f>
        <v/>
      </c>
      <c r="H945" t="str">
        <f>""</f>
        <v/>
      </c>
      <c r="J945" t="str">
        <f>"INV 99579917"</f>
        <v>INV 99579917</v>
      </c>
    </row>
    <row r="946" spans="1:10" x14ac:dyDescent="0.3">
      <c r="A946" t="str">
        <f>"01"</f>
        <v>01</v>
      </c>
      <c r="B946" t="str">
        <f>"189"</f>
        <v>189</v>
      </c>
      <c r="C946" t="s">
        <v>285</v>
      </c>
      <c r="D946">
        <v>72293</v>
      </c>
      <c r="E946" s="2">
        <v>16295.73</v>
      </c>
      <c r="F946" s="1">
        <v>42976</v>
      </c>
      <c r="G946" t="str">
        <f>"201708214302"</f>
        <v>201708214302</v>
      </c>
      <c r="H946" t="str">
        <f>"RADIO SERVICE AGREEMENT"</f>
        <v>RADIO SERVICE AGREEMENT</v>
      </c>
      <c r="I946" s="2">
        <v>16295.73</v>
      </c>
      <c r="J946" t="str">
        <f>"RADIO SERVICE AGREEMENT"</f>
        <v>RADIO SERVICE AGREEMENT</v>
      </c>
    </row>
    <row r="947" spans="1:10" x14ac:dyDescent="0.3">
      <c r="A947" t="str">
        <f>"01"</f>
        <v>01</v>
      </c>
      <c r="B947" t="str">
        <f>"004694"</f>
        <v>004694</v>
      </c>
      <c r="C947" t="s">
        <v>286</v>
      </c>
      <c r="D947">
        <v>72294</v>
      </c>
      <c r="E947" s="2">
        <v>795</v>
      </c>
      <c r="F947" s="1">
        <v>42976</v>
      </c>
      <c r="G947" t="str">
        <f>"86345527"</f>
        <v>86345527</v>
      </c>
      <c r="H947" t="str">
        <f>"#150344157/GEN SVCS"</f>
        <v>#150344157/GEN SVCS</v>
      </c>
      <c r="I947" s="2">
        <v>795</v>
      </c>
      <c r="J947" t="str">
        <f>"#150344157/GEN SVCS"</f>
        <v>#150344157/GEN SVCS</v>
      </c>
    </row>
    <row r="948" spans="1:10" x14ac:dyDescent="0.3">
      <c r="A948" t="str">
        <f>"01"</f>
        <v>01</v>
      </c>
      <c r="B948" t="str">
        <f>"000562"</f>
        <v>000562</v>
      </c>
      <c r="C948" t="s">
        <v>287</v>
      </c>
      <c r="D948">
        <v>72233</v>
      </c>
      <c r="E948" s="2">
        <v>2760.8</v>
      </c>
      <c r="F948" s="1">
        <v>42976</v>
      </c>
      <c r="G948" t="str">
        <f>"IN0785589"</f>
        <v>IN0785589</v>
      </c>
      <c r="H948" t="str">
        <f>"INV IN0785589"</f>
        <v>INV IN0785589</v>
      </c>
      <c r="I948" s="2">
        <v>2760.8</v>
      </c>
      <c r="J948" t="str">
        <f>"INV IN0785589"</f>
        <v>INV IN0785589</v>
      </c>
    </row>
    <row r="949" spans="1:10" x14ac:dyDescent="0.3">
      <c r="A949" t="str">
        <f>"01"</f>
        <v>01</v>
      </c>
      <c r="B949" t="str">
        <f>"000562"</f>
        <v>000562</v>
      </c>
      <c r="C949" t="s">
        <v>287</v>
      </c>
      <c r="D949">
        <v>999999</v>
      </c>
      <c r="E949" s="2">
        <v>12285.04</v>
      </c>
      <c r="F949" s="1">
        <v>42961</v>
      </c>
      <c r="G949" t="str">
        <f>"IN0784690/0783008"</f>
        <v>IN0784690/0783008</v>
      </c>
      <c r="H949" t="str">
        <f>"FOOD IN0784690"</f>
        <v>FOOD IN0784690</v>
      </c>
      <c r="I949" s="2">
        <v>2376.5300000000002</v>
      </c>
      <c r="J949" t="str">
        <f>"FOOD IN0784690"</f>
        <v>FOOD IN0784690</v>
      </c>
    </row>
    <row r="950" spans="1:10" x14ac:dyDescent="0.3">
      <c r="A950" t="str">
        <f>""</f>
        <v/>
      </c>
      <c r="B950" t="str">
        <f>""</f>
        <v/>
      </c>
      <c r="G950" t="str">
        <f>""</f>
        <v/>
      </c>
      <c r="H950" t="str">
        <f>""</f>
        <v/>
      </c>
      <c r="J950" t="str">
        <f>"CREDIT MEMO"</f>
        <v>CREDIT MEMO</v>
      </c>
    </row>
    <row r="951" spans="1:10" x14ac:dyDescent="0.3">
      <c r="A951" t="str">
        <f>""</f>
        <v/>
      </c>
      <c r="B951" t="str">
        <f>""</f>
        <v/>
      </c>
      <c r="G951" t="str">
        <f>""</f>
        <v/>
      </c>
      <c r="H951" t="str">
        <f>""</f>
        <v/>
      </c>
      <c r="J951" t="str">
        <f>"IN0783008"</f>
        <v>IN0783008</v>
      </c>
    </row>
    <row r="952" spans="1:10" x14ac:dyDescent="0.3">
      <c r="A952" t="str">
        <f>""</f>
        <v/>
      </c>
      <c r="B952" t="str">
        <f>""</f>
        <v/>
      </c>
      <c r="G952" t="str">
        <f>"IN0784929"</f>
        <v>IN0784929</v>
      </c>
      <c r="H952" t="str">
        <f>"FOOD INV0784929"</f>
        <v>FOOD INV0784929</v>
      </c>
      <c r="I952" s="2">
        <v>3636</v>
      </c>
      <c r="J952" t="str">
        <f>"FOOD INV0784929"</f>
        <v>FOOD INV0784929</v>
      </c>
    </row>
    <row r="953" spans="1:10" x14ac:dyDescent="0.3">
      <c r="A953" t="str">
        <f>""</f>
        <v/>
      </c>
      <c r="B953" t="str">
        <f>""</f>
        <v/>
      </c>
      <c r="G953" t="str">
        <f>"IN0784988"</f>
        <v>IN0784988</v>
      </c>
      <c r="H953" t="str">
        <f>"FOOD IN0784988"</f>
        <v>FOOD IN0784988</v>
      </c>
      <c r="I953" s="2">
        <v>1160</v>
      </c>
      <c r="J953" t="str">
        <f>"FOOD IN0784988"</f>
        <v>FOOD IN0784988</v>
      </c>
    </row>
    <row r="954" spans="1:10" x14ac:dyDescent="0.3">
      <c r="A954" t="str">
        <f>""</f>
        <v/>
      </c>
      <c r="B954" t="str">
        <f>""</f>
        <v/>
      </c>
      <c r="G954" t="str">
        <f>"IN0785450"</f>
        <v>IN0785450</v>
      </c>
      <c r="H954" t="str">
        <f>"INV0785450 FOOD"</f>
        <v>INV0785450 FOOD</v>
      </c>
      <c r="I954" s="2">
        <v>5112.51</v>
      </c>
      <c r="J954" t="str">
        <f>"INV0785450 FOOD"</f>
        <v>INV0785450 FOOD</v>
      </c>
    </row>
    <row r="955" spans="1:10" x14ac:dyDescent="0.3">
      <c r="A955" t="str">
        <f>"01"</f>
        <v>01</v>
      </c>
      <c r="B955" t="str">
        <f>"T5845"</f>
        <v>T5845</v>
      </c>
      <c r="C955" t="s">
        <v>288</v>
      </c>
      <c r="D955">
        <v>72295</v>
      </c>
      <c r="E955" s="2">
        <v>320</v>
      </c>
      <c r="F955" s="1">
        <v>42976</v>
      </c>
      <c r="G955" t="str">
        <f>"INV-408106-Z3K6D5"</f>
        <v>INV-408106-Z3K6D5</v>
      </c>
      <c r="H955" t="str">
        <f>"5PE EXAM VOUCHER"</f>
        <v>5PE EXAM VOUCHER</v>
      </c>
      <c r="I955" s="2">
        <v>320</v>
      </c>
      <c r="J955" t="str">
        <f>"5PE EXAM VOUCHER"</f>
        <v>5PE EXAM VOUCHER</v>
      </c>
    </row>
    <row r="956" spans="1:10" x14ac:dyDescent="0.3">
      <c r="A956" t="str">
        <f>"01"</f>
        <v>01</v>
      </c>
      <c r="B956" t="str">
        <f>"000668"</f>
        <v>000668</v>
      </c>
      <c r="C956" t="s">
        <v>289</v>
      </c>
      <c r="D956">
        <v>999999</v>
      </c>
      <c r="E956" s="2">
        <v>900</v>
      </c>
      <c r="F956" s="1">
        <v>42961</v>
      </c>
      <c r="G956" t="str">
        <f>"100 BALES OF HAY"</f>
        <v>100 BALES OF HAY</v>
      </c>
      <c r="H956" t="str">
        <f>"HAY"</f>
        <v>HAY</v>
      </c>
      <c r="I956" s="2">
        <v>900</v>
      </c>
      <c r="J956" t="str">
        <f>"HAY"</f>
        <v>HAY</v>
      </c>
    </row>
    <row r="957" spans="1:10" x14ac:dyDescent="0.3">
      <c r="A957" t="str">
        <f>"01"</f>
        <v>01</v>
      </c>
      <c r="B957" t="str">
        <f>"T7758"</f>
        <v>T7758</v>
      </c>
      <c r="C957" t="s">
        <v>290</v>
      </c>
      <c r="D957">
        <v>72043</v>
      </c>
      <c r="E957" s="2">
        <v>1028.3900000000001</v>
      </c>
      <c r="F957" s="1">
        <v>42961</v>
      </c>
      <c r="G957" t="str">
        <f>"201708094169"</f>
        <v>201708094169</v>
      </c>
      <c r="H957" t="str">
        <f>"INDIGENT HEALTH"</f>
        <v>INDIGENT HEALTH</v>
      </c>
      <c r="I957" s="2">
        <v>1028.3900000000001</v>
      </c>
      <c r="J957" t="str">
        <f>"INDIGENT HEALTH"</f>
        <v>INDIGENT HEALTH</v>
      </c>
    </row>
    <row r="958" spans="1:10" x14ac:dyDescent="0.3">
      <c r="A958" t="str">
        <f>"01"</f>
        <v>01</v>
      </c>
      <c r="B958" t="str">
        <f>"004580"</f>
        <v>004580</v>
      </c>
      <c r="C958" t="s">
        <v>291</v>
      </c>
      <c r="D958">
        <v>72296</v>
      </c>
      <c r="E958" s="2">
        <v>223</v>
      </c>
      <c r="F958" s="1">
        <v>42976</v>
      </c>
      <c r="G958" t="str">
        <f>"100497205"</f>
        <v>100497205</v>
      </c>
      <c r="H958" t="str">
        <f>"CUST#24331/ITEM#FC 17/TT 17"</f>
        <v>CUST#24331/ITEM#FC 17/TT 17</v>
      </c>
      <c r="I958" s="2">
        <v>223</v>
      </c>
      <c r="J958" t="str">
        <f>"CUST#24331/ITEM#FC 17/TT 17"</f>
        <v>CUST#24331/ITEM#FC 17/TT 17</v>
      </c>
    </row>
    <row r="959" spans="1:10" x14ac:dyDescent="0.3">
      <c r="A959" t="str">
        <f>"01"</f>
        <v>01</v>
      </c>
      <c r="B959" t="str">
        <f>"T6614"</f>
        <v>T6614</v>
      </c>
      <c r="C959" t="s">
        <v>292</v>
      </c>
      <c r="D959">
        <v>999999</v>
      </c>
      <c r="E959" s="2">
        <v>488.72</v>
      </c>
      <c r="F959" s="1">
        <v>42961</v>
      </c>
      <c r="G959" t="str">
        <f>"0581-289183"</f>
        <v>0581-289183</v>
      </c>
      <c r="H959" t="str">
        <f>"INV 0581-289183 / UNIT 85"</f>
        <v>INV 0581-289183 / UNIT 85</v>
      </c>
      <c r="I959" s="2">
        <v>75.959999999999994</v>
      </c>
      <c r="J959" t="str">
        <f>"INV 0581-289183"</f>
        <v>INV 0581-289183</v>
      </c>
    </row>
    <row r="960" spans="1:10" x14ac:dyDescent="0.3">
      <c r="A960" t="str">
        <f>""</f>
        <v/>
      </c>
      <c r="B960" t="str">
        <f>""</f>
        <v/>
      </c>
      <c r="G960" t="str">
        <f>"201708044019"</f>
        <v>201708044019</v>
      </c>
      <c r="H960" t="str">
        <f>"CUST#99088/PCT#4"</f>
        <v>CUST#99088/PCT#4</v>
      </c>
      <c r="I960" s="2">
        <v>412.76</v>
      </c>
      <c r="J960" t="str">
        <f>"CUST#99088/PCT#4"</f>
        <v>CUST#99088/PCT#4</v>
      </c>
    </row>
    <row r="961" spans="1:10" x14ac:dyDescent="0.3">
      <c r="A961" t="str">
        <f>"01"</f>
        <v>01</v>
      </c>
      <c r="B961" t="str">
        <f>"001015"</f>
        <v>001015</v>
      </c>
      <c r="C961" t="s">
        <v>293</v>
      </c>
      <c r="D961">
        <v>72044</v>
      </c>
      <c r="E961" s="2">
        <v>1617</v>
      </c>
      <c r="F961" s="1">
        <v>42961</v>
      </c>
      <c r="G961" t="str">
        <f>"122001206/927008"</f>
        <v>122001206/927008</v>
      </c>
      <c r="H961" t="str">
        <f>"MILK122001206/927008"</f>
        <v>MILK122001206/927008</v>
      </c>
      <c r="I961" s="2">
        <v>462</v>
      </c>
      <c r="J961" t="str">
        <f>"MILK INV122001206"</f>
        <v>MILK INV122001206</v>
      </c>
    </row>
    <row r="962" spans="1:10" x14ac:dyDescent="0.3">
      <c r="A962" t="str">
        <f>""</f>
        <v/>
      </c>
      <c r="B962" t="str">
        <f>""</f>
        <v/>
      </c>
      <c r="G962" t="str">
        <f>""</f>
        <v/>
      </c>
      <c r="H962" t="str">
        <f>""</f>
        <v/>
      </c>
      <c r="J962" t="str">
        <f>"MILK INV927008"</f>
        <v>MILK INV927008</v>
      </c>
    </row>
    <row r="963" spans="1:10" x14ac:dyDescent="0.3">
      <c r="A963" t="str">
        <f>""</f>
        <v/>
      </c>
      <c r="B963" t="str">
        <f>""</f>
        <v/>
      </c>
      <c r="G963" t="str">
        <f>"122001268"</f>
        <v>122001268</v>
      </c>
      <c r="H963" t="str">
        <f>"MILK INV122001268"</f>
        <v>MILK INV122001268</v>
      </c>
      <c r="I963" s="2">
        <v>231</v>
      </c>
      <c r="J963" t="str">
        <f>"MILK INV122001268"</f>
        <v>MILK INV122001268</v>
      </c>
    </row>
    <row r="964" spans="1:10" x14ac:dyDescent="0.3">
      <c r="A964" t="str">
        <f>""</f>
        <v/>
      </c>
      <c r="B964" t="str">
        <f>""</f>
        <v/>
      </c>
      <c r="G964" t="str">
        <f>"122001421"</f>
        <v>122001421</v>
      </c>
      <c r="H964" t="str">
        <f>"MILK"</f>
        <v>MILK</v>
      </c>
      <c r="I964" s="2">
        <v>231</v>
      </c>
      <c r="J964" t="str">
        <f>"MILK"</f>
        <v>MILK</v>
      </c>
    </row>
    <row r="965" spans="1:10" x14ac:dyDescent="0.3">
      <c r="A965" t="str">
        <f>""</f>
        <v/>
      </c>
      <c r="B965" t="str">
        <f>""</f>
        <v/>
      </c>
      <c r="G965" t="str">
        <f>"12200967/924364"</f>
        <v>12200967/924364</v>
      </c>
      <c r="H965" t="str">
        <f>"MILK"</f>
        <v>MILK</v>
      </c>
      <c r="I965" s="2">
        <v>462</v>
      </c>
      <c r="J965" t="str">
        <f>"MILK"</f>
        <v>MILK</v>
      </c>
    </row>
    <row r="966" spans="1:10" x14ac:dyDescent="0.3">
      <c r="A966" t="str">
        <f>""</f>
        <v/>
      </c>
      <c r="B966" t="str">
        <f>""</f>
        <v/>
      </c>
      <c r="G966" t="str">
        <f>""</f>
        <v/>
      </c>
      <c r="H966" t="str">
        <f>""</f>
        <v/>
      </c>
      <c r="J966" t="str">
        <f>"MILK"</f>
        <v>MILK</v>
      </c>
    </row>
    <row r="967" spans="1:10" x14ac:dyDescent="0.3">
      <c r="A967" t="str">
        <f>""</f>
        <v/>
      </c>
      <c r="B967" t="str">
        <f>""</f>
        <v/>
      </c>
      <c r="G967" t="str">
        <f>"937358"</f>
        <v>937358</v>
      </c>
      <c r="H967" t="str">
        <f>"MILK"</f>
        <v>MILK</v>
      </c>
      <c r="I967" s="2">
        <v>231</v>
      </c>
      <c r="J967" t="str">
        <f>"MILK"</f>
        <v>MILK</v>
      </c>
    </row>
    <row r="968" spans="1:10" x14ac:dyDescent="0.3">
      <c r="A968" t="str">
        <f>"01"</f>
        <v>01</v>
      </c>
      <c r="B968" t="str">
        <f>"001015"</f>
        <v>001015</v>
      </c>
      <c r="C968" t="s">
        <v>293</v>
      </c>
      <c r="D968">
        <v>72297</v>
      </c>
      <c r="E968" s="2">
        <v>693</v>
      </c>
      <c r="F968" s="1">
        <v>42976</v>
      </c>
      <c r="G968" t="str">
        <f>"943865  945513"</f>
        <v>943865  945513</v>
      </c>
      <c r="H968" t="str">
        <f>"MULTIPLE INVOICES"</f>
        <v>MULTIPLE INVOICES</v>
      </c>
      <c r="I968" s="2">
        <v>462</v>
      </c>
      <c r="J968" t="str">
        <f>"INV 943865"</f>
        <v>INV 943865</v>
      </c>
    </row>
    <row r="969" spans="1:10" x14ac:dyDescent="0.3">
      <c r="A969" t="str">
        <f>""</f>
        <v/>
      </c>
      <c r="B969" t="str">
        <f>""</f>
        <v/>
      </c>
      <c r="G969" t="str">
        <f>""</f>
        <v/>
      </c>
      <c r="H969" t="str">
        <f>""</f>
        <v/>
      </c>
      <c r="J969" t="str">
        <f>"INV 945513"</f>
        <v>INV 945513</v>
      </c>
    </row>
    <row r="970" spans="1:10" x14ac:dyDescent="0.3">
      <c r="A970" t="str">
        <f>""</f>
        <v/>
      </c>
      <c r="B970" t="str">
        <f>""</f>
        <v/>
      </c>
      <c r="G970" t="str">
        <f>"950581"</f>
        <v>950581</v>
      </c>
      <c r="H970" t="str">
        <f>"INV 950581"</f>
        <v>INV 950581</v>
      </c>
      <c r="I970" s="2">
        <v>231</v>
      </c>
      <c r="J970" t="str">
        <f>"INV 950581"</f>
        <v>INV 950581</v>
      </c>
    </row>
    <row r="971" spans="1:10" x14ac:dyDescent="0.3">
      <c r="A971" t="str">
        <f>"01"</f>
        <v>01</v>
      </c>
      <c r="B971" t="str">
        <f>"T5769"</f>
        <v>T5769</v>
      </c>
      <c r="C971" t="s">
        <v>294</v>
      </c>
      <c r="D971">
        <v>72045</v>
      </c>
      <c r="E971" s="2">
        <v>6652.98</v>
      </c>
      <c r="F971" s="1">
        <v>42961</v>
      </c>
      <c r="G971" t="str">
        <f>"8278921"</f>
        <v>8278921</v>
      </c>
      <c r="H971" t="str">
        <f>"Bill# 8278921"</f>
        <v>Bill# 8278921</v>
      </c>
      <c r="I971" s="2">
        <v>4157.97</v>
      </c>
      <c r="J971" t="str">
        <f>"Order# 941112291001"</f>
        <v>Order# 941112291001</v>
      </c>
    </row>
    <row r="972" spans="1:10" x14ac:dyDescent="0.3">
      <c r="A972" t="str">
        <f>""</f>
        <v/>
      </c>
      <c r="B972" t="str">
        <f>""</f>
        <v/>
      </c>
      <c r="G972" t="str">
        <f>""</f>
        <v/>
      </c>
      <c r="H972" t="str">
        <f>""</f>
        <v/>
      </c>
      <c r="J972" t="str">
        <f>"Order# 942552455001"</f>
        <v>Order# 942552455001</v>
      </c>
    </row>
    <row r="973" spans="1:10" x14ac:dyDescent="0.3">
      <c r="A973" t="str">
        <f>""</f>
        <v/>
      </c>
      <c r="B973" t="str">
        <f>""</f>
        <v/>
      </c>
      <c r="G973" t="str">
        <f>""</f>
        <v/>
      </c>
      <c r="H973" t="str">
        <f>""</f>
        <v/>
      </c>
      <c r="J973" t="str">
        <f>"Order# 942515802001"</f>
        <v>Order# 942515802001</v>
      </c>
    </row>
    <row r="974" spans="1:10" x14ac:dyDescent="0.3">
      <c r="A974" t="str">
        <f>""</f>
        <v/>
      </c>
      <c r="B974" t="str">
        <f>""</f>
        <v/>
      </c>
      <c r="G974" t="str">
        <f>""</f>
        <v/>
      </c>
      <c r="H974" t="str">
        <f>""</f>
        <v/>
      </c>
      <c r="J974" t="str">
        <f>"Order# 942516255001"</f>
        <v>Order# 942516255001</v>
      </c>
    </row>
    <row r="975" spans="1:10" x14ac:dyDescent="0.3">
      <c r="A975" t="str">
        <f>""</f>
        <v/>
      </c>
      <c r="B975" t="str">
        <f>""</f>
        <v/>
      </c>
      <c r="G975" t="str">
        <f>""</f>
        <v/>
      </c>
      <c r="H975" t="str">
        <f>""</f>
        <v/>
      </c>
      <c r="J975" t="str">
        <f>"Order# 942516256001"</f>
        <v>Order# 942516256001</v>
      </c>
    </row>
    <row r="976" spans="1:10" x14ac:dyDescent="0.3">
      <c r="A976" t="str">
        <f>""</f>
        <v/>
      </c>
      <c r="B976" t="str">
        <f>""</f>
        <v/>
      </c>
      <c r="G976" t="str">
        <f>""</f>
        <v/>
      </c>
      <c r="H976" t="str">
        <f>""</f>
        <v/>
      </c>
      <c r="J976" t="str">
        <f>"Order# 942516258001"</f>
        <v>Order# 942516258001</v>
      </c>
    </row>
    <row r="977" spans="1:10" x14ac:dyDescent="0.3">
      <c r="A977" t="str">
        <f>""</f>
        <v/>
      </c>
      <c r="B977" t="str">
        <f>""</f>
        <v/>
      </c>
      <c r="G977" t="str">
        <f>""</f>
        <v/>
      </c>
      <c r="H977" t="str">
        <f>""</f>
        <v/>
      </c>
      <c r="J977" t="str">
        <f>"Order# 941589531001"</f>
        <v>Order# 941589531001</v>
      </c>
    </row>
    <row r="978" spans="1:10" x14ac:dyDescent="0.3">
      <c r="A978" t="str">
        <f>""</f>
        <v/>
      </c>
      <c r="B978" t="str">
        <f>""</f>
        <v/>
      </c>
      <c r="G978" t="str">
        <f>""</f>
        <v/>
      </c>
      <c r="H978" t="str">
        <f>""</f>
        <v/>
      </c>
      <c r="J978" t="str">
        <f>"Order# 941589896001"</f>
        <v>Order# 941589896001</v>
      </c>
    </row>
    <row r="979" spans="1:10" x14ac:dyDescent="0.3">
      <c r="A979" t="str">
        <f>""</f>
        <v/>
      </c>
      <c r="B979" t="str">
        <f>""</f>
        <v/>
      </c>
      <c r="G979" t="str">
        <f>""</f>
        <v/>
      </c>
      <c r="H979" t="str">
        <f>""</f>
        <v/>
      </c>
      <c r="J979" t="str">
        <f>"Order# 939865009002"</f>
        <v>Order# 939865009002</v>
      </c>
    </row>
    <row r="980" spans="1:10" x14ac:dyDescent="0.3">
      <c r="A980" t="str">
        <f>""</f>
        <v/>
      </c>
      <c r="B980" t="str">
        <f>""</f>
        <v/>
      </c>
      <c r="G980" t="str">
        <f>""</f>
        <v/>
      </c>
      <c r="H980" t="str">
        <f>""</f>
        <v/>
      </c>
      <c r="J980" t="str">
        <f>"Order# 942498904001"</f>
        <v>Order# 942498904001</v>
      </c>
    </row>
    <row r="981" spans="1:10" x14ac:dyDescent="0.3">
      <c r="A981" t="str">
        <f>""</f>
        <v/>
      </c>
      <c r="B981" t="str">
        <f>""</f>
        <v/>
      </c>
      <c r="G981" t="str">
        <f>""</f>
        <v/>
      </c>
      <c r="H981" t="str">
        <f>""</f>
        <v/>
      </c>
      <c r="J981" t="str">
        <f>"Order# 943945646001"</f>
        <v>Order# 943945646001</v>
      </c>
    </row>
    <row r="982" spans="1:10" x14ac:dyDescent="0.3">
      <c r="A982" t="str">
        <f>""</f>
        <v/>
      </c>
      <c r="B982" t="str">
        <f>""</f>
        <v/>
      </c>
      <c r="G982" t="str">
        <f>""</f>
        <v/>
      </c>
      <c r="H982" t="str">
        <f>""</f>
        <v/>
      </c>
      <c r="J982" t="str">
        <f>"Order# 940287776001"</f>
        <v>Order# 940287776001</v>
      </c>
    </row>
    <row r="983" spans="1:10" x14ac:dyDescent="0.3">
      <c r="A983" t="str">
        <f>""</f>
        <v/>
      </c>
      <c r="B983" t="str">
        <f>""</f>
        <v/>
      </c>
      <c r="G983" t="str">
        <f>""</f>
        <v/>
      </c>
      <c r="H983" t="str">
        <f>""</f>
        <v/>
      </c>
      <c r="J983" t="str">
        <f>"Order# 941725772001"</f>
        <v>Order# 941725772001</v>
      </c>
    </row>
    <row r="984" spans="1:10" x14ac:dyDescent="0.3">
      <c r="A984" t="str">
        <f>""</f>
        <v/>
      </c>
      <c r="B984" t="str">
        <f>""</f>
        <v/>
      </c>
      <c r="G984" t="str">
        <f>""</f>
        <v/>
      </c>
      <c r="H984" t="str">
        <f>""</f>
        <v/>
      </c>
      <c r="J984" t="str">
        <f>"Order# 941726356001"</f>
        <v>Order# 941726356001</v>
      </c>
    </row>
    <row r="985" spans="1:10" x14ac:dyDescent="0.3">
      <c r="A985" t="str">
        <f>""</f>
        <v/>
      </c>
      <c r="B985" t="str">
        <f>""</f>
        <v/>
      </c>
      <c r="G985" t="str">
        <f>""</f>
        <v/>
      </c>
      <c r="H985" t="str">
        <f>""</f>
        <v/>
      </c>
      <c r="J985" t="str">
        <f>"Order# 941726357001"</f>
        <v>Order# 941726357001</v>
      </c>
    </row>
    <row r="986" spans="1:10" x14ac:dyDescent="0.3">
      <c r="A986" t="str">
        <f>""</f>
        <v/>
      </c>
      <c r="B986" t="str">
        <f>""</f>
        <v/>
      </c>
      <c r="G986" t="str">
        <f>""</f>
        <v/>
      </c>
      <c r="H986" t="str">
        <f>""</f>
        <v/>
      </c>
      <c r="J986" t="str">
        <f>"Order# 944542739001"</f>
        <v>Order# 944542739001</v>
      </c>
    </row>
    <row r="987" spans="1:10" x14ac:dyDescent="0.3">
      <c r="A987" t="str">
        <f>""</f>
        <v/>
      </c>
      <c r="B987" t="str">
        <f>""</f>
        <v/>
      </c>
      <c r="G987" t="str">
        <f>""</f>
        <v/>
      </c>
      <c r="H987" t="str">
        <f>""</f>
        <v/>
      </c>
      <c r="J987" t="str">
        <f>"Order# 944543956001"</f>
        <v>Order# 944543956001</v>
      </c>
    </row>
    <row r="988" spans="1:10" x14ac:dyDescent="0.3">
      <c r="A988" t="str">
        <f>""</f>
        <v/>
      </c>
      <c r="B988" t="str">
        <f>""</f>
        <v/>
      </c>
      <c r="G988" t="str">
        <f>""</f>
        <v/>
      </c>
      <c r="H988" t="str">
        <f>""</f>
        <v/>
      </c>
      <c r="J988" t="str">
        <f>"Order# 942472180001"</f>
        <v>Order# 942472180001</v>
      </c>
    </row>
    <row r="989" spans="1:10" x14ac:dyDescent="0.3">
      <c r="A989" t="str">
        <f>""</f>
        <v/>
      </c>
      <c r="B989" t="str">
        <f>""</f>
        <v/>
      </c>
      <c r="G989" t="str">
        <f>""</f>
        <v/>
      </c>
      <c r="H989" t="str">
        <f>""</f>
        <v/>
      </c>
      <c r="J989" t="str">
        <f>"Order# 942472408001"</f>
        <v>Order# 942472408001</v>
      </c>
    </row>
    <row r="990" spans="1:10" x14ac:dyDescent="0.3">
      <c r="A990" t="str">
        <f>""</f>
        <v/>
      </c>
      <c r="B990" t="str">
        <f>""</f>
        <v/>
      </c>
      <c r="G990" t="str">
        <f>""</f>
        <v/>
      </c>
      <c r="H990" t="str">
        <f>""</f>
        <v/>
      </c>
      <c r="J990" t="str">
        <f>"Order# 942472409001"</f>
        <v>Order# 942472409001</v>
      </c>
    </row>
    <row r="991" spans="1:10" x14ac:dyDescent="0.3">
      <c r="A991" t="str">
        <f>""</f>
        <v/>
      </c>
      <c r="B991" t="str">
        <f>""</f>
        <v/>
      </c>
      <c r="G991" t="str">
        <f>""</f>
        <v/>
      </c>
      <c r="H991" t="str">
        <f>""</f>
        <v/>
      </c>
      <c r="J991" t="str">
        <f>"Order# 942472410001"</f>
        <v>Order# 942472410001</v>
      </c>
    </row>
    <row r="992" spans="1:10" x14ac:dyDescent="0.3">
      <c r="A992" t="str">
        <f>""</f>
        <v/>
      </c>
      <c r="B992" t="str">
        <f>""</f>
        <v/>
      </c>
      <c r="G992" t="str">
        <f>""</f>
        <v/>
      </c>
      <c r="H992" t="str">
        <f>""</f>
        <v/>
      </c>
      <c r="J992" t="str">
        <f>"Order# 941714203001"</f>
        <v>Order# 941714203001</v>
      </c>
    </row>
    <row r="993" spans="1:10" x14ac:dyDescent="0.3">
      <c r="A993" t="str">
        <f>""</f>
        <v/>
      </c>
      <c r="B993" t="str">
        <f>""</f>
        <v/>
      </c>
      <c r="G993" t="str">
        <f>""</f>
        <v/>
      </c>
      <c r="H993" t="str">
        <f>""</f>
        <v/>
      </c>
      <c r="J993" t="str">
        <f>"Order# 941714474001"</f>
        <v>Order# 941714474001</v>
      </c>
    </row>
    <row r="994" spans="1:10" x14ac:dyDescent="0.3">
      <c r="A994" t="str">
        <f>""</f>
        <v/>
      </c>
      <c r="B994" t="str">
        <f>""</f>
        <v/>
      </c>
      <c r="G994" t="str">
        <f>""</f>
        <v/>
      </c>
      <c r="H994" t="str">
        <f>""</f>
        <v/>
      </c>
      <c r="J994" t="str">
        <f>"Order# 942516257001"</f>
        <v>Order# 942516257001</v>
      </c>
    </row>
    <row r="995" spans="1:10" x14ac:dyDescent="0.3">
      <c r="A995" t="str">
        <f>""</f>
        <v/>
      </c>
      <c r="B995" t="str">
        <f>""</f>
        <v/>
      </c>
      <c r="G995" t="str">
        <f>""</f>
        <v/>
      </c>
      <c r="H995" t="str">
        <f>""</f>
        <v/>
      </c>
      <c r="J995" t="str">
        <f>"Order# 941432095001"</f>
        <v>Order# 941432095001</v>
      </c>
    </row>
    <row r="996" spans="1:10" x14ac:dyDescent="0.3">
      <c r="A996" t="str">
        <f>""</f>
        <v/>
      </c>
      <c r="B996" t="str">
        <f>""</f>
        <v/>
      </c>
      <c r="G996" t="str">
        <f>""</f>
        <v/>
      </c>
      <c r="H996" t="str">
        <f>""</f>
        <v/>
      </c>
      <c r="J996" t="str">
        <f>"Order# 941433195001"</f>
        <v>Order# 941433195001</v>
      </c>
    </row>
    <row r="997" spans="1:10" x14ac:dyDescent="0.3">
      <c r="A997" t="str">
        <f>""</f>
        <v/>
      </c>
      <c r="B997" t="str">
        <f>""</f>
        <v/>
      </c>
      <c r="G997" t="str">
        <f>"8356248"</f>
        <v>8356248</v>
      </c>
      <c r="H997" t="str">
        <f>"Bill# 8356248"</f>
        <v>Bill# 8356248</v>
      </c>
      <c r="I997" s="2">
        <v>2495.0100000000002</v>
      </c>
      <c r="J997" t="str">
        <f>"Inv# 947391554001"</f>
        <v>Inv# 947391554001</v>
      </c>
    </row>
    <row r="998" spans="1:10" x14ac:dyDescent="0.3">
      <c r="A998" t="str">
        <f>""</f>
        <v/>
      </c>
      <c r="B998" t="str">
        <f>""</f>
        <v/>
      </c>
      <c r="G998" t="str">
        <f>""</f>
        <v/>
      </c>
      <c r="H998" t="str">
        <f>""</f>
        <v/>
      </c>
      <c r="J998" t="str">
        <f>"Inv# 947393698001"</f>
        <v>Inv# 947393698001</v>
      </c>
    </row>
    <row r="999" spans="1:10" x14ac:dyDescent="0.3">
      <c r="A999" t="str">
        <f>""</f>
        <v/>
      </c>
      <c r="B999" t="str">
        <f>""</f>
        <v/>
      </c>
      <c r="G999" t="str">
        <f>""</f>
        <v/>
      </c>
      <c r="H999" t="str">
        <f>""</f>
        <v/>
      </c>
      <c r="J999" t="str">
        <f>"Inv# 947378088001"</f>
        <v>Inv# 947378088001</v>
      </c>
    </row>
    <row r="1000" spans="1:10" x14ac:dyDescent="0.3">
      <c r="A1000" t="str">
        <f>""</f>
        <v/>
      </c>
      <c r="B1000" t="str">
        <f>""</f>
        <v/>
      </c>
      <c r="G1000" t="str">
        <f>""</f>
        <v/>
      </c>
      <c r="H1000" t="str">
        <f>""</f>
        <v/>
      </c>
      <c r="J1000" t="str">
        <f>"Inv# 947990944001"</f>
        <v>Inv# 947990944001</v>
      </c>
    </row>
    <row r="1001" spans="1:10" x14ac:dyDescent="0.3">
      <c r="A1001" t="str">
        <f>""</f>
        <v/>
      </c>
      <c r="B1001" t="str">
        <f>""</f>
        <v/>
      </c>
      <c r="G1001" t="str">
        <f>""</f>
        <v/>
      </c>
      <c r="H1001" t="str">
        <f>""</f>
        <v/>
      </c>
      <c r="J1001" t="str">
        <f>"Inv# 944346423001"</f>
        <v>Inv# 944346423001</v>
      </c>
    </row>
    <row r="1002" spans="1:10" x14ac:dyDescent="0.3">
      <c r="A1002" t="str">
        <f>""</f>
        <v/>
      </c>
      <c r="B1002" t="str">
        <f>""</f>
        <v/>
      </c>
      <c r="G1002" t="str">
        <f>""</f>
        <v/>
      </c>
      <c r="H1002" t="str">
        <f>""</f>
        <v/>
      </c>
      <c r="J1002" t="str">
        <f>"Inv# 94486076001"</f>
        <v>Inv# 94486076001</v>
      </c>
    </row>
    <row r="1003" spans="1:10" x14ac:dyDescent="0.3">
      <c r="A1003" t="str">
        <f>""</f>
        <v/>
      </c>
      <c r="B1003" t="str">
        <f>""</f>
        <v/>
      </c>
      <c r="G1003" t="str">
        <f>""</f>
        <v/>
      </c>
      <c r="H1003" t="str">
        <f>""</f>
        <v/>
      </c>
      <c r="J1003" t="str">
        <f>"Inv# 944861967001"</f>
        <v>Inv# 944861967001</v>
      </c>
    </row>
    <row r="1004" spans="1:10" x14ac:dyDescent="0.3">
      <c r="A1004" t="str">
        <f>""</f>
        <v/>
      </c>
      <c r="B1004" t="str">
        <f>""</f>
        <v/>
      </c>
      <c r="G1004" t="str">
        <f>""</f>
        <v/>
      </c>
      <c r="H1004" t="str">
        <f>""</f>
        <v/>
      </c>
      <c r="J1004" t="str">
        <f>"Inv# 944861968001"</f>
        <v>Inv# 944861968001</v>
      </c>
    </row>
    <row r="1005" spans="1:10" x14ac:dyDescent="0.3">
      <c r="A1005" t="str">
        <f>""</f>
        <v/>
      </c>
      <c r="B1005" t="str">
        <f>""</f>
        <v/>
      </c>
      <c r="G1005" t="str">
        <f>""</f>
        <v/>
      </c>
      <c r="H1005" t="str">
        <f>""</f>
        <v/>
      </c>
      <c r="J1005" t="str">
        <f>"Inv# 945400886001"</f>
        <v>Inv# 945400886001</v>
      </c>
    </row>
    <row r="1006" spans="1:10" x14ac:dyDescent="0.3">
      <c r="A1006" t="str">
        <f>""</f>
        <v/>
      </c>
      <c r="B1006" t="str">
        <f>""</f>
        <v/>
      </c>
      <c r="G1006" t="str">
        <f>""</f>
        <v/>
      </c>
      <c r="H1006" t="str">
        <f>""</f>
        <v/>
      </c>
      <c r="J1006" t="str">
        <f>"Inv# 945407881001"</f>
        <v>Inv# 945407881001</v>
      </c>
    </row>
    <row r="1007" spans="1:10" x14ac:dyDescent="0.3">
      <c r="A1007" t="str">
        <f>""</f>
        <v/>
      </c>
      <c r="B1007" t="str">
        <f>""</f>
        <v/>
      </c>
      <c r="G1007" t="str">
        <f>""</f>
        <v/>
      </c>
      <c r="H1007" t="str">
        <f>""</f>
        <v/>
      </c>
      <c r="J1007" t="str">
        <f>"Inv# 948603478001"</f>
        <v>Inv# 948603478001</v>
      </c>
    </row>
    <row r="1008" spans="1:10" x14ac:dyDescent="0.3">
      <c r="A1008" t="str">
        <f>""</f>
        <v/>
      </c>
      <c r="B1008" t="str">
        <f>""</f>
        <v/>
      </c>
      <c r="G1008" t="str">
        <f>""</f>
        <v/>
      </c>
      <c r="H1008" t="str">
        <f>""</f>
        <v/>
      </c>
      <c r="J1008" t="str">
        <f>"Inv# 947185142001"</f>
        <v>Inv# 947185142001</v>
      </c>
    </row>
    <row r="1009" spans="1:10" x14ac:dyDescent="0.3">
      <c r="A1009" t="str">
        <f>""</f>
        <v/>
      </c>
      <c r="B1009" t="str">
        <f>""</f>
        <v/>
      </c>
      <c r="G1009" t="str">
        <f>""</f>
        <v/>
      </c>
      <c r="H1009" t="str">
        <f>""</f>
        <v/>
      </c>
      <c r="J1009" t="str">
        <f>"Inv# 947186302001"</f>
        <v>Inv# 947186302001</v>
      </c>
    </row>
    <row r="1010" spans="1:10" x14ac:dyDescent="0.3">
      <c r="A1010" t="str">
        <f>""</f>
        <v/>
      </c>
      <c r="B1010" t="str">
        <f>""</f>
        <v/>
      </c>
      <c r="G1010" t="str">
        <f>""</f>
        <v/>
      </c>
      <c r="H1010" t="str">
        <f>""</f>
        <v/>
      </c>
      <c r="J1010" t="str">
        <f>"Inv# 947407726001"</f>
        <v>Inv# 947407726001</v>
      </c>
    </row>
    <row r="1011" spans="1:10" x14ac:dyDescent="0.3">
      <c r="A1011" t="str">
        <f>""</f>
        <v/>
      </c>
      <c r="B1011" t="str">
        <f>""</f>
        <v/>
      </c>
      <c r="G1011" t="str">
        <f>""</f>
        <v/>
      </c>
      <c r="H1011" t="str">
        <f>""</f>
        <v/>
      </c>
      <c r="J1011" t="str">
        <f>"Inv# 944933195001"</f>
        <v>Inv# 944933195001</v>
      </c>
    </row>
    <row r="1012" spans="1:10" x14ac:dyDescent="0.3">
      <c r="A1012" t="str">
        <f>""</f>
        <v/>
      </c>
      <c r="B1012" t="str">
        <f>""</f>
        <v/>
      </c>
      <c r="G1012" t="str">
        <f>""</f>
        <v/>
      </c>
      <c r="H1012" t="str">
        <f>""</f>
        <v/>
      </c>
      <c r="J1012" t="str">
        <f>"Inv# 946822545001"</f>
        <v>Inv# 946822545001</v>
      </c>
    </row>
    <row r="1013" spans="1:10" x14ac:dyDescent="0.3">
      <c r="A1013" t="str">
        <f>""</f>
        <v/>
      </c>
      <c r="B1013" t="str">
        <f>""</f>
        <v/>
      </c>
      <c r="G1013" t="str">
        <f>""</f>
        <v/>
      </c>
      <c r="H1013" t="str">
        <f>""</f>
        <v/>
      </c>
      <c r="J1013" t="str">
        <f>"Inv# 946825856001"</f>
        <v>Inv# 946825856001</v>
      </c>
    </row>
    <row r="1014" spans="1:10" x14ac:dyDescent="0.3">
      <c r="A1014" t="str">
        <f>""</f>
        <v/>
      </c>
      <c r="B1014" t="str">
        <f>""</f>
        <v/>
      </c>
      <c r="G1014" t="str">
        <f>""</f>
        <v/>
      </c>
      <c r="H1014" t="str">
        <f>""</f>
        <v/>
      </c>
      <c r="J1014" t="str">
        <f>"Inv# 947008693001"</f>
        <v>Inv# 947008693001</v>
      </c>
    </row>
    <row r="1015" spans="1:10" x14ac:dyDescent="0.3">
      <c r="A1015" t="str">
        <f>""</f>
        <v/>
      </c>
      <c r="B1015" t="str">
        <f>""</f>
        <v/>
      </c>
      <c r="G1015" t="str">
        <f>""</f>
        <v/>
      </c>
      <c r="H1015" t="str">
        <f>""</f>
        <v/>
      </c>
      <c r="J1015" t="str">
        <f>"Inv# 947008693002"</f>
        <v>Inv# 947008693002</v>
      </c>
    </row>
    <row r="1016" spans="1:10" x14ac:dyDescent="0.3">
      <c r="A1016" t="str">
        <f>""</f>
        <v/>
      </c>
      <c r="B1016" t="str">
        <f>""</f>
        <v/>
      </c>
      <c r="G1016" t="str">
        <f>""</f>
        <v/>
      </c>
      <c r="H1016" t="str">
        <f>""</f>
        <v/>
      </c>
      <c r="J1016" t="str">
        <f>"Inv# 947566954001"</f>
        <v>Inv# 947566954001</v>
      </c>
    </row>
    <row r="1017" spans="1:10" x14ac:dyDescent="0.3">
      <c r="A1017" t="str">
        <f>""</f>
        <v/>
      </c>
      <c r="B1017" t="str">
        <f>""</f>
        <v/>
      </c>
      <c r="G1017" t="str">
        <f>""</f>
        <v/>
      </c>
      <c r="H1017" t="str">
        <f>""</f>
        <v/>
      </c>
      <c r="J1017" t="str">
        <f>"Inv# 947567544001"</f>
        <v>Inv# 947567544001</v>
      </c>
    </row>
    <row r="1018" spans="1:10" x14ac:dyDescent="0.3">
      <c r="A1018" t="str">
        <f>""</f>
        <v/>
      </c>
      <c r="B1018" t="str">
        <f>""</f>
        <v/>
      </c>
      <c r="G1018" t="str">
        <f>""</f>
        <v/>
      </c>
      <c r="H1018" t="str">
        <f>""</f>
        <v/>
      </c>
      <c r="J1018" t="str">
        <f>"Inv# 941714475001"</f>
        <v>Inv# 941714475001</v>
      </c>
    </row>
    <row r="1019" spans="1:10" x14ac:dyDescent="0.3">
      <c r="A1019" t="str">
        <f>""</f>
        <v/>
      </c>
      <c r="B1019" t="str">
        <f>""</f>
        <v/>
      </c>
      <c r="G1019" t="str">
        <f>""</f>
        <v/>
      </c>
      <c r="H1019" t="str">
        <f>""</f>
        <v/>
      </c>
      <c r="J1019" t="str">
        <f>"Inv# 944142184001"</f>
        <v>Inv# 944142184001</v>
      </c>
    </row>
    <row r="1020" spans="1:10" x14ac:dyDescent="0.3">
      <c r="A1020" t="str">
        <f>""</f>
        <v/>
      </c>
      <c r="B1020" t="str">
        <f>""</f>
        <v/>
      </c>
      <c r="G1020" t="str">
        <f>""</f>
        <v/>
      </c>
      <c r="H1020" t="str">
        <f>""</f>
        <v/>
      </c>
      <c r="J1020" t="str">
        <f>"Inv# 944146131001"</f>
        <v>Inv# 944146131001</v>
      </c>
    </row>
    <row r="1021" spans="1:10" x14ac:dyDescent="0.3">
      <c r="A1021" t="str">
        <f>"01"</f>
        <v>01</v>
      </c>
      <c r="B1021" t="str">
        <f>"T5769"</f>
        <v>T5769</v>
      </c>
      <c r="C1021" t="s">
        <v>294</v>
      </c>
      <c r="D1021">
        <v>72298</v>
      </c>
      <c r="E1021" s="2">
        <v>1129.6099999999999</v>
      </c>
      <c r="F1021" s="1">
        <v>42976</v>
      </c>
      <c r="G1021" t="str">
        <f>"8406512"</f>
        <v>8406512</v>
      </c>
      <c r="H1021" t="str">
        <f>"Bill# 8406512"</f>
        <v>Bill# 8406512</v>
      </c>
      <c r="I1021" s="2">
        <v>1129.6099999999999</v>
      </c>
      <c r="J1021" t="str">
        <f>"Order# 952792067001"</f>
        <v>Order# 952792067001</v>
      </c>
    </row>
    <row r="1022" spans="1:10" x14ac:dyDescent="0.3">
      <c r="A1022" t="str">
        <f>""</f>
        <v/>
      </c>
      <c r="B1022" t="str">
        <f>""</f>
        <v/>
      </c>
      <c r="G1022" t="str">
        <f>""</f>
        <v/>
      </c>
      <c r="H1022" t="str">
        <f>""</f>
        <v/>
      </c>
      <c r="J1022" t="str">
        <f>"Order# 952793518001"</f>
        <v>Order# 952793518001</v>
      </c>
    </row>
    <row r="1023" spans="1:10" x14ac:dyDescent="0.3">
      <c r="A1023" t="str">
        <f>""</f>
        <v/>
      </c>
      <c r="B1023" t="str">
        <f>""</f>
        <v/>
      </c>
      <c r="G1023" t="str">
        <f>""</f>
        <v/>
      </c>
      <c r="H1023" t="str">
        <f>""</f>
        <v/>
      </c>
      <c r="J1023" t="str">
        <f>"Order# 954860586001"</f>
        <v>Order# 954860586001</v>
      </c>
    </row>
    <row r="1024" spans="1:10" x14ac:dyDescent="0.3">
      <c r="A1024" t="str">
        <f>""</f>
        <v/>
      </c>
      <c r="B1024" t="str">
        <f>""</f>
        <v/>
      </c>
      <c r="G1024" t="str">
        <f>""</f>
        <v/>
      </c>
      <c r="H1024" t="str">
        <f>""</f>
        <v/>
      </c>
      <c r="J1024" t="str">
        <f>"Order# 951288529001"</f>
        <v>Order# 951288529001</v>
      </c>
    </row>
    <row r="1025" spans="1:10" x14ac:dyDescent="0.3">
      <c r="A1025" t="str">
        <f>""</f>
        <v/>
      </c>
      <c r="B1025" t="str">
        <f>""</f>
        <v/>
      </c>
      <c r="G1025" t="str">
        <f>""</f>
        <v/>
      </c>
      <c r="H1025" t="str">
        <f>""</f>
        <v/>
      </c>
      <c r="J1025" t="str">
        <f>"Order# 95125955002"</f>
        <v>Order# 95125955002</v>
      </c>
    </row>
    <row r="1026" spans="1:10" x14ac:dyDescent="0.3">
      <c r="A1026" t="str">
        <f>""</f>
        <v/>
      </c>
      <c r="B1026" t="str">
        <f>""</f>
        <v/>
      </c>
      <c r="G1026" t="str">
        <f>""</f>
        <v/>
      </c>
      <c r="H1026" t="str">
        <f>""</f>
        <v/>
      </c>
      <c r="J1026" t="str">
        <f>"Order# 95128955101"</f>
        <v>Order# 95128955101</v>
      </c>
    </row>
    <row r="1027" spans="1:10" x14ac:dyDescent="0.3">
      <c r="A1027" t="str">
        <f>""</f>
        <v/>
      </c>
      <c r="B1027" t="str">
        <f>""</f>
        <v/>
      </c>
      <c r="G1027" t="str">
        <f>""</f>
        <v/>
      </c>
      <c r="H1027" t="str">
        <f>""</f>
        <v/>
      </c>
      <c r="J1027" t="str">
        <f>"Order# 953985973001"</f>
        <v>Order# 953985973001</v>
      </c>
    </row>
    <row r="1028" spans="1:10" x14ac:dyDescent="0.3">
      <c r="A1028" t="str">
        <f>""</f>
        <v/>
      </c>
      <c r="B1028" t="str">
        <f>""</f>
        <v/>
      </c>
      <c r="G1028" t="str">
        <f>""</f>
        <v/>
      </c>
      <c r="H1028" t="str">
        <f>""</f>
        <v/>
      </c>
      <c r="J1028" t="str">
        <f>"Order# 952093153001"</f>
        <v>Order# 952093153001</v>
      </c>
    </row>
    <row r="1029" spans="1:10" x14ac:dyDescent="0.3">
      <c r="A1029" t="str">
        <f>""</f>
        <v/>
      </c>
      <c r="B1029" t="str">
        <f>""</f>
        <v/>
      </c>
      <c r="G1029" t="str">
        <f>""</f>
        <v/>
      </c>
      <c r="H1029" t="str">
        <f>""</f>
        <v/>
      </c>
      <c r="J1029" t="str">
        <f>"Order# 951078191001"</f>
        <v>Order# 951078191001</v>
      </c>
    </row>
    <row r="1030" spans="1:10" x14ac:dyDescent="0.3">
      <c r="A1030" t="str">
        <f>"01"</f>
        <v>01</v>
      </c>
      <c r="B1030" t="str">
        <f>"000877"</f>
        <v>000877</v>
      </c>
      <c r="C1030" t="s">
        <v>295</v>
      </c>
      <c r="D1030">
        <v>72046</v>
      </c>
      <c r="E1030" s="2">
        <v>385</v>
      </c>
      <c r="F1030" s="1">
        <v>42961</v>
      </c>
      <c r="G1030" t="str">
        <f>"283368"</f>
        <v>283368</v>
      </c>
      <c r="H1030" t="str">
        <f>"CUST#BASCOU/DRUG TESTING/AS"</f>
        <v>CUST#BASCOU/DRUG TESTING/AS</v>
      </c>
      <c r="I1030" s="2">
        <v>20</v>
      </c>
      <c r="J1030" t="str">
        <f>"CUST#BASCOU/DRUG TESTING/AS"</f>
        <v>CUST#BASCOU/DRUG TESTING/AS</v>
      </c>
    </row>
    <row r="1031" spans="1:10" x14ac:dyDescent="0.3">
      <c r="A1031" t="str">
        <f>""</f>
        <v/>
      </c>
      <c r="B1031" t="str">
        <f>""</f>
        <v/>
      </c>
      <c r="G1031" t="str">
        <f>"283368-1"</f>
        <v>283368-1</v>
      </c>
      <c r="H1031" t="str">
        <f>"CUST#BASCOU/DRUG TESTING/PCT1"</f>
        <v>CUST#BASCOU/DRUG TESTING/PCT1</v>
      </c>
      <c r="I1031" s="2">
        <v>120</v>
      </c>
      <c r="J1031" t="str">
        <f>"CUST#BASCOU/DRUG TESTING/PCT1"</f>
        <v>CUST#BASCOU/DRUG TESTING/PCT1</v>
      </c>
    </row>
    <row r="1032" spans="1:10" x14ac:dyDescent="0.3">
      <c r="A1032" t="str">
        <f>""</f>
        <v/>
      </c>
      <c r="B1032" t="str">
        <f>""</f>
        <v/>
      </c>
      <c r="G1032" t="str">
        <f>"283368-2"</f>
        <v>283368-2</v>
      </c>
      <c r="H1032" t="str">
        <f>"CUST#BASCOU/DRUG TESTING/PCT2"</f>
        <v>CUST#BASCOU/DRUG TESTING/PCT2</v>
      </c>
      <c r="I1032" s="2">
        <v>65</v>
      </c>
      <c r="J1032" t="str">
        <f>"CUST#BASCOU/DRUG TESTING/PCT2"</f>
        <v>CUST#BASCOU/DRUG TESTING/PCT2</v>
      </c>
    </row>
    <row r="1033" spans="1:10" x14ac:dyDescent="0.3">
      <c r="A1033" t="str">
        <f>""</f>
        <v/>
      </c>
      <c r="B1033" t="str">
        <f>""</f>
        <v/>
      </c>
      <c r="G1033" t="str">
        <f>"283368-3"</f>
        <v>283368-3</v>
      </c>
      <c r="H1033" t="str">
        <f>"CUST#BASCOU/DRUG TESTING/PCT3"</f>
        <v>CUST#BASCOU/DRUG TESTING/PCT3</v>
      </c>
      <c r="I1033" s="2">
        <v>45</v>
      </c>
      <c r="J1033" t="str">
        <f>"CUST#BASCOU/DRUG TESTING/PCT3"</f>
        <v>CUST#BASCOU/DRUG TESTING/PCT3</v>
      </c>
    </row>
    <row r="1034" spans="1:10" x14ac:dyDescent="0.3">
      <c r="A1034" t="str">
        <f>""</f>
        <v/>
      </c>
      <c r="B1034" t="str">
        <f>""</f>
        <v/>
      </c>
      <c r="G1034" t="str">
        <f>"283368-4"</f>
        <v>283368-4</v>
      </c>
      <c r="H1034" t="str">
        <f>"CUST#BASCOU/DRUG TESTING/PCT4"</f>
        <v>CUST#BASCOU/DRUG TESTING/PCT4</v>
      </c>
      <c r="I1034" s="2">
        <v>135</v>
      </c>
      <c r="J1034" t="str">
        <f>"CUST#BASCOU/DRUG TESTING/PCT4"</f>
        <v>CUST#BASCOU/DRUG TESTING/PCT4</v>
      </c>
    </row>
    <row r="1035" spans="1:10" x14ac:dyDescent="0.3">
      <c r="A1035" t="str">
        <f>"01"</f>
        <v>01</v>
      </c>
      <c r="B1035" t="str">
        <f>"002822"</f>
        <v>002822</v>
      </c>
      <c r="C1035" t="s">
        <v>296</v>
      </c>
      <c r="D1035">
        <v>72047</v>
      </c>
      <c r="E1035" s="2">
        <v>398.79</v>
      </c>
      <c r="F1035" s="1">
        <v>42961</v>
      </c>
      <c r="G1035" t="str">
        <f>"CNIV346373"</f>
        <v>CNIV346373</v>
      </c>
      <c r="H1035" t="str">
        <f>"JULY THRU OCT 2017"</f>
        <v>JULY THRU OCT 2017</v>
      </c>
      <c r="I1035" s="2">
        <v>265.86</v>
      </c>
      <c r="J1035" t="str">
        <f>"JULY THRU OCT 2017"</f>
        <v>JULY THRU OCT 2017</v>
      </c>
    </row>
    <row r="1036" spans="1:10" x14ac:dyDescent="0.3">
      <c r="A1036" t="str">
        <f>""</f>
        <v/>
      </c>
      <c r="B1036" t="str">
        <f>""</f>
        <v/>
      </c>
      <c r="G1036" t="str">
        <f>""</f>
        <v/>
      </c>
      <c r="H1036" t="str">
        <f>""</f>
        <v/>
      </c>
      <c r="J1036" t="str">
        <f>"JULY THRU OCT 2017"</f>
        <v>JULY THRU OCT 2017</v>
      </c>
    </row>
    <row r="1037" spans="1:10" x14ac:dyDescent="0.3">
      <c r="A1037" t="str">
        <f>""</f>
        <v/>
      </c>
      <c r="B1037" t="str">
        <f>""</f>
        <v/>
      </c>
      <c r="G1037" t="str">
        <f>"CNIV346373 8/19/17"</f>
        <v>CNIV346373 8/19/17</v>
      </c>
      <c r="H1037" t="str">
        <f>"SVC AGREEMENT/SHERIFF'S OFF"</f>
        <v>SVC AGREEMENT/SHERIFF'S OFF</v>
      </c>
      <c r="I1037" s="2">
        <v>132.93</v>
      </c>
      <c r="J1037" t="str">
        <f>"SVC AGREEMENT/SHERIFF'S OFF"</f>
        <v>SVC AGREEMENT/SHERIFF'S OFF</v>
      </c>
    </row>
    <row r="1038" spans="1:10" x14ac:dyDescent="0.3">
      <c r="A1038" t="str">
        <f>"01"</f>
        <v>01</v>
      </c>
      <c r="B1038" t="str">
        <f>"OP"</f>
        <v>OP</v>
      </c>
      <c r="C1038" t="s">
        <v>297</v>
      </c>
      <c r="D1038">
        <v>72048</v>
      </c>
      <c r="E1038" s="2">
        <v>2506.16</v>
      </c>
      <c r="F1038" s="1">
        <v>42961</v>
      </c>
      <c r="G1038" t="str">
        <f>"16152"</f>
        <v>16152</v>
      </c>
      <c r="H1038" t="str">
        <f>"Ice Drain"</f>
        <v>Ice Drain</v>
      </c>
      <c r="I1038" s="2">
        <v>630</v>
      </c>
      <c r="J1038" t="str">
        <f>"Ice Drain"</f>
        <v>Ice Drain</v>
      </c>
    </row>
    <row r="1039" spans="1:10" x14ac:dyDescent="0.3">
      <c r="A1039" t="str">
        <f>""</f>
        <v/>
      </c>
      <c r="B1039" t="str">
        <f>""</f>
        <v/>
      </c>
      <c r="G1039" t="str">
        <f>"16287"</f>
        <v>16287</v>
      </c>
      <c r="H1039" t="str">
        <f>"PLUMBING SVCS"</f>
        <v>PLUMBING SVCS</v>
      </c>
      <c r="I1039" s="2">
        <v>1549.16</v>
      </c>
      <c r="J1039" t="str">
        <f>"PLUMBING SVCS"</f>
        <v>PLUMBING SVCS</v>
      </c>
    </row>
    <row r="1040" spans="1:10" x14ac:dyDescent="0.3">
      <c r="A1040" t="str">
        <f>""</f>
        <v/>
      </c>
      <c r="B1040" t="str">
        <f>""</f>
        <v/>
      </c>
      <c r="G1040" t="str">
        <f>"16354"</f>
        <v>16354</v>
      </c>
      <c r="H1040" t="str">
        <f>"PLUMBING SVCS-DPS OFFICE"</f>
        <v>PLUMBING SVCS-DPS OFFICE</v>
      </c>
      <c r="I1040" s="2">
        <v>327</v>
      </c>
      <c r="J1040" t="str">
        <f>"PLUMBING SVCS-DPS OFFICE"</f>
        <v>PLUMBING SVCS-DPS OFFICE</v>
      </c>
    </row>
    <row r="1041" spans="1:10" x14ac:dyDescent="0.3">
      <c r="A1041" t="str">
        <f>"01"</f>
        <v>01</v>
      </c>
      <c r="B1041" t="str">
        <f>"004123"</f>
        <v>004123</v>
      </c>
      <c r="C1041" t="s">
        <v>298</v>
      </c>
      <c r="D1041">
        <v>72049</v>
      </c>
      <c r="E1041" s="2">
        <v>355</v>
      </c>
      <c r="F1041" s="1">
        <v>42961</v>
      </c>
      <c r="G1041" t="str">
        <f>"201707273874"</f>
        <v>201707273874</v>
      </c>
      <c r="H1041" t="str">
        <f>"REIMBURSE-STATE BAR DUES"</f>
        <v>REIMBURSE-STATE BAR DUES</v>
      </c>
      <c r="I1041" s="2">
        <v>235</v>
      </c>
      <c r="J1041" t="str">
        <f>"REIMBURSE-STATE BAR DUES"</f>
        <v>REIMBURSE-STATE BAR DUES</v>
      </c>
    </row>
    <row r="1042" spans="1:10" x14ac:dyDescent="0.3">
      <c r="A1042" t="str">
        <f>""</f>
        <v/>
      </c>
      <c r="B1042" t="str">
        <f>""</f>
        <v/>
      </c>
      <c r="G1042" t="str">
        <f>"201707273875"</f>
        <v>201707273875</v>
      </c>
      <c r="H1042" t="str">
        <f>"REIMBURSE-CHILD PROT LEG UPDAT"</f>
        <v>REIMBURSE-CHILD PROT LEG UPDAT</v>
      </c>
      <c r="I1042" s="2">
        <v>120</v>
      </c>
      <c r="J1042" t="str">
        <f>"REIMBURSE-CHILD PROT LEG UPDAT"</f>
        <v>REIMBURSE-CHILD PROT LEG UPDAT</v>
      </c>
    </row>
    <row r="1043" spans="1:10" x14ac:dyDescent="0.3">
      <c r="A1043" t="str">
        <f>"01"</f>
        <v>01</v>
      </c>
      <c r="B1043" t="str">
        <f>"003959"</f>
        <v>003959</v>
      </c>
      <c r="C1043" t="s">
        <v>299</v>
      </c>
      <c r="D1043">
        <v>72050</v>
      </c>
      <c r="E1043" s="2">
        <v>12.5</v>
      </c>
      <c r="F1043" s="1">
        <v>42961</v>
      </c>
      <c r="G1043" t="str">
        <f>"53823"</f>
        <v>53823</v>
      </c>
      <c r="H1043" t="str">
        <f>"INV 53823"</f>
        <v>INV 53823</v>
      </c>
      <c r="I1043" s="2">
        <v>12.5</v>
      </c>
      <c r="J1043" t="str">
        <f>"INV 53823"</f>
        <v>INV 53823</v>
      </c>
    </row>
    <row r="1044" spans="1:10" x14ac:dyDescent="0.3">
      <c r="A1044" t="str">
        <f>"01"</f>
        <v>01</v>
      </c>
      <c r="B1044" t="str">
        <f>"005183"</f>
        <v>005183</v>
      </c>
      <c r="C1044" t="s">
        <v>300</v>
      </c>
      <c r="D1044">
        <v>72051</v>
      </c>
      <c r="E1044" s="2">
        <v>343</v>
      </c>
      <c r="F1044" s="1">
        <v>42961</v>
      </c>
      <c r="G1044" t="str">
        <f>"976620"</f>
        <v>976620</v>
      </c>
      <c r="H1044" t="str">
        <f>"DOOR REPAIR INV976620"</f>
        <v>DOOR REPAIR INV976620</v>
      </c>
      <c r="I1044" s="2">
        <v>343</v>
      </c>
      <c r="J1044" t="str">
        <f>"DOOR REPAIR INV976620"</f>
        <v>DOOR REPAIR INV976620</v>
      </c>
    </row>
    <row r="1045" spans="1:10" x14ac:dyDescent="0.3">
      <c r="A1045" t="str">
        <f>"01"</f>
        <v>01</v>
      </c>
      <c r="B1045" t="str">
        <f>"PAIGE"</f>
        <v>PAIGE</v>
      </c>
      <c r="C1045" t="s">
        <v>301</v>
      </c>
      <c r="D1045">
        <v>72052</v>
      </c>
      <c r="E1045" s="2">
        <v>849.57</v>
      </c>
      <c r="F1045" s="1">
        <v>42961</v>
      </c>
      <c r="G1045" t="str">
        <f>"56267"</f>
        <v>56267</v>
      </c>
      <c r="H1045" t="str">
        <f>"MATERIALS"</f>
        <v>MATERIALS</v>
      </c>
      <c r="I1045" s="2">
        <v>248.22</v>
      </c>
      <c r="J1045" t="str">
        <f>"MATERIALS"</f>
        <v>MATERIALS</v>
      </c>
    </row>
    <row r="1046" spans="1:10" x14ac:dyDescent="0.3">
      <c r="A1046" t="str">
        <f>""</f>
        <v/>
      </c>
      <c r="B1046" t="str">
        <f>""</f>
        <v/>
      </c>
      <c r="G1046" t="str">
        <f>"56444"</f>
        <v>56444</v>
      </c>
      <c r="H1046" t="str">
        <f>"PCT#2"</f>
        <v>PCT#2</v>
      </c>
      <c r="I1046" s="2">
        <v>131.97999999999999</v>
      </c>
      <c r="J1046" t="str">
        <f>"PCT#2"</f>
        <v>PCT#2</v>
      </c>
    </row>
    <row r="1047" spans="1:10" x14ac:dyDescent="0.3">
      <c r="A1047" t="str">
        <f>""</f>
        <v/>
      </c>
      <c r="B1047" t="str">
        <f>""</f>
        <v/>
      </c>
      <c r="G1047" t="str">
        <f>"56455"</f>
        <v>56455</v>
      </c>
      <c r="H1047" t="str">
        <f>"BW 3093 BW 3094/PCT#2"</f>
        <v>BW 3093 BW 3094/PCT#2</v>
      </c>
      <c r="I1047" s="2">
        <v>408.08</v>
      </c>
      <c r="J1047" t="str">
        <f>"BW 3093 BW 3094/PCT#2"</f>
        <v>BW 3093 BW 3094/PCT#2</v>
      </c>
    </row>
    <row r="1048" spans="1:10" x14ac:dyDescent="0.3">
      <c r="A1048" t="str">
        <f>""</f>
        <v/>
      </c>
      <c r="B1048" t="str">
        <f>""</f>
        <v/>
      </c>
      <c r="G1048" t="str">
        <f>"56524"</f>
        <v>56524</v>
      </c>
      <c r="H1048" t="str">
        <f>"PCT#2"</f>
        <v>PCT#2</v>
      </c>
      <c r="I1048" s="2">
        <v>61.29</v>
      </c>
      <c r="J1048" t="str">
        <f>"PCT#2"</f>
        <v>PCT#2</v>
      </c>
    </row>
    <row r="1049" spans="1:10" x14ac:dyDescent="0.3">
      <c r="A1049" t="str">
        <f>"01"</f>
        <v>01</v>
      </c>
      <c r="B1049" t="str">
        <f>"PAIGE"</f>
        <v>PAIGE</v>
      </c>
      <c r="C1049" t="s">
        <v>301</v>
      </c>
      <c r="D1049">
        <v>72299</v>
      </c>
      <c r="E1049" s="2">
        <v>3067.33</v>
      </c>
      <c r="F1049" s="1">
        <v>42976</v>
      </c>
      <c r="G1049" t="str">
        <f>"56571"</f>
        <v>56571</v>
      </c>
      <c r="H1049" t="s">
        <v>302</v>
      </c>
      <c r="I1049" s="2">
        <v>1570</v>
      </c>
      <c r="J1049" t="s">
        <v>302</v>
      </c>
    </row>
    <row r="1050" spans="1:10" x14ac:dyDescent="0.3">
      <c r="A1050" t="str">
        <f>""</f>
        <v/>
      </c>
      <c r="B1050" t="str">
        <f>""</f>
        <v/>
      </c>
      <c r="G1050" t="str">
        <f>"56669"</f>
        <v>56669</v>
      </c>
      <c r="H1050" t="str">
        <f>"Chainsaw Inv# 56669"</f>
        <v>Chainsaw Inv# 56669</v>
      </c>
      <c r="I1050" s="2">
        <v>1285</v>
      </c>
      <c r="J1050" t="str">
        <f>"Chainsaw"</f>
        <v>Chainsaw</v>
      </c>
    </row>
    <row r="1051" spans="1:10" x14ac:dyDescent="0.3">
      <c r="A1051" t="str">
        <f>""</f>
        <v/>
      </c>
      <c r="B1051" t="str">
        <f>""</f>
        <v/>
      </c>
      <c r="G1051" t="str">
        <f>""</f>
        <v/>
      </c>
      <c r="H1051" t="str">
        <f>""</f>
        <v/>
      </c>
      <c r="J1051" t="str">
        <f>"Stihl Saw Chain"</f>
        <v>Stihl Saw Chain</v>
      </c>
    </row>
    <row r="1052" spans="1:10" x14ac:dyDescent="0.3">
      <c r="A1052" t="str">
        <f>""</f>
        <v/>
      </c>
      <c r="B1052" t="str">
        <f>""</f>
        <v/>
      </c>
      <c r="G1052" t="str">
        <f>""</f>
        <v/>
      </c>
      <c r="H1052" t="str">
        <f>""</f>
        <v/>
      </c>
      <c r="J1052" t="str">
        <f>"2cycle oil/ case"</f>
        <v>2cycle oil/ case</v>
      </c>
    </row>
    <row r="1053" spans="1:10" x14ac:dyDescent="0.3">
      <c r="A1053" t="str">
        <f>""</f>
        <v/>
      </c>
      <c r="B1053" t="str">
        <f>""</f>
        <v/>
      </c>
      <c r="G1053" t="str">
        <f>""</f>
        <v/>
      </c>
      <c r="H1053" t="str">
        <f>""</f>
        <v/>
      </c>
      <c r="J1053" t="str">
        <f>"Bar Oil/case"</f>
        <v>Bar Oil/case</v>
      </c>
    </row>
    <row r="1054" spans="1:10" x14ac:dyDescent="0.3">
      <c r="A1054" t="str">
        <f>""</f>
        <v/>
      </c>
      <c r="B1054" t="str">
        <f>""</f>
        <v/>
      </c>
      <c r="G1054" t="str">
        <f>""</f>
        <v/>
      </c>
      <c r="H1054" t="str">
        <f>""</f>
        <v/>
      </c>
      <c r="J1054" t="str">
        <f>"Discount"</f>
        <v>Discount</v>
      </c>
    </row>
    <row r="1055" spans="1:10" x14ac:dyDescent="0.3">
      <c r="A1055" t="str">
        <f>""</f>
        <v/>
      </c>
      <c r="B1055" t="str">
        <f>""</f>
        <v/>
      </c>
      <c r="G1055" t="str">
        <f>"56753"</f>
        <v>56753</v>
      </c>
      <c r="H1055" t="str">
        <f>"Inv# 56753"</f>
        <v>Inv# 56753</v>
      </c>
      <c r="I1055" s="2">
        <v>212.33</v>
      </c>
      <c r="J1055" t="str">
        <f>"WoodCutter Kit"</f>
        <v>WoodCutter Kit</v>
      </c>
    </row>
    <row r="1056" spans="1:10" x14ac:dyDescent="0.3">
      <c r="A1056" t="str">
        <f>""</f>
        <v/>
      </c>
      <c r="B1056" t="str">
        <f>""</f>
        <v/>
      </c>
      <c r="G1056" t="str">
        <f>""</f>
        <v/>
      </c>
      <c r="H1056" t="str">
        <f>""</f>
        <v/>
      </c>
      <c r="J1056" t="str">
        <f>"Apron Chaps"</f>
        <v>Apron Chaps</v>
      </c>
    </row>
    <row r="1057" spans="1:10" x14ac:dyDescent="0.3">
      <c r="A1057" t="str">
        <f>"01"</f>
        <v>01</v>
      </c>
      <c r="B1057" t="str">
        <f>"003566"</f>
        <v>003566</v>
      </c>
      <c r="C1057" t="s">
        <v>303</v>
      </c>
      <c r="D1057">
        <v>72053</v>
      </c>
      <c r="E1057" s="2">
        <v>10.68</v>
      </c>
      <c r="F1057" s="1">
        <v>42961</v>
      </c>
      <c r="G1057" t="str">
        <f>"23426"</f>
        <v>23426</v>
      </c>
      <c r="H1057" t="str">
        <f>"ACCT#1137/ITEM#601083"</f>
        <v>ACCT#1137/ITEM#601083</v>
      </c>
      <c r="I1057" s="2">
        <v>10.68</v>
      </c>
      <c r="J1057" t="str">
        <f>"ACCT#1137/ITEM#601083"</f>
        <v>ACCT#1137/ITEM#601083</v>
      </c>
    </row>
    <row r="1058" spans="1:10" x14ac:dyDescent="0.3">
      <c r="A1058" t="str">
        <f>"01"</f>
        <v>01</v>
      </c>
      <c r="B1058" t="str">
        <f>"WEBSTE"</f>
        <v>WEBSTE</v>
      </c>
      <c r="C1058" t="s">
        <v>304</v>
      </c>
      <c r="D1058">
        <v>72054</v>
      </c>
      <c r="E1058" s="2">
        <v>5980.18</v>
      </c>
      <c r="F1058" s="1">
        <v>42961</v>
      </c>
      <c r="G1058" t="str">
        <f>"201708084124"</f>
        <v>201708084124</v>
      </c>
      <c r="H1058" t="str">
        <f>"ACCT#0200140783/ANIMAL CONTROL"</f>
        <v>ACCT#0200140783/ANIMAL CONTROL</v>
      </c>
      <c r="I1058" s="2">
        <v>5980.18</v>
      </c>
      <c r="J1058" t="str">
        <f>"ACCT#0200140783/ANIMAL CONTROL"</f>
        <v>ACCT#0200140783/ANIMAL CONTROL</v>
      </c>
    </row>
    <row r="1059" spans="1:10" x14ac:dyDescent="0.3">
      <c r="A1059" t="str">
        <f>""</f>
        <v/>
      </c>
      <c r="B1059" t="str">
        <f>""</f>
        <v/>
      </c>
      <c r="G1059" t="str">
        <f>""</f>
        <v/>
      </c>
      <c r="H1059" t="str">
        <f>""</f>
        <v/>
      </c>
      <c r="J1059" t="str">
        <f>"ACCT#0200140783/ANIMAL CONTROL"</f>
        <v>ACCT#0200140783/ANIMAL CONTROL</v>
      </c>
    </row>
    <row r="1060" spans="1:10" x14ac:dyDescent="0.3">
      <c r="A1060" t="str">
        <f>"01"</f>
        <v>01</v>
      </c>
      <c r="B1060" t="str">
        <f>"001854"</f>
        <v>001854</v>
      </c>
      <c r="C1060" t="s">
        <v>305</v>
      </c>
      <c r="D1060">
        <v>72055</v>
      </c>
      <c r="E1060" s="2">
        <v>500.5</v>
      </c>
      <c r="F1060" s="1">
        <v>42961</v>
      </c>
      <c r="G1060" t="str">
        <f>"201708074113"</f>
        <v>201708074113</v>
      </c>
      <c r="H1060" t="str">
        <f>"CONTRACT LABOR 7/24-8/11/17"</f>
        <v>CONTRACT LABOR 7/24-8/11/17</v>
      </c>
      <c r="I1060" s="2">
        <v>500.5</v>
      </c>
      <c r="J1060" t="str">
        <f>"CONTRACT LABOR 7/24-8/11/17"</f>
        <v>CONTRACT LABOR 7/24-8/11/17</v>
      </c>
    </row>
    <row r="1061" spans="1:10" x14ac:dyDescent="0.3">
      <c r="A1061" t="str">
        <f>"01"</f>
        <v>01</v>
      </c>
      <c r="B1061" t="str">
        <f>"001854"</f>
        <v>001854</v>
      </c>
      <c r="C1061" t="s">
        <v>305</v>
      </c>
      <c r="D1061">
        <v>72300</v>
      </c>
      <c r="E1061" s="2">
        <v>305.5</v>
      </c>
      <c r="F1061" s="1">
        <v>42976</v>
      </c>
      <c r="G1061" t="str">
        <f>"201708224366"</f>
        <v>201708224366</v>
      </c>
      <c r="H1061" t="str">
        <f>"TRASH REMOV 8/14-8/25/17 PCT#4"</f>
        <v>TRASH REMOV 8/14-8/25/17 PCT#4</v>
      </c>
      <c r="I1061" s="2">
        <v>305.5</v>
      </c>
      <c r="J1061" t="str">
        <f>"TRASH REMOV 8/14-8/25/17 PCT#4"</f>
        <v>TRASH REMOV 8/14-8/25/17 PCT#4</v>
      </c>
    </row>
    <row r="1062" spans="1:10" x14ac:dyDescent="0.3">
      <c r="A1062" t="str">
        <f>"01"</f>
        <v>01</v>
      </c>
      <c r="B1062" t="str">
        <f>"002226"</f>
        <v>002226</v>
      </c>
      <c r="C1062" t="s">
        <v>306</v>
      </c>
      <c r="D1062">
        <v>72056</v>
      </c>
      <c r="E1062" s="2">
        <v>90</v>
      </c>
      <c r="F1062" s="1">
        <v>42961</v>
      </c>
      <c r="G1062" t="str">
        <f>"PER DIEM-P.CROWLEY"</f>
        <v>PER DIEM-P.CROWLEY</v>
      </c>
      <c r="H1062" t="str">
        <f>"PER DIEM"</f>
        <v>PER DIEM</v>
      </c>
      <c r="I1062" s="2">
        <v>90</v>
      </c>
    </row>
    <row r="1063" spans="1:10" x14ac:dyDescent="0.3">
      <c r="A1063" t="str">
        <f>"01"</f>
        <v>01</v>
      </c>
      <c r="B1063" t="str">
        <f>"PET"</f>
        <v>PET</v>
      </c>
      <c r="C1063" t="s">
        <v>307</v>
      </c>
      <c r="D1063">
        <v>72301</v>
      </c>
      <c r="E1063" s="2">
        <v>24.25</v>
      </c>
      <c r="F1063" s="1">
        <v>42976</v>
      </c>
      <c r="G1063" t="str">
        <f>"SIUN10417300"</f>
        <v>SIUN10417300</v>
      </c>
      <c r="H1063" t="str">
        <f>"ACCT#CUN000000233/CODE#BASTRO"</f>
        <v>ACCT#CUN000000233/CODE#BASTRO</v>
      </c>
      <c r="I1063" s="2">
        <v>24.25</v>
      </c>
      <c r="J1063" t="str">
        <f>"CUST#CUN000000233"</f>
        <v>CUST#CUN000000233</v>
      </c>
    </row>
    <row r="1064" spans="1:10" x14ac:dyDescent="0.3">
      <c r="A1064" t="str">
        <f>"01"</f>
        <v>01</v>
      </c>
      <c r="B1064" t="str">
        <f>"PRD"</f>
        <v>PRD</v>
      </c>
      <c r="C1064" t="s">
        <v>308</v>
      </c>
      <c r="D1064">
        <v>72302</v>
      </c>
      <c r="E1064" s="2">
        <v>1258</v>
      </c>
      <c r="F1064" s="1">
        <v>42976</v>
      </c>
      <c r="G1064" t="str">
        <f>"201708234418"</f>
        <v>201708234418</v>
      </c>
      <c r="H1064" t="str">
        <f>"16-18105"</f>
        <v>16-18105</v>
      </c>
      <c r="I1064" s="2">
        <v>258</v>
      </c>
      <c r="J1064" t="str">
        <f>"16-18105"</f>
        <v>16-18105</v>
      </c>
    </row>
    <row r="1065" spans="1:10" x14ac:dyDescent="0.3">
      <c r="A1065" t="str">
        <f>""</f>
        <v/>
      </c>
      <c r="B1065" t="str">
        <f>""</f>
        <v/>
      </c>
      <c r="G1065" t="str">
        <f>"201708234419"</f>
        <v>201708234419</v>
      </c>
      <c r="H1065" t="str">
        <f>"55382"</f>
        <v>55382</v>
      </c>
      <c r="I1065" s="2">
        <v>250</v>
      </c>
      <c r="J1065" t="str">
        <f>"55382"</f>
        <v>55382</v>
      </c>
    </row>
    <row r="1066" spans="1:10" x14ac:dyDescent="0.3">
      <c r="A1066" t="str">
        <f>""</f>
        <v/>
      </c>
      <c r="B1066" t="str">
        <f>""</f>
        <v/>
      </c>
      <c r="G1066" t="str">
        <f>"201708234420"</f>
        <v>201708234420</v>
      </c>
      <c r="H1066" t="str">
        <f>"55189"</f>
        <v>55189</v>
      </c>
      <c r="I1066" s="2">
        <v>250</v>
      </c>
      <c r="J1066" t="str">
        <f>"55189"</f>
        <v>55189</v>
      </c>
    </row>
    <row r="1067" spans="1:10" x14ac:dyDescent="0.3">
      <c r="A1067" t="str">
        <f>""</f>
        <v/>
      </c>
      <c r="B1067" t="str">
        <f>""</f>
        <v/>
      </c>
      <c r="G1067" t="str">
        <f>"201708234427"</f>
        <v>201708234427</v>
      </c>
      <c r="H1067" t="str">
        <f>"55070"</f>
        <v>55070</v>
      </c>
      <c r="I1067" s="2">
        <v>250</v>
      </c>
      <c r="J1067" t="str">
        <f>"55070"</f>
        <v>55070</v>
      </c>
    </row>
    <row r="1068" spans="1:10" x14ac:dyDescent="0.3">
      <c r="A1068" t="str">
        <f>""</f>
        <v/>
      </c>
      <c r="B1068" t="str">
        <f>""</f>
        <v/>
      </c>
      <c r="G1068" t="str">
        <f>"201708234440"</f>
        <v>201708234440</v>
      </c>
      <c r="H1068" t="str">
        <f>"55119"</f>
        <v>55119</v>
      </c>
      <c r="I1068" s="2">
        <v>250</v>
      </c>
      <c r="J1068" t="str">
        <f>"55119"</f>
        <v>55119</v>
      </c>
    </row>
    <row r="1069" spans="1:10" x14ac:dyDescent="0.3">
      <c r="A1069" t="str">
        <f>"01"</f>
        <v>01</v>
      </c>
      <c r="B1069" t="str">
        <f>"PRD"</f>
        <v>PRD</v>
      </c>
      <c r="C1069" t="s">
        <v>308</v>
      </c>
      <c r="D1069">
        <v>999999</v>
      </c>
      <c r="E1069" s="2">
        <v>2434</v>
      </c>
      <c r="F1069" s="1">
        <v>42961</v>
      </c>
      <c r="G1069" t="str">
        <f>"201707283934"</f>
        <v>201707283934</v>
      </c>
      <c r="H1069" t="str">
        <f>"15-17189"</f>
        <v>15-17189</v>
      </c>
      <c r="I1069" s="2">
        <v>288</v>
      </c>
      <c r="J1069" t="str">
        <f>"15-17189"</f>
        <v>15-17189</v>
      </c>
    </row>
    <row r="1070" spans="1:10" x14ac:dyDescent="0.3">
      <c r="A1070" t="str">
        <f>""</f>
        <v/>
      </c>
      <c r="B1070" t="str">
        <f>""</f>
        <v/>
      </c>
      <c r="G1070" t="str">
        <f>"201707283935"</f>
        <v>201707283935</v>
      </c>
      <c r="H1070" t="str">
        <f>"54720"</f>
        <v>54720</v>
      </c>
      <c r="I1070" s="2">
        <v>250</v>
      </c>
      <c r="J1070" t="str">
        <f>"54720"</f>
        <v>54720</v>
      </c>
    </row>
    <row r="1071" spans="1:10" x14ac:dyDescent="0.3">
      <c r="A1071" t="str">
        <f>""</f>
        <v/>
      </c>
      <c r="B1071" t="str">
        <f>""</f>
        <v/>
      </c>
      <c r="G1071" t="str">
        <f>"201708094244"</f>
        <v>201708094244</v>
      </c>
      <c r="H1071" t="str">
        <f>"17-18508"</f>
        <v>17-18508</v>
      </c>
      <c r="I1071" s="2">
        <v>100</v>
      </c>
      <c r="J1071" t="str">
        <f>"17-18508"</f>
        <v>17-18508</v>
      </c>
    </row>
    <row r="1072" spans="1:10" x14ac:dyDescent="0.3">
      <c r="A1072" t="str">
        <f>""</f>
        <v/>
      </c>
      <c r="B1072" t="str">
        <f>""</f>
        <v/>
      </c>
      <c r="G1072" t="str">
        <f>"201708094245"</f>
        <v>201708094245</v>
      </c>
      <c r="H1072" t="str">
        <f>"16-18018"</f>
        <v>16-18018</v>
      </c>
      <c r="I1072" s="2">
        <v>228</v>
      </c>
      <c r="J1072" t="str">
        <f>"16-18018"</f>
        <v>16-18018</v>
      </c>
    </row>
    <row r="1073" spans="1:10" x14ac:dyDescent="0.3">
      <c r="A1073" t="str">
        <f>""</f>
        <v/>
      </c>
      <c r="B1073" t="str">
        <f>""</f>
        <v/>
      </c>
      <c r="G1073" t="str">
        <f>"201708094246"</f>
        <v>201708094246</v>
      </c>
      <c r="H1073" t="str">
        <f>"16-17760"</f>
        <v>16-17760</v>
      </c>
      <c r="I1073" s="2">
        <v>1068</v>
      </c>
      <c r="J1073" t="str">
        <f>"16-17760"</f>
        <v>16-17760</v>
      </c>
    </row>
    <row r="1074" spans="1:10" x14ac:dyDescent="0.3">
      <c r="A1074" t="str">
        <f>""</f>
        <v/>
      </c>
      <c r="B1074" t="str">
        <f>""</f>
        <v/>
      </c>
      <c r="G1074" t="str">
        <f>"201708094247"</f>
        <v>201708094247</v>
      </c>
      <c r="H1074" t="str">
        <f>"NO AC0017-0222"</f>
        <v>NO AC0017-0222</v>
      </c>
      <c r="I1074" s="2">
        <v>250</v>
      </c>
      <c r="J1074" t="str">
        <f>"NO AC0017-0222"</f>
        <v>NO AC0017-0222</v>
      </c>
    </row>
    <row r="1075" spans="1:10" x14ac:dyDescent="0.3">
      <c r="A1075" t="str">
        <f>""</f>
        <v/>
      </c>
      <c r="B1075" t="str">
        <f>""</f>
        <v/>
      </c>
      <c r="G1075" t="str">
        <f>"201708094248"</f>
        <v>201708094248</v>
      </c>
      <c r="H1075" t="str">
        <f>"408196-IM"</f>
        <v>408196-IM</v>
      </c>
      <c r="I1075" s="2">
        <v>250</v>
      </c>
      <c r="J1075" t="str">
        <f>"408196-IM"</f>
        <v>408196-IM</v>
      </c>
    </row>
    <row r="1076" spans="1:10" x14ac:dyDescent="0.3">
      <c r="A1076" t="str">
        <f>"01"</f>
        <v>01</v>
      </c>
      <c r="B1076" t="str">
        <f>"PB"</f>
        <v>PB</v>
      </c>
      <c r="C1076" t="s">
        <v>309</v>
      </c>
      <c r="D1076">
        <v>72057</v>
      </c>
      <c r="E1076" s="2">
        <v>23.96</v>
      </c>
      <c r="F1076" s="1">
        <v>42961</v>
      </c>
      <c r="G1076" t="str">
        <f>"3303816754"</f>
        <v>3303816754</v>
      </c>
      <c r="H1076" t="str">
        <f>"ACCT#0011198047/PROP TAX"</f>
        <v>ACCT#0011198047/PROP TAX</v>
      </c>
      <c r="I1076" s="2">
        <v>16.46</v>
      </c>
      <c r="J1076" t="str">
        <f>"ACCT#0011198047/PROP TAX"</f>
        <v>ACCT#0011198047/PROP TAX</v>
      </c>
    </row>
    <row r="1077" spans="1:10" x14ac:dyDescent="0.3">
      <c r="A1077" t="str">
        <f>""</f>
        <v/>
      </c>
      <c r="B1077" t="str">
        <f>""</f>
        <v/>
      </c>
      <c r="G1077" t="str">
        <f>"3303819069"</f>
        <v>3303819069</v>
      </c>
      <c r="H1077" t="str">
        <f>"ACCT#0017315717/TAX OFFICE"</f>
        <v>ACCT#0017315717/TAX OFFICE</v>
      </c>
      <c r="I1077" s="2">
        <v>7.5</v>
      </c>
      <c r="J1077" t="str">
        <f>"ACCT#0017315717/PROPERTY TAX"</f>
        <v>ACCT#0017315717/PROPERTY TAX</v>
      </c>
    </row>
    <row r="1078" spans="1:10" x14ac:dyDescent="0.3">
      <c r="A1078" t="str">
        <f>"01"</f>
        <v>01</v>
      </c>
      <c r="B1078" t="str">
        <f>"003293"</f>
        <v>003293</v>
      </c>
      <c r="C1078" t="s">
        <v>310</v>
      </c>
      <c r="D1078">
        <v>72058</v>
      </c>
      <c r="E1078" s="2">
        <v>1000</v>
      </c>
      <c r="F1078" s="1">
        <v>42961</v>
      </c>
      <c r="G1078" t="str">
        <f>"201708094249"</f>
        <v>201708094249</v>
      </c>
      <c r="H1078" t="str">
        <f>"55 398   55 395"</f>
        <v>55 398   55 395</v>
      </c>
      <c r="I1078" s="2">
        <v>500</v>
      </c>
      <c r="J1078" t="str">
        <f>"55 398   55 395"</f>
        <v>55 398   55 395</v>
      </c>
    </row>
    <row r="1079" spans="1:10" x14ac:dyDescent="0.3">
      <c r="A1079" t="str">
        <f>""</f>
        <v/>
      </c>
      <c r="B1079" t="str">
        <f>""</f>
        <v/>
      </c>
      <c r="G1079" t="str">
        <f>"201708094250"</f>
        <v>201708094250</v>
      </c>
      <c r="H1079" t="str">
        <f>"54 921"</f>
        <v>54 921</v>
      </c>
      <c r="I1079" s="2">
        <v>250</v>
      </c>
      <c r="J1079" t="str">
        <f>"54 921"</f>
        <v>54 921</v>
      </c>
    </row>
    <row r="1080" spans="1:10" x14ac:dyDescent="0.3">
      <c r="A1080" t="str">
        <f>""</f>
        <v/>
      </c>
      <c r="B1080" t="str">
        <f>""</f>
        <v/>
      </c>
      <c r="G1080" t="str">
        <f>"201708094251"</f>
        <v>201708094251</v>
      </c>
      <c r="H1080" t="str">
        <f>"54 476"</f>
        <v>54 476</v>
      </c>
      <c r="I1080" s="2">
        <v>250</v>
      </c>
      <c r="J1080" t="str">
        <f>"54 476"</f>
        <v>54 476</v>
      </c>
    </row>
    <row r="1081" spans="1:10" x14ac:dyDescent="0.3">
      <c r="A1081" t="str">
        <f>"01"</f>
        <v>01</v>
      </c>
      <c r="B1081" t="str">
        <f>"PM"</f>
        <v>PM</v>
      </c>
      <c r="C1081" t="s">
        <v>311</v>
      </c>
      <c r="D1081">
        <v>72059</v>
      </c>
      <c r="E1081" s="2">
        <v>1470</v>
      </c>
      <c r="F1081" s="1">
        <v>42961</v>
      </c>
      <c r="G1081" t="str">
        <f>"201708023987"</f>
        <v>201708023987</v>
      </c>
      <c r="H1081" t="str">
        <f>"30 ROLLS OF STAMPS/CO JUDGE"</f>
        <v>30 ROLLS OF STAMPS/CO JUDGE</v>
      </c>
      <c r="I1081" s="2">
        <v>1470</v>
      </c>
      <c r="J1081" t="str">
        <f>"30 ROLLS OF STAMPS/CO JUDGE"</f>
        <v>30 ROLLS OF STAMPS/CO JUDGE</v>
      </c>
    </row>
    <row r="1082" spans="1:10" x14ac:dyDescent="0.3">
      <c r="A1082" t="str">
        <f>"01"</f>
        <v>01</v>
      </c>
      <c r="B1082" t="str">
        <f>"WOSC"</f>
        <v>WOSC</v>
      </c>
      <c r="C1082" t="s">
        <v>312</v>
      </c>
      <c r="D1082">
        <v>72303</v>
      </c>
      <c r="E1082" s="2">
        <v>434.94</v>
      </c>
      <c r="F1082" s="1">
        <v>42976</v>
      </c>
      <c r="G1082" t="str">
        <f>"78397832"</f>
        <v>78397832</v>
      </c>
      <c r="H1082" t="str">
        <f>"CUST#71745122"</f>
        <v>CUST#71745122</v>
      </c>
      <c r="I1082" s="2">
        <v>434.94</v>
      </c>
      <c r="J1082" t="str">
        <f>"CUST#71745122"</f>
        <v>CUST#71745122</v>
      </c>
    </row>
    <row r="1083" spans="1:10" x14ac:dyDescent="0.3">
      <c r="A1083" t="str">
        <f>"01"</f>
        <v>01</v>
      </c>
      <c r="B1083" t="str">
        <f>"T11156"</f>
        <v>T11156</v>
      </c>
      <c r="C1083" t="s">
        <v>313</v>
      </c>
      <c r="D1083">
        <v>72304</v>
      </c>
      <c r="E1083" s="2">
        <v>381.57</v>
      </c>
      <c r="F1083" s="1">
        <v>42976</v>
      </c>
      <c r="G1083" t="str">
        <f>"201708234402"</f>
        <v>201708234402</v>
      </c>
      <c r="H1083" t="str">
        <f>"INDIGENT HEALTH"</f>
        <v>INDIGENT HEALTH</v>
      </c>
      <c r="I1083" s="2">
        <v>381.57</v>
      </c>
      <c r="J1083" t="str">
        <f>"INDIGENT HEALTH"</f>
        <v>INDIGENT HEALTH</v>
      </c>
    </row>
    <row r="1084" spans="1:10" x14ac:dyDescent="0.3">
      <c r="A1084" t="str">
        <f>"01"</f>
        <v>01</v>
      </c>
      <c r="B1084" t="str">
        <f>"T3233"</f>
        <v>T3233</v>
      </c>
      <c r="C1084" t="s">
        <v>314</v>
      </c>
      <c r="D1084">
        <v>72060</v>
      </c>
      <c r="E1084" s="2">
        <v>453.04</v>
      </c>
      <c r="F1084" s="1">
        <v>42961</v>
      </c>
      <c r="G1084" t="str">
        <f>"8215806"</f>
        <v>8215806</v>
      </c>
      <c r="H1084" t="str">
        <f>"JAIL ACADEMY SUPPLIES"</f>
        <v>JAIL ACADEMY SUPPLIES</v>
      </c>
      <c r="I1084" s="2">
        <v>89.38</v>
      </c>
      <c r="J1084" t="str">
        <f>"JAIL ACADEMY SUPPLIES"</f>
        <v>JAIL ACADEMY SUPPLIES</v>
      </c>
    </row>
    <row r="1085" spans="1:10" x14ac:dyDescent="0.3">
      <c r="A1085" t="str">
        <f>""</f>
        <v/>
      </c>
      <c r="B1085" t="str">
        <f>""</f>
        <v/>
      </c>
      <c r="G1085" t="str">
        <f>"8222038"</f>
        <v>8222038</v>
      </c>
      <c r="H1085" t="str">
        <f>"ORDER 104308509"</f>
        <v>ORDER 104308509</v>
      </c>
      <c r="I1085" s="2">
        <v>159.99</v>
      </c>
      <c r="J1085" t="str">
        <f>"ORDER 104308509"</f>
        <v>ORDER 104308509</v>
      </c>
    </row>
    <row r="1086" spans="1:10" x14ac:dyDescent="0.3">
      <c r="A1086" t="str">
        <f>""</f>
        <v/>
      </c>
      <c r="B1086" t="str">
        <f>""</f>
        <v/>
      </c>
      <c r="G1086" t="str">
        <f>"MULTI. INV #'S"</f>
        <v>MULTI. INV #'S</v>
      </c>
      <c r="H1086" t="str">
        <f>"ACCT# 06796564"</f>
        <v>ACCT# 06796564</v>
      </c>
      <c r="I1086" s="2">
        <v>203.67</v>
      </c>
      <c r="J1086" t="str">
        <f>"INV# 007257023"</f>
        <v>INV# 007257023</v>
      </c>
    </row>
    <row r="1087" spans="1:10" x14ac:dyDescent="0.3">
      <c r="A1087" t="str">
        <f>""</f>
        <v/>
      </c>
      <c r="B1087" t="str">
        <f>""</f>
        <v/>
      </c>
      <c r="G1087" t="str">
        <f>""</f>
        <v/>
      </c>
      <c r="H1087" t="str">
        <f>""</f>
        <v/>
      </c>
      <c r="J1087" t="str">
        <f>"INV# 007399709"</f>
        <v>INV# 007399709</v>
      </c>
    </row>
    <row r="1088" spans="1:10" x14ac:dyDescent="0.3">
      <c r="A1088" t="str">
        <f>""</f>
        <v/>
      </c>
      <c r="B1088" t="str">
        <f>""</f>
        <v/>
      </c>
      <c r="G1088" t="str">
        <f>""</f>
        <v/>
      </c>
      <c r="H1088" t="str">
        <f>""</f>
        <v/>
      </c>
      <c r="J1088" t="str">
        <f>"INV# 007405689"</f>
        <v>INV# 007405689</v>
      </c>
    </row>
    <row r="1089" spans="1:10" x14ac:dyDescent="0.3">
      <c r="A1089" t="str">
        <f>""</f>
        <v/>
      </c>
      <c r="B1089" t="str">
        <f>""</f>
        <v/>
      </c>
      <c r="G1089" t="str">
        <f>""</f>
        <v/>
      </c>
      <c r="H1089" t="str">
        <f>""</f>
        <v/>
      </c>
      <c r="J1089" t="str">
        <f>"INV# 008473843"</f>
        <v>INV# 008473843</v>
      </c>
    </row>
    <row r="1090" spans="1:10" x14ac:dyDescent="0.3">
      <c r="A1090" t="str">
        <f>"01"</f>
        <v>01</v>
      </c>
      <c r="B1090" t="str">
        <f>"T3233"</f>
        <v>T3233</v>
      </c>
      <c r="C1090" t="s">
        <v>314</v>
      </c>
      <c r="D1090">
        <v>72305</v>
      </c>
      <c r="E1090" s="2">
        <v>94.34</v>
      </c>
      <c r="F1090" s="1">
        <v>42976</v>
      </c>
      <c r="G1090" t="str">
        <f>"105206935"</f>
        <v>105206935</v>
      </c>
      <c r="H1090" t="str">
        <f>"ORDER 105206935"</f>
        <v>ORDER 105206935</v>
      </c>
      <c r="I1090" s="2">
        <v>94.34</v>
      </c>
      <c r="J1090" t="str">
        <f>"ORDER 105206935"</f>
        <v>ORDER 105206935</v>
      </c>
    </row>
    <row r="1091" spans="1:10" x14ac:dyDescent="0.3">
      <c r="A1091" t="str">
        <f>"01"</f>
        <v>01</v>
      </c>
      <c r="B1091" t="str">
        <f>"004268"</f>
        <v>004268</v>
      </c>
      <c r="C1091" t="s">
        <v>315</v>
      </c>
      <c r="D1091">
        <v>72061</v>
      </c>
      <c r="E1091" s="2">
        <v>2399.2800000000002</v>
      </c>
      <c r="F1091" s="1">
        <v>42961</v>
      </c>
      <c r="G1091" t="str">
        <f>"0023599"</f>
        <v>0023599</v>
      </c>
      <c r="H1091" t="str">
        <f>"DIAGNOSTIC SVCS-2010 FORD"</f>
        <v>DIAGNOSTIC SVCS-2010 FORD</v>
      </c>
      <c r="I1091" s="2">
        <v>52</v>
      </c>
      <c r="J1091" t="str">
        <f>"DIAGNOSTIC SVCS-2010 FORD"</f>
        <v>DIAGNOSTIC SVCS-2010 FORD</v>
      </c>
    </row>
    <row r="1092" spans="1:10" x14ac:dyDescent="0.3">
      <c r="A1092" t="str">
        <f>""</f>
        <v/>
      </c>
      <c r="B1092" t="str">
        <f>""</f>
        <v/>
      </c>
      <c r="G1092" t="str">
        <f>"0023666"</f>
        <v>0023666</v>
      </c>
      <c r="H1092" t="str">
        <f>"PARTS"</f>
        <v>PARTS</v>
      </c>
      <c r="I1092" s="2">
        <v>2347.2800000000002</v>
      </c>
      <c r="J1092" t="str">
        <f>"PARTS"</f>
        <v>PARTS</v>
      </c>
    </row>
    <row r="1093" spans="1:10" x14ac:dyDescent="0.3">
      <c r="A1093" t="str">
        <f>"01"</f>
        <v>01</v>
      </c>
      <c r="B1093" t="str">
        <f>"004268"</f>
        <v>004268</v>
      </c>
      <c r="C1093" t="s">
        <v>315</v>
      </c>
      <c r="D1093">
        <v>72306</v>
      </c>
      <c r="E1093" s="2">
        <v>1164.56</v>
      </c>
      <c r="F1093" s="1">
        <v>42976</v>
      </c>
      <c r="G1093" t="str">
        <f>"0023724"</f>
        <v>0023724</v>
      </c>
      <c r="H1093" t="str">
        <f>"2002 GMC REPAIRS/PCT#2"</f>
        <v>2002 GMC REPAIRS/PCT#2</v>
      </c>
      <c r="I1093" s="2">
        <v>1164.56</v>
      </c>
      <c r="J1093" t="str">
        <f>"2002 GMC REPAIRS/PCT#2"</f>
        <v>2002 GMC REPAIRS/PCT#2</v>
      </c>
    </row>
    <row r="1094" spans="1:10" x14ac:dyDescent="0.3">
      <c r="A1094" t="str">
        <f>"01"</f>
        <v>01</v>
      </c>
      <c r="B1094" t="str">
        <f>"005108"</f>
        <v>005108</v>
      </c>
      <c r="C1094" t="s">
        <v>316</v>
      </c>
      <c r="D1094">
        <v>72062</v>
      </c>
      <c r="E1094" s="2">
        <v>1175</v>
      </c>
      <c r="F1094" s="1">
        <v>42961</v>
      </c>
      <c r="G1094" t="str">
        <f>"195896"</f>
        <v>195896</v>
      </c>
      <c r="H1094" t="str">
        <f>"Quote# 49888"</f>
        <v>Quote# 49888</v>
      </c>
      <c r="I1094" s="2">
        <v>1175</v>
      </c>
      <c r="J1094" t="str">
        <f>"L-1500/SS B16"</f>
        <v>L-1500/SS B16</v>
      </c>
    </row>
    <row r="1095" spans="1:10" x14ac:dyDescent="0.3">
      <c r="A1095" t="str">
        <f>""</f>
        <v/>
      </c>
      <c r="B1095" t="str">
        <f>""</f>
        <v/>
      </c>
      <c r="G1095" t="str">
        <f>""</f>
        <v/>
      </c>
      <c r="H1095" t="str">
        <f>""</f>
        <v/>
      </c>
      <c r="J1095" t="str">
        <f>"Freight"</f>
        <v>Freight</v>
      </c>
    </row>
    <row r="1096" spans="1:10" x14ac:dyDescent="0.3">
      <c r="A1096" t="str">
        <f>"01"</f>
        <v>01</v>
      </c>
      <c r="B1096" t="str">
        <f>"000303"</f>
        <v>000303</v>
      </c>
      <c r="C1096" t="s">
        <v>317</v>
      </c>
      <c r="D1096">
        <v>72063</v>
      </c>
      <c r="E1096" s="2">
        <v>958.35</v>
      </c>
      <c r="F1096" s="1">
        <v>42961</v>
      </c>
      <c r="G1096" t="str">
        <f>"201708094190"</f>
        <v>201708094190</v>
      </c>
      <c r="H1096" t="str">
        <f>"REIMBURSE-CAR WASH"</f>
        <v>REIMBURSE-CAR WASH</v>
      </c>
      <c r="I1096" s="2">
        <v>24.95</v>
      </c>
      <c r="J1096" t="str">
        <f>"REIMBURSE-CAR WASH"</f>
        <v>REIMBURSE-CAR WASH</v>
      </c>
    </row>
    <row r="1097" spans="1:10" x14ac:dyDescent="0.3">
      <c r="A1097" t="str">
        <f>""</f>
        <v/>
      </c>
      <c r="B1097" t="str">
        <f>""</f>
        <v/>
      </c>
      <c r="G1097" t="str">
        <f>"201708094191"</f>
        <v>201708094191</v>
      </c>
      <c r="H1097" t="str">
        <f>"REIMBURSE-MOTEL AND MEALS"</f>
        <v>REIMBURSE-MOTEL AND MEALS</v>
      </c>
      <c r="I1097" s="2">
        <v>510.53</v>
      </c>
      <c r="J1097" t="str">
        <f>"REIMBURSE-MOTEL AND MEALS"</f>
        <v>REIMBURSE-MOTEL AND MEALS</v>
      </c>
    </row>
    <row r="1098" spans="1:10" x14ac:dyDescent="0.3">
      <c r="A1098" t="str">
        <f>""</f>
        <v/>
      </c>
      <c r="B1098" t="str">
        <f>""</f>
        <v/>
      </c>
      <c r="G1098" t="str">
        <f>"201708094192"</f>
        <v>201708094192</v>
      </c>
      <c r="H1098" t="str">
        <f>"REIMBURSE FUEL"</f>
        <v>REIMBURSE FUEL</v>
      </c>
      <c r="I1098" s="2">
        <v>53.36</v>
      </c>
      <c r="J1098" t="str">
        <f>"REIMBURSE FUEL"</f>
        <v>REIMBURSE FUEL</v>
      </c>
    </row>
    <row r="1099" spans="1:10" x14ac:dyDescent="0.3">
      <c r="A1099" t="str">
        <f>""</f>
        <v/>
      </c>
      <c r="B1099" t="str">
        <f>""</f>
        <v/>
      </c>
      <c r="G1099" t="str">
        <f>"201708094193"</f>
        <v>201708094193</v>
      </c>
      <c r="H1099" t="str">
        <f>"REIMBURSE MOTEL"</f>
        <v>REIMBURSE MOTEL</v>
      </c>
      <c r="I1099" s="2">
        <v>369.51</v>
      </c>
      <c r="J1099" t="str">
        <f>"REIMBURSE MOTEL"</f>
        <v>REIMBURSE MOTEL</v>
      </c>
    </row>
    <row r="1100" spans="1:10" x14ac:dyDescent="0.3">
      <c r="A1100" t="str">
        <f>"01"</f>
        <v>01</v>
      </c>
      <c r="B1100" t="str">
        <f>"000303"</f>
        <v>000303</v>
      </c>
      <c r="C1100" t="s">
        <v>317</v>
      </c>
      <c r="D1100">
        <v>72307</v>
      </c>
      <c r="E1100" s="2">
        <v>108.35</v>
      </c>
      <c r="F1100" s="1">
        <v>42976</v>
      </c>
      <c r="G1100" t="str">
        <f>"201708214299"</f>
        <v>201708214299</v>
      </c>
      <c r="H1100" t="str">
        <f>"TRAVEL REIMBURSE-R. BAUER"</f>
        <v>TRAVEL REIMBURSE-R. BAUER</v>
      </c>
      <c r="I1100" s="2">
        <v>108.35</v>
      </c>
      <c r="J1100" t="str">
        <f>"TRAVEL REIMBURSE-R. BAUER"</f>
        <v>TRAVEL REIMBURSE-R. BAUER</v>
      </c>
    </row>
    <row r="1101" spans="1:10" x14ac:dyDescent="0.3">
      <c r="A1101" t="str">
        <f>"01"</f>
        <v>01</v>
      </c>
      <c r="B1101" t="str">
        <f>"005130"</f>
        <v>005130</v>
      </c>
      <c r="C1101" t="s">
        <v>318</v>
      </c>
      <c r="D1101">
        <v>72308</v>
      </c>
      <c r="E1101" s="2">
        <v>300</v>
      </c>
      <c r="F1101" s="1">
        <v>42976</v>
      </c>
      <c r="G1101" t="str">
        <f>"10523004"</f>
        <v>10523004</v>
      </c>
      <c r="H1101" t="str">
        <f>"10 HOURS @ $30/HR"</f>
        <v>10 HOURS @ $30/HR</v>
      </c>
      <c r="I1101" s="2">
        <v>300</v>
      </c>
      <c r="J1101" t="str">
        <f>"10 HOURS @ $30/HR"</f>
        <v>10 HOURS @ $30/HR</v>
      </c>
    </row>
    <row r="1102" spans="1:10" x14ac:dyDescent="0.3">
      <c r="A1102" t="str">
        <f>"01"</f>
        <v>01</v>
      </c>
      <c r="B1102" t="str">
        <f>"000591"</f>
        <v>000591</v>
      </c>
      <c r="C1102" t="s">
        <v>319</v>
      </c>
      <c r="D1102">
        <v>999999</v>
      </c>
      <c r="E1102" s="2">
        <v>200.68</v>
      </c>
      <c r="F1102" s="1">
        <v>42961</v>
      </c>
      <c r="G1102" t="str">
        <f>"07G0121569859"</f>
        <v>07G0121569859</v>
      </c>
      <c r="H1102" t="str">
        <f>"ACCT#0121569859/JP #4"</f>
        <v>ACCT#0121569859/JP #4</v>
      </c>
      <c r="I1102" s="2">
        <v>45.86</v>
      </c>
      <c r="J1102" t="str">
        <f>"ACCT#0121569859/JP #4"</f>
        <v>ACCT#0121569859/JP #4</v>
      </c>
    </row>
    <row r="1103" spans="1:10" x14ac:dyDescent="0.3">
      <c r="A1103" t="str">
        <f>""</f>
        <v/>
      </c>
      <c r="B1103" t="str">
        <f>""</f>
        <v/>
      </c>
      <c r="G1103" t="str">
        <f>"07G0121587851"</f>
        <v>07G0121587851</v>
      </c>
      <c r="H1103" t="str">
        <f>"ACCT#0121587851/PCT#4"</f>
        <v>ACCT#0121587851/PCT#4</v>
      </c>
      <c r="I1103" s="2">
        <v>154.82</v>
      </c>
      <c r="J1103" t="str">
        <f>"ACCT#0121587851/PCT#4"</f>
        <v>ACCT#0121587851/PCT#4</v>
      </c>
    </row>
    <row r="1104" spans="1:10" x14ac:dyDescent="0.3">
      <c r="A1104" t="str">
        <f>"01"</f>
        <v>01</v>
      </c>
      <c r="B1104" t="str">
        <f>"003737"</f>
        <v>003737</v>
      </c>
      <c r="C1104" t="s">
        <v>320</v>
      </c>
      <c r="D1104">
        <v>71898</v>
      </c>
      <c r="E1104" s="2">
        <v>278.89999999999998</v>
      </c>
      <c r="F1104" s="1">
        <v>42957</v>
      </c>
      <c r="G1104" t="str">
        <f>"0843-001360479"</f>
        <v>0843-001360479</v>
      </c>
      <c r="H1104" t="str">
        <f>"ACCT#3-0843-1269216/07262017"</f>
        <v>ACCT#3-0843-1269216/07262017</v>
      </c>
      <c r="I1104" s="2">
        <v>278.89999999999998</v>
      </c>
      <c r="J1104" t="str">
        <f>"REPUBLIC SERVICES INC BFI WAST"</f>
        <v>REPUBLIC SERVICES INC BFI WAST</v>
      </c>
    </row>
    <row r="1105" spans="1:10" x14ac:dyDescent="0.3">
      <c r="A1105" t="str">
        <f>"01"</f>
        <v>01</v>
      </c>
      <c r="B1105" t="str">
        <f>"003737"</f>
        <v>003737</v>
      </c>
      <c r="C1105" t="s">
        <v>320</v>
      </c>
      <c r="D1105">
        <v>72064</v>
      </c>
      <c r="E1105" s="2">
        <v>2748.38</v>
      </c>
      <c r="F1105" s="1">
        <v>42961</v>
      </c>
      <c r="G1105" t="str">
        <f>"0843-001361829"</f>
        <v>0843-001361829</v>
      </c>
      <c r="H1105" t="str">
        <f>"ACCT#3-0843-0017094/PCT#1"</f>
        <v>ACCT#3-0843-0017094/PCT#1</v>
      </c>
      <c r="I1105" s="2">
        <v>2124.7199999999998</v>
      </c>
      <c r="J1105" t="str">
        <f>"ACCT#3-0843-0017094/PCT#1"</f>
        <v>ACCT#3-0843-0017094/PCT#1</v>
      </c>
    </row>
    <row r="1106" spans="1:10" x14ac:dyDescent="0.3">
      <c r="A1106" t="str">
        <f>""</f>
        <v/>
      </c>
      <c r="B1106" t="str">
        <f>""</f>
        <v/>
      </c>
      <c r="G1106" t="str">
        <f>"0843-001362518"</f>
        <v>0843-001362518</v>
      </c>
      <c r="H1106" t="str">
        <f>"ACCT#3-0843-0041813"</f>
        <v>ACCT#3-0843-0041813</v>
      </c>
      <c r="I1106" s="2">
        <v>623.66</v>
      </c>
      <c r="J1106" t="str">
        <f>"ACCT#3-0843-0041813"</f>
        <v>ACCT#3-0843-0041813</v>
      </c>
    </row>
    <row r="1107" spans="1:10" x14ac:dyDescent="0.3">
      <c r="A1107" t="str">
        <f t="shared" ref="A1107:A1112" si="19">"01"</f>
        <v>01</v>
      </c>
      <c r="B1107" t="str">
        <f>"T11385"</f>
        <v>T11385</v>
      </c>
      <c r="C1107" t="s">
        <v>321</v>
      </c>
      <c r="D1107">
        <v>999999</v>
      </c>
      <c r="E1107" s="2">
        <v>250</v>
      </c>
      <c r="F1107" s="1">
        <v>42961</v>
      </c>
      <c r="G1107" t="str">
        <f>"201707283936"</f>
        <v>201707283936</v>
      </c>
      <c r="H1107" t="str">
        <f>"20170109"</f>
        <v>20170109</v>
      </c>
      <c r="I1107" s="2">
        <v>250</v>
      </c>
      <c r="J1107" t="str">
        <f>"20170109"</f>
        <v>20170109</v>
      </c>
    </row>
    <row r="1108" spans="1:10" x14ac:dyDescent="0.3">
      <c r="A1108" t="str">
        <f t="shared" si="19"/>
        <v>01</v>
      </c>
      <c r="B1108" t="str">
        <f>"005158"</f>
        <v>005158</v>
      </c>
      <c r="C1108" t="s">
        <v>322</v>
      </c>
      <c r="D1108">
        <v>72309</v>
      </c>
      <c r="E1108" s="2">
        <v>100</v>
      </c>
      <c r="F1108" s="1">
        <v>42976</v>
      </c>
      <c r="G1108" t="str">
        <f>"17072001"</f>
        <v>17072001</v>
      </c>
      <c r="H1108" t="str">
        <f>"WORK ORDER 17072001"</f>
        <v>WORK ORDER 17072001</v>
      </c>
      <c r="I1108" s="2">
        <v>100</v>
      </c>
      <c r="J1108" t="str">
        <f>"WORK ORDER 17072001"</f>
        <v>WORK ORDER 17072001</v>
      </c>
    </row>
    <row r="1109" spans="1:10" x14ac:dyDescent="0.3">
      <c r="A1109" t="str">
        <f t="shared" si="19"/>
        <v>01</v>
      </c>
      <c r="B1109" t="str">
        <f>"T10310"</f>
        <v>T10310</v>
      </c>
      <c r="C1109" t="s">
        <v>323</v>
      </c>
      <c r="D1109">
        <v>72065</v>
      </c>
      <c r="E1109" s="2">
        <v>36.049999999999997</v>
      </c>
      <c r="F1109" s="1">
        <v>42961</v>
      </c>
      <c r="G1109" t="str">
        <f>"201707283939"</f>
        <v>201707283939</v>
      </c>
      <c r="H1109" t="str">
        <f>"ACCT#3510/PCT#4"</f>
        <v>ACCT#3510/PCT#4</v>
      </c>
      <c r="I1109" s="2">
        <v>36.049999999999997</v>
      </c>
      <c r="J1109" t="str">
        <f>"ACCT#3510/PCT#4"</f>
        <v>ACCT#3510/PCT#4</v>
      </c>
    </row>
    <row r="1110" spans="1:10" x14ac:dyDescent="0.3">
      <c r="A1110" t="str">
        <f t="shared" si="19"/>
        <v>01</v>
      </c>
      <c r="B1110" t="str">
        <f>"002590"</f>
        <v>002590</v>
      </c>
      <c r="C1110" t="s">
        <v>324</v>
      </c>
      <c r="D1110">
        <v>72310</v>
      </c>
      <c r="E1110" s="2">
        <v>7.42</v>
      </c>
      <c r="F1110" s="1">
        <v>42976</v>
      </c>
      <c r="G1110" t="str">
        <f>"99218825"</f>
        <v>99218825</v>
      </c>
      <c r="H1110" t="str">
        <f>"ACCT#1437799-378856"</f>
        <v>ACCT#1437799-378856</v>
      </c>
      <c r="I1110" s="2">
        <v>7.42</v>
      </c>
      <c r="J1110" t="str">
        <f>"ACCT#1437799-378856"</f>
        <v>ACCT#1437799-378856</v>
      </c>
    </row>
    <row r="1111" spans="1:10" x14ac:dyDescent="0.3">
      <c r="A1111" t="str">
        <f t="shared" si="19"/>
        <v>01</v>
      </c>
      <c r="B1111" t="str">
        <f>"001322"</f>
        <v>001322</v>
      </c>
      <c r="C1111" t="s">
        <v>325</v>
      </c>
      <c r="D1111">
        <v>999999</v>
      </c>
      <c r="E1111" s="2">
        <v>391.31</v>
      </c>
      <c r="F1111" s="1">
        <v>42961</v>
      </c>
      <c r="G1111" t="str">
        <f>"5049684872"</f>
        <v>5049684872</v>
      </c>
      <c r="H1111" t="str">
        <f>"CUST#12847097/CONT#4049322"</f>
        <v>CUST#12847097/CONT#4049322</v>
      </c>
      <c r="I1111" s="2">
        <v>391.31</v>
      </c>
      <c r="J1111" t="str">
        <f>"CUST#12847097/CONT#4049322"</f>
        <v>CUST#12847097/CONT#4049322</v>
      </c>
    </row>
    <row r="1112" spans="1:10" x14ac:dyDescent="0.3">
      <c r="A1112" t="str">
        <f t="shared" si="19"/>
        <v>01</v>
      </c>
      <c r="B1112" t="str">
        <f>"000972"</f>
        <v>000972</v>
      </c>
      <c r="C1112" t="s">
        <v>326</v>
      </c>
      <c r="D1112">
        <v>72066</v>
      </c>
      <c r="E1112" s="2">
        <v>7087.58</v>
      </c>
      <c r="F1112" s="1">
        <v>42961</v>
      </c>
      <c r="G1112" t="str">
        <f>"30607737"</f>
        <v>30607737</v>
      </c>
      <c r="H1112" t="str">
        <f>"CUST#2000172616"</f>
        <v>CUST#2000172616</v>
      </c>
      <c r="I1112" s="2">
        <v>7087.58</v>
      </c>
      <c r="J1112" t="str">
        <f t="shared" ref="J1112:J1133" si="20">"CUST#2000172616"</f>
        <v>CUST#2000172616</v>
      </c>
    </row>
    <row r="1113" spans="1:10" x14ac:dyDescent="0.3">
      <c r="A1113" t="str">
        <f>""</f>
        <v/>
      </c>
      <c r="B1113" t="str">
        <f>""</f>
        <v/>
      </c>
      <c r="G1113" t="str">
        <f>""</f>
        <v/>
      </c>
      <c r="H1113" t="str">
        <f>""</f>
        <v/>
      </c>
      <c r="J1113" t="str">
        <f t="shared" si="20"/>
        <v>CUST#2000172616</v>
      </c>
    </row>
    <row r="1114" spans="1:10" x14ac:dyDescent="0.3">
      <c r="A1114" t="str">
        <f>""</f>
        <v/>
      </c>
      <c r="B1114" t="str">
        <f>""</f>
        <v/>
      </c>
      <c r="G1114" t="str">
        <f>""</f>
        <v/>
      </c>
      <c r="H1114" t="str">
        <f>""</f>
        <v/>
      </c>
      <c r="J1114" t="str">
        <f t="shared" si="20"/>
        <v>CUST#2000172616</v>
      </c>
    </row>
    <row r="1115" spans="1:10" x14ac:dyDescent="0.3">
      <c r="A1115" t="str">
        <f>""</f>
        <v/>
      </c>
      <c r="B1115" t="str">
        <f>""</f>
        <v/>
      </c>
      <c r="G1115" t="str">
        <f>""</f>
        <v/>
      </c>
      <c r="H1115" t="str">
        <f>""</f>
        <v/>
      </c>
      <c r="J1115" t="str">
        <f t="shared" si="20"/>
        <v>CUST#2000172616</v>
      </c>
    </row>
    <row r="1116" spans="1:10" x14ac:dyDescent="0.3">
      <c r="A1116" t="str">
        <f>""</f>
        <v/>
      </c>
      <c r="B1116" t="str">
        <f>""</f>
        <v/>
      </c>
      <c r="G1116" t="str">
        <f>""</f>
        <v/>
      </c>
      <c r="H1116" t="str">
        <f>""</f>
        <v/>
      </c>
      <c r="J1116" t="str">
        <f t="shared" si="20"/>
        <v>CUST#2000172616</v>
      </c>
    </row>
    <row r="1117" spans="1:10" x14ac:dyDescent="0.3">
      <c r="A1117" t="str">
        <f>""</f>
        <v/>
      </c>
      <c r="B1117" t="str">
        <f>""</f>
        <v/>
      </c>
      <c r="G1117" t="str">
        <f>""</f>
        <v/>
      </c>
      <c r="H1117" t="str">
        <f>""</f>
        <v/>
      </c>
      <c r="J1117" t="str">
        <f t="shared" si="20"/>
        <v>CUST#2000172616</v>
      </c>
    </row>
    <row r="1118" spans="1:10" x14ac:dyDescent="0.3">
      <c r="A1118" t="str">
        <f>""</f>
        <v/>
      </c>
      <c r="B1118" t="str">
        <f>""</f>
        <v/>
      </c>
      <c r="G1118" t="str">
        <f>""</f>
        <v/>
      </c>
      <c r="H1118" t="str">
        <f>""</f>
        <v/>
      </c>
      <c r="J1118" t="str">
        <f t="shared" si="20"/>
        <v>CUST#2000172616</v>
      </c>
    </row>
    <row r="1119" spans="1:10" x14ac:dyDescent="0.3">
      <c r="A1119" t="str">
        <f>""</f>
        <v/>
      </c>
      <c r="B1119" t="str">
        <f>""</f>
        <v/>
      </c>
      <c r="G1119" t="str">
        <f>""</f>
        <v/>
      </c>
      <c r="H1119" t="str">
        <f>""</f>
        <v/>
      </c>
      <c r="J1119" t="str">
        <f t="shared" si="20"/>
        <v>CUST#2000172616</v>
      </c>
    </row>
    <row r="1120" spans="1:10" x14ac:dyDescent="0.3">
      <c r="A1120" t="str">
        <f>""</f>
        <v/>
      </c>
      <c r="B1120" t="str">
        <f>""</f>
        <v/>
      </c>
      <c r="G1120" t="str">
        <f>""</f>
        <v/>
      </c>
      <c r="H1120" t="str">
        <f>""</f>
        <v/>
      </c>
      <c r="J1120" t="str">
        <f t="shared" si="20"/>
        <v>CUST#2000172616</v>
      </c>
    </row>
    <row r="1121" spans="1:10" x14ac:dyDescent="0.3">
      <c r="A1121" t="str">
        <f>""</f>
        <v/>
      </c>
      <c r="B1121" t="str">
        <f>""</f>
        <v/>
      </c>
      <c r="G1121" t="str">
        <f>""</f>
        <v/>
      </c>
      <c r="H1121" t="str">
        <f>""</f>
        <v/>
      </c>
      <c r="J1121" t="str">
        <f t="shared" si="20"/>
        <v>CUST#2000172616</v>
      </c>
    </row>
    <row r="1122" spans="1:10" x14ac:dyDescent="0.3">
      <c r="A1122" t="str">
        <f>""</f>
        <v/>
      </c>
      <c r="B1122" t="str">
        <f>""</f>
        <v/>
      </c>
      <c r="G1122" t="str">
        <f>""</f>
        <v/>
      </c>
      <c r="H1122" t="str">
        <f>""</f>
        <v/>
      </c>
      <c r="J1122" t="str">
        <f t="shared" si="20"/>
        <v>CUST#2000172616</v>
      </c>
    </row>
    <row r="1123" spans="1:10" x14ac:dyDescent="0.3">
      <c r="A1123" t="str">
        <f>""</f>
        <v/>
      </c>
      <c r="B1123" t="str">
        <f>""</f>
        <v/>
      </c>
      <c r="G1123" t="str">
        <f>""</f>
        <v/>
      </c>
      <c r="H1123" t="str">
        <f>""</f>
        <v/>
      </c>
      <c r="J1123" t="str">
        <f t="shared" si="20"/>
        <v>CUST#2000172616</v>
      </c>
    </row>
    <row r="1124" spans="1:10" x14ac:dyDescent="0.3">
      <c r="A1124" t="str">
        <f>""</f>
        <v/>
      </c>
      <c r="B1124" t="str">
        <f>""</f>
        <v/>
      </c>
      <c r="G1124" t="str">
        <f>""</f>
        <v/>
      </c>
      <c r="H1124" t="str">
        <f>""</f>
        <v/>
      </c>
      <c r="J1124" t="str">
        <f t="shared" si="20"/>
        <v>CUST#2000172616</v>
      </c>
    </row>
    <row r="1125" spans="1:10" x14ac:dyDescent="0.3">
      <c r="A1125" t="str">
        <f>""</f>
        <v/>
      </c>
      <c r="B1125" t="str">
        <f>""</f>
        <v/>
      </c>
      <c r="G1125" t="str">
        <f>""</f>
        <v/>
      </c>
      <c r="H1125" t="str">
        <f>""</f>
        <v/>
      </c>
      <c r="J1125" t="str">
        <f t="shared" si="20"/>
        <v>CUST#2000172616</v>
      </c>
    </row>
    <row r="1126" spans="1:10" x14ac:dyDescent="0.3">
      <c r="A1126" t="str">
        <f>""</f>
        <v/>
      </c>
      <c r="B1126" t="str">
        <f>""</f>
        <v/>
      </c>
      <c r="G1126" t="str">
        <f>""</f>
        <v/>
      </c>
      <c r="H1126" t="str">
        <f>""</f>
        <v/>
      </c>
      <c r="J1126" t="str">
        <f t="shared" si="20"/>
        <v>CUST#2000172616</v>
      </c>
    </row>
    <row r="1127" spans="1:10" x14ac:dyDescent="0.3">
      <c r="A1127" t="str">
        <f>""</f>
        <v/>
      </c>
      <c r="B1127" t="str">
        <f>""</f>
        <v/>
      </c>
      <c r="G1127" t="str">
        <f>""</f>
        <v/>
      </c>
      <c r="H1127" t="str">
        <f>""</f>
        <v/>
      </c>
      <c r="J1127" t="str">
        <f t="shared" si="20"/>
        <v>CUST#2000172616</v>
      </c>
    </row>
    <row r="1128" spans="1:10" x14ac:dyDescent="0.3">
      <c r="A1128" t="str">
        <f>""</f>
        <v/>
      </c>
      <c r="B1128" t="str">
        <f>""</f>
        <v/>
      </c>
      <c r="G1128" t="str">
        <f>""</f>
        <v/>
      </c>
      <c r="H1128" t="str">
        <f>""</f>
        <v/>
      </c>
      <c r="J1128" t="str">
        <f t="shared" si="20"/>
        <v>CUST#2000172616</v>
      </c>
    </row>
    <row r="1129" spans="1:10" x14ac:dyDescent="0.3">
      <c r="A1129" t="str">
        <f>""</f>
        <v/>
      </c>
      <c r="B1129" t="str">
        <f>""</f>
        <v/>
      </c>
      <c r="G1129" t="str">
        <f>""</f>
        <v/>
      </c>
      <c r="H1129" t="str">
        <f>""</f>
        <v/>
      </c>
      <c r="J1129" t="str">
        <f t="shared" si="20"/>
        <v>CUST#2000172616</v>
      </c>
    </row>
    <row r="1130" spans="1:10" x14ac:dyDescent="0.3">
      <c r="A1130" t="str">
        <f>""</f>
        <v/>
      </c>
      <c r="B1130" t="str">
        <f>""</f>
        <v/>
      </c>
      <c r="G1130" t="str">
        <f>""</f>
        <v/>
      </c>
      <c r="H1130" t="str">
        <f>""</f>
        <v/>
      </c>
      <c r="J1130" t="str">
        <f t="shared" si="20"/>
        <v>CUST#2000172616</v>
      </c>
    </row>
    <row r="1131" spans="1:10" x14ac:dyDescent="0.3">
      <c r="A1131" t="str">
        <f>""</f>
        <v/>
      </c>
      <c r="B1131" t="str">
        <f>""</f>
        <v/>
      </c>
      <c r="G1131" t="str">
        <f>""</f>
        <v/>
      </c>
      <c r="H1131" t="str">
        <f>""</f>
        <v/>
      </c>
      <c r="J1131" t="str">
        <f t="shared" si="20"/>
        <v>CUST#2000172616</v>
      </c>
    </row>
    <row r="1132" spans="1:10" x14ac:dyDescent="0.3">
      <c r="A1132" t="str">
        <f>""</f>
        <v/>
      </c>
      <c r="B1132" t="str">
        <f>""</f>
        <v/>
      </c>
      <c r="G1132" t="str">
        <f>""</f>
        <v/>
      </c>
      <c r="H1132" t="str">
        <f>""</f>
        <v/>
      </c>
      <c r="J1132" t="str">
        <f t="shared" si="20"/>
        <v>CUST#2000172616</v>
      </c>
    </row>
    <row r="1133" spans="1:10" x14ac:dyDescent="0.3">
      <c r="A1133" t="str">
        <f>""</f>
        <v/>
      </c>
      <c r="B1133" t="str">
        <f>""</f>
        <v/>
      </c>
      <c r="G1133" t="str">
        <f>""</f>
        <v/>
      </c>
      <c r="H1133" t="str">
        <f>""</f>
        <v/>
      </c>
      <c r="J1133" t="str">
        <f t="shared" si="20"/>
        <v>CUST#2000172616</v>
      </c>
    </row>
    <row r="1134" spans="1:10" x14ac:dyDescent="0.3">
      <c r="A1134" t="str">
        <f>"01"</f>
        <v>01</v>
      </c>
      <c r="B1134" t="str">
        <f>"004549"</f>
        <v>004549</v>
      </c>
      <c r="C1134" t="s">
        <v>327</v>
      </c>
      <c r="D1134">
        <v>72067</v>
      </c>
      <c r="E1134" s="2">
        <v>275</v>
      </c>
      <c r="F1134" s="1">
        <v>42961</v>
      </c>
      <c r="G1134" t="str">
        <f>"721168"</f>
        <v>721168</v>
      </c>
      <c r="H1134" t="str">
        <f>"LNDSCP SVCS/DILDY DR/PCT#4"</f>
        <v>LNDSCP SVCS/DILDY DR/PCT#4</v>
      </c>
      <c r="I1134" s="2">
        <v>150</v>
      </c>
      <c r="J1134" t="str">
        <f>"LNDSCP SVCS/DILDY DR/PCT#4"</f>
        <v>LNDSCP SVCS/DILDY DR/PCT#4</v>
      </c>
    </row>
    <row r="1135" spans="1:10" x14ac:dyDescent="0.3">
      <c r="A1135" t="str">
        <f>""</f>
        <v/>
      </c>
      <c r="B1135" t="str">
        <f>""</f>
        <v/>
      </c>
      <c r="G1135" t="str">
        <f>"721169"</f>
        <v>721169</v>
      </c>
      <c r="H1135" t="str">
        <f>"LNDSCP SVCS/708 BULL RUN/PCT#4"</f>
        <v>LNDSCP SVCS/708 BULL RUN/PCT#4</v>
      </c>
      <c r="I1135" s="2">
        <v>125</v>
      </c>
      <c r="J1135" t="str">
        <f>"LNDSCP SVCS/708 BULL RUN/PCT#4"</f>
        <v>LNDSCP SVCS/708 BULL RUN/PCT#4</v>
      </c>
    </row>
    <row r="1136" spans="1:10" x14ac:dyDescent="0.3">
      <c r="A1136" t="str">
        <f t="shared" ref="A1136:A1144" si="21">"01"</f>
        <v>01</v>
      </c>
      <c r="B1136" t="str">
        <f>"000374"</f>
        <v>000374</v>
      </c>
      <c r="C1136" t="s">
        <v>328</v>
      </c>
      <c r="D1136">
        <v>72311</v>
      </c>
      <c r="E1136" s="2">
        <v>139.97999999999999</v>
      </c>
      <c r="F1136" s="1">
        <v>42976</v>
      </c>
      <c r="G1136" t="str">
        <f>"I011220"</f>
        <v>I011220</v>
      </c>
      <c r="H1136" t="str">
        <f>"INV"</f>
        <v>INV</v>
      </c>
      <c r="I1136" s="2">
        <v>139.97999999999999</v>
      </c>
      <c r="J1136" t="str">
        <f>"INV"</f>
        <v>INV</v>
      </c>
    </row>
    <row r="1137" spans="1:10" x14ac:dyDescent="0.3">
      <c r="A1137" t="str">
        <f t="shared" si="21"/>
        <v>01</v>
      </c>
      <c r="B1137" t="str">
        <f>"004417"</f>
        <v>004417</v>
      </c>
      <c r="C1137" t="s">
        <v>329</v>
      </c>
      <c r="D1137">
        <v>999999</v>
      </c>
      <c r="E1137" s="2">
        <v>1600</v>
      </c>
      <c r="F1137" s="1">
        <v>42961</v>
      </c>
      <c r="G1137" t="str">
        <f>"BCSOJUN17"</f>
        <v>BCSOJUN17</v>
      </c>
      <c r="H1137" t="str">
        <f>"JUNE SVC"</f>
        <v>JUNE SVC</v>
      </c>
      <c r="I1137" s="2">
        <v>1600</v>
      </c>
      <c r="J1137" t="str">
        <f>"JUNE SVC"</f>
        <v>JUNE SVC</v>
      </c>
    </row>
    <row r="1138" spans="1:10" x14ac:dyDescent="0.3">
      <c r="A1138" t="str">
        <f t="shared" si="21"/>
        <v>01</v>
      </c>
      <c r="B1138" t="str">
        <f>"005165"</f>
        <v>005165</v>
      </c>
      <c r="C1138" t="s">
        <v>330</v>
      </c>
      <c r="D1138">
        <v>72068</v>
      </c>
      <c r="E1138" s="2">
        <v>1950</v>
      </c>
      <c r="F1138" s="1">
        <v>42961</v>
      </c>
      <c r="G1138" t="str">
        <f>"WA#1575-2017"</f>
        <v>WA#1575-2017</v>
      </c>
      <c r="H1138" t="str">
        <f>"CREATION OF 5.185 ACRE TRACT"</f>
        <v>CREATION OF 5.185 ACRE TRACT</v>
      </c>
      <c r="I1138" s="2">
        <v>1950</v>
      </c>
      <c r="J1138" t="str">
        <f>"CREATION OF 5.185 ACRE TRACT"</f>
        <v>CREATION OF 5.185 ACRE TRACT</v>
      </c>
    </row>
    <row r="1139" spans="1:10" x14ac:dyDescent="0.3">
      <c r="A1139" t="str">
        <f t="shared" si="21"/>
        <v>01</v>
      </c>
      <c r="B1139" t="str">
        <f>"T11144"</f>
        <v>T11144</v>
      </c>
      <c r="C1139" t="s">
        <v>331</v>
      </c>
      <c r="D1139">
        <v>72069</v>
      </c>
      <c r="E1139" s="2">
        <v>1000</v>
      </c>
      <c r="F1139" s="1">
        <v>42961</v>
      </c>
      <c r="G1139" t="str">
        <f>"201708084130"</f>
        <v>201708084130</v>
      </c>
      <c r="H1139" t="str">
        <f>"16 173-G. TURNER/PSYC EVAL/REP"</f>
        <v>16 173-G. TURNER/PSYC EVAL/REP</v>
      </c>
      <c r="I1139" s="2">
        <v>1000</v>
      </c>
      <c r="J1139" t="str">
        <f>"16 173-G. TURNER/PSYC EVAL/REP"</f>
        <v>16 173-G. TURNER/PSYC EVAL/REP</v>
      </c>
    </row>
    <row r="1140" spans="1:10" x14ac:dyDescent="0.3">
      <c r="A1140" t="str">
        <f t="shared" si="21"/>
        <v>01</v>
      </c>
      <c r="B1140" t="str">
        <f>"MADDEN"</f>
        <v>MADDEN</v>
      </c>
      <c r="C1140" t="s">
        <v>332</v>
      </c>
      <c r="D1140">
        <v>72070</v>
      </c>
      <c r="E1140" s="2">
        <v>1918.68</v>
      </c>
      <c r="F1140" s="1">
        <v>42961</v>
      </c>
      <c r="G1140" t="str">
        <f>"201708074101"</f>
        <v>201708074101</v>
      </c>
      <c r="H1140" t="str">
        <f>"CUST#90564/GEN SVCS"</f>
        <v>CUST#90564/GEN SVCS</v>
      </c>
      <c r="I1140" s="2">
        <v>1918.68</v>
      </c>
      <c r="J1140" t="str">
        <f>"CUST#90564/GEN SVCS"</f>
        <v>CUST#90564/GEN SVCS</v>
      </c>
    </row>
    <row r="1141" spans="1:10" x14ac:dyDescent="0.3">
      <c r="A1141" t="str">
        <f t="shared" si="21"/>
        <v>01</v>
      </c>
      <c r="B1141" t="str">
        <f>"003619"</f>
        <v>003619</v>
      </c>
      <c r="C1141" t="s">
        <v>333</v>
      </c>
      <c r="D1141">
        <v>72071</v>
      </c>
      <c r="E1141" s="2">
        <v>93</v>
      </c>
      <c r="F1141" s="1">
        <v>42961</v>
      </c>
      <c r="G1141" t="str">
        <f>"170608-1"</f>
        <v>170608-1</v>
      </c>
      <c r="H1141" t="str">
        <f>"Inv# 170608-1"</f>
        <v>Inv# 170608-1</v>
      </c>
      <c r="I1141" s="2">
        <v>93</v>
      </c>
      <c r="J1141" t="str">
        <f>"Inv# 170608-1"</f>
        <v>Inv# 170608-1</v>
      </c>
    </row>
    <row r="1142" spans="1:10" x14ac:dyDescent="0.3">
      <c r="A1142" t="str">
        <f t="shared" si="21"/>
        <v>01</v>
      </c>
      <c r="B1142" t="str">
        <f>"003955"</f>
        <v>003955</v>
      </c>
      <c r="C1142" t="s">
        <v>334</v>
      </c>
      <c r="D1142">
        <v>72072</v>
      </c>
      <c r="E1142" s="2">
        <v>200</v>
      </c>
      <c r="F1142" s="1">
        <v>42961</v>
      </c>
      <c r="G1142" t="str">
        <f>"201707263855"</f>
        <v>201707263855</v>
      </c>
      <c r="H1142" t="str">
        <f>"REIMBURSE MEALS"</f>
        <v>REIMBURSE MEALS</v>
      </c>
      <c r="I1142" s="2">
        <v>200</v>
      </c>
      <c r="J1142" t="str">
        <f>"REIMBURSE MEALS"</f>
        <v>REIMBURSE MEALS</v>
      </c>
    </row>
    <row r="1143" spans="1:10" x14ac:dyDescent="0.3">
      <c r="A1143" t="str">
        <f t="shared" si="21"/>
        <v>01</v>
      </c>
      <c r="B1143" t="str">
        <f>"005176"</f>
        <v>005176</v>
      </c>
      <c r="C1143" t="s">
        <v>335</v>
      </c>
      <c r="D1143">
        <v>72073</v>
      </c>
      <c r="E1143" s="2">
        <v>90</v>
      </c>
      <c r="F1143" s="1">
        <v>42961</v>
      </c>
      <c r="G1143" t="str">
        <f>"PER DIEM-RSTOPPELB"</f>
        <v>PER DIEM-RSTOPPELB</v>
      </c>
      <c r="H1143" t="str">
        <f>"PER DIEM"</f>
        <v>PER DIEM</v>
      </c>
      <c r="I1143" s="2">
        <v>90</v>
      </c>
    </row>
    <row r="1144" spans="1:10" x14ac:dyDescent="0.3">
      <c r="A1144" t="str">
        <f t="shared" si="21"/>
        <v>01</v>
      </c>
      <c r="B1144" t="str">
        <f>"T8555"</f>
        <v>T8555</v>
      </c>
      <c r="C1144" t="s">
        <v>336</v>
      </c>
      <c r="D1144">
        <v>72074</v>
      </c>
      <c r="E1144" s="2">
        <v>14</v>
      </c>
      <c r="F1144" s="1">
        <v>42961</v>
      </c>
      <c r="G1144" t="str">
        <f>"18172"</f>
        <v>18172</v>
      </c>
      <c r="H1144" t="str">
        <f>"2004 FRTLINER INSPECTION"</f>
        <v>2004 FRTLINER INSPECTION</v>
      </c>
      <c r="I1144" s="2">
        <v>7</v>
      </c>
      <c r="J1144" t="str">
        <f>"2004 FRTLINER INSPECTION"</f>
        <v>2004 FRTLINER INSPECTION</v>
      </c>
    </row>
    <row r="1145" spans="1:10" x14ac:dyDescent="0.3">
      <c r="A1145" t="str">
        <f>""</f>
        <v/>
      </c>
      <c r="B1145" t="str">
        <f>""</f>
        <v/>
      </c>
      <c r="G1145" t="str">
        <f>"18173"</f>
        <v>18173</v>
      </c>
      <c r="H1145" t="str">
        <f>"2004 CPS TRAILER STATE INSPECT"</f>
        <v>2004 CPS TRAILER STATE INSPECT</v>
      </c>
      <c r="I1145" s="2">
        <v>7</v>
      </c>
      <c r="J1145" t="str">
        <f>"2004 CPS TRAILER STATE INSPECT"</f>
        <v>2004 CPS TRAILER STATE INSPECT</v>
      </c>
    </row>
    <row r="1146" spans="1:10" x14ac:dyDescent="0.3">
      <c r="A1146" t="str">
        <f t="shared" ref="A1146:A1161" si="22">"01"</f>
        <v>01</v>
      </c>
      <c r="B1146" t="str">
        <f>"T8555"</f>
        <v>T8555</v>
      </c>
      <c r="C1146" t="s">
        <v>336</v>
      </c>
      <c r="D1146">
        <v>72312</v>
      </c>
      <c r="E1146" s="2">
        <v>7</v>
      </c>
      <c r="F1146" s="1">
        <v>42976</v>
      </c>
      <c r="G1146" t="str">
        <f>"18214"</f>
        <v>18214</v>
      </c>
      <c r="H1146" t="str">
        <f>"STATE INSPECTION/2011 FRHT"</f>
        <v>STATE INSPECTION/2011 FRHT</v>
      </c>
      <c r="I1146" s="2">
        <v>7</v>
      </c>
      <c r="J1146" t="str">
        <f>"STATE INSPECTION/2011 FRHT"</f>
        <v>STATE INSPECTION/2011 FRHT</v>
      </c>
    </row>
    <row r="1147" spans="1:10" x14ac:dyDescent="0.3">
      <c r="A1147" t="str">
        <f t="shared" si="22"/>
        <v>01</v>
      </c>
      <c r="B1147" t="str">
        <f>"ROMCO"</f>
        <v>ROMCO</v>
      </c>
      <c r="C1147" t="s">
        <v>337</v>
      </c>
      <c r="D1147">
        <v>72075</v>
      </c>
      <c r="E1147" s="2">
        <v>1072.0999999999999</v>
      </c>
      <c r="F1147" s="1">
        <v>42961</v>
      </c>
      <c r="G1147" t="str">
        <f>"10793482"</f>
        <v>10793482</v>
      </c>
      <c r="H1147" t="str">
        <f>"CUST#04912/DOC#PS07060729"</f>
        <v>CUST#04912/DOC#PS07060729</v>
      </c>
      <c r="I1147" s="2">
        <v>1072.0999999999999</v>
      </c>
      <c r="J1147" t="str">
        <f>"CUST#04912/DOC#PS07060729"</f>
        <v>CUST#04912/DOC#PS07060729</v>
      </c>
    </row>
    <row r="1148" spans="1:10" x14ac:dyDescent="0.3">
      <c r="A1148" t="str">
        <f t="shared" si="22"/>
        <v>01</v>
      </c>
      <c r="B1148" t="str">
        <f>"003493"</f>
        <v>003493</v>
      </c>
      <c r="C1148" t="s">
        <v>338</v>
      </c>
      <c r="D1148">
        <v>72313</v>
      </c>
      <c r="E1148" s="2">
        <v>40</v>
      </c>
      <c r="F1148" s="1">
        <v>42976</v>
      </c>
      <c r="G1148" t="str">
        <f>"201708214314"</f>
        <v>201708214314</v>
      </c>
      <c r="H1148" t="s">
        <v>339</v>
      </c>
      <c r="I1148" s="2">
        <v>40</v>
      </c>
      <c r="J1148" t="s">
        <v>339</v>
      </c>
    </row>
    <row r="1149" spans="1:10" x14ac:dyDescent="0.3">
      <c r="A1149" t="str">
        <f t="shared" si="22"/>
        <v>01</v>
      </c>
      <c r="B1149" t="str">
        <f>"004991"</f>
        <v>004991</v>
      </c>
      <c r="C1149" t="s">
        <v>340</v>
      </c>
      <c r="D1149">
        <v>72076</v>
      </c>
      <c r="E1149" s="2">
        <v>228</v>
      </c>
      <c r="F1149" s="1">
        <v>42961</v>
      </c>
      <c r="G1149" t="str">
        <f>"201708094180"</f>
        <v>201708094180</v>
      </c>
      <c r="H1149" t="str">
        <f>"LPHPC RECORDING FEES"</f>
        <v>LPHPC RECORDING FEES</v>
      </c>
      <c r="I1149" s="2">
        <v>228</v>
      </c>
      <c r="J1149" t="str">
        <f>"LPHPC RECORDING FEES"</f>
        <v>LPHPC RECORDING FEES</v>
      </c>
    </row>
    <row r="1150" spans="1:10" x14ac:dyDescent="0.3">
      <c r="A1150" t="str">
        <f t="shared" si="22"/>
        <v>01</v>
      </c>
      <c r="B1150" t="str">
        <f>"RP-CC"</f>
        <v>RP-CC</v>
      </c>
      <c r="C1150" t="s">
        <v>340</v>
      </c>
      <c r="D1150">
        <v>72077</v>
      </c>
      <c r="E1150" s="2">
        <v>183</v>
      </c>
      <c r="F1150" s="1">
        <v>42961</v>
      </c>
      <c r="G1150" t="str">
        <f>"201708094189"</f>
        <v>201708094189</v>
      </c>
      <c r="H1150" t="str">
        <f>"DEVELOP. SVCS RECORDING FEE"</f>
        <v>DEVELOP. SVCS RECORDING FEE</v>
      </c>
      <c r="I1150" s="2">
        <v>183</v>
      </c>
      <c r="J1150" t="str">
        <f>"DEVELOP. SVCS RECORDING FEE"</f>
        <v>DEVELOP. SVCS RECORDING FEE</v>
      </c>
    </row>
    <row r="1151" spans="1:10" x14ac:dyDescent="0.3">
      <c r="A1151" t="str">
        <f t="shared" si="22"/>
        <v>01</v>
      </c>
      <c r="B1151" t="str">
        <f>"004991"</f>
        <v>004991</v>
      </c>
      <c r="C1151" t="s">
        <v>340</v>
      </c>
      <c r="D1151">
        <v>72314</v>
      </c>
      <c r="E1151" s="2">
        <v>198</v>
      </c>
      <c r="F1151" s="1">
        <v>42976</v>
      </c>
      <c r="G1151" t="str">
        <f>"201708234374"</f>
        <v>201708234374</v>
      </c>
      <c r="H1151" t="str">
        <f>"LPHPC RECORDING FEES"</f>
        <v>LPHPC RECORDING FEES</v>
      </c>
      <c r="I1151" s="2">
        <v>198</v>
      </c>
      <c r="J1151" t="str">
        <f>"LPHPC RECORDING FEES"</f>
        <v>LPHPC RECORDING FEES</v>
      </c>
    </row>
    <row r="1152" spans="1:10" x14ac:dyDescent="0.3">
      <c r="A1152" t="str">
        <f t="shared" si="22"/>
        <v>01</v>
      </c>
      <c r="B1152" t="str">
        <f>"RP-CC"</f>
        <v>RP-CC</v>
      </c>
      <c r="C1152" t="s">
        <v>340</v>
      </c>
      <c r="D1152">
        <v>72315</v>
      </c>
      <c r="E1152" s="2">
        <v>244</v>
      </c>
      <c r="F1152" s="1">
        <v>42976</v>
      </c>
      <c r="G1152" t="str">
        <f>"201708234371"</f>
        <v>201708234371</v>
      </c>
      <c r="H1152" t="str">
        <f>"DEVELOPMENT SVCS RECORDING FEE"</f>
        <v>DEVELOPMENT SVCS RECORDING FEE</v>
      </c>
      <c r="I1152" s="2">
        <v>244</v>
      </c>
      <c r="J1152" t="str">
        <f>"DEVELOPMENT SVCS RECORDING FEE"</f>
        <v>DEVELOPMENT SVCS RECORDING FEE</v>
      </c>
    </row>
    <row r="1153" spans="1:11" x14ac:dyDescent="0.3">
      <c r="A1153" t="str">
        <f t="shared" si="22"/>
        <v>01</v>
      </c>
      <c r="B1153" t="str">
        <f>"005178"</f>
        <v>005178</v>
      </c>
      <c r="C1153" t="s">
        <v>341</v>
      </c>
      <c r="D1153">
        <v>72078</v>
      </c>
      <c r="E1153" s="2">
        <v>30</v>
      </c>
      <c r="F1153" s="1">
        <v>42961</v>
      </c>
      <c r="G1153" t="str">
        <f>"201708094154"</f>
        <v>201708094154</v>
      </c>
      <c r="H1153" t="str">
        <f>"REFUND-REC#AC-2017-01022"</f>
        <v>REFUND-REC#AC-2017-01022</v>
      </c>
      <c r="I1153" s="2">
        <v>30</v>
      </c>
      <c r="J1153" t="str">
        <f>"REFUND-REC#AC-2017-01022"</f>
        <v>REFUND-REC#AC-2017-01022</v>
      </c>
    </row>
    <row r="1154" spans="1:11" x14ac:dyDescent="0.3">
      <c r="A1154" t="str">
        <f t="shared" si="22"/>
        <v>01</v>
      </c>
      <c r="B1154" t="str">
        <f>"002112"</f>
        <v>002112</v>
      </c>
      <c r="C1154" t="s">
        <v>342</v>
      </c>
      <c r="D1154">
        <v>72079</v>
      </c>
      <c r="E1154" s="2">
        <v>1409.1</v>
      </c>
      <c r="F1154" s="1">
        <v>42961</v>
      </c>
      <c r="G1154" t="str">
        <f>"201708094170"</f>
        <v>201708094170</v>
      </c>
      <c r="H1154" t="str">
        <f>"INDIGENT HEALTH"</f>
        <v>INDIGENT HEALTH</v>
      </c>
      <c r="I1154" s="2">
        <v>1409.1</v>
      </c>
      <c r="J1154" t="str">
        <f>"INDIGENT HEALTH"</f>
        <v>INDIGENT HEALTH</v>
      </c>
    </row>
    <row r="1155" spans="1:11" x14ac:dyDescent="0.3">
      <c r="A1155" t="str">
        <f t="shared" si="22"/>
        <v>01</v>
      </c>
      <c r="B1155" t="str">
        <f>"002112"</f>
        <v>002112</v>
      </c>
      <c r="C1155" t="s">
        <v>342</v>
      </c>
      <c r="D1155">
        <v>72316</v>
      </c>
      <c r="E1155" s="2">
        <v>531.94000000000005</v>
      </c>
      <c r="F1155" s="1">
        <v>42976</v>
      </c>
      <c r="G1155" t="str">
        <f>"201708234403"</f>
        <v>201708234403</v>
      </c>
      <c r="H1155" t="str">
        <f>"INDIGENT HEALTH"</f>
        <v>INDIGENT HEALTH</v>
      </c>
      <c r="I1155" s="2">
        <v>531.94000000000005</v>
      </c>
      <c r="J1155" t="str">
        <f>"INDIGENT HEALTH"</f>
        <v>INDIGENT HEALTH</v>
      </c>
    </row>
    <row r="1156" spans="1:11" x14ac:dyDescent="0.3">
      <c r="A1156" t="str">
        <f t="shared" si="22"/>
        <v>01</v>
      </c>
      <c r="B1156" t="str">
        <f>"005179"</f>
        <v>005179</v>
      </c>
      <c r="C1156" t="s">
        <v>343</v>
      </c>
      <c r="D1156">
        <v>72080</v>
      </c>
      <c r="E1156" s="2">
        <v>30</v>
      </c>
      <c r="F1156" s="1">
        <v>42961</v>
      </c>
      <c r="G1156" t="str">
        <f>"201708094155"</f>
        <v>201708094155</v>
      </c>
      <c r="H1156" t="str">
        <f>"REFUND-REC#AC-2017-00989"</f>
        <v>REFUND-REC#AC-2017-00989</v>
      </c>
      <c r="I1156" s="2">
        <v>30</v>
      </c>
      <c r="J1156" t="str">
        <f>"REFUND-REC#AC-2017-00989"</f>
        <v>REFUND-REC#AC-2017-00989</v>
      </c>
    </row>
    <row r="1157" spans="1:11" x14ac:dyDescent="0.3">
      <c r="A1157" t="str">
        <f t="shared" si="22"/>
        <v>01</v>
      </c>
      <c r="B1157" t="str">
        <f>"T11094"</f>
        <v>T11094</v>
      </c>
      <c r="C1157" t="s">
        <v>344</v>
      </c>
      <c r="D1157">
        <v>72317</v>
      </c>
      <c r="E1157" s="2">
        <v>160</v>
      </c>
      <c r="F1157" s="1">
        <v>42976</v>
      </c>
      <c r="G1157" t="str">
        <f>"46795"</f>
        <v>46795</v>
      </c>
      <c r="H1157" t="str">
        <f>"INV 46795"</f>
        <v>INV 46795</v>
      </c>
      <c r="I1157" s="2">
        <v>160</v>
      </c>
      <c r="J1157" t="str">
        <f>"INV 46795"</f>
        <v>INV 46795</v>
      </c>
    </row>
    <row r="1158" spans="1:11" x14ac:dyDescent="0.3">
      <c r="A1158" t="str">
        <f t="shared" si="22"/>
        <v>01</v>
      </c>
      <c r="B1158" t="str">
        <f>"003697"</f>
        <v>003697</v>
      </c>
      <c r="C1158" t="s">
        <v>345</v>
      </c>
      <c r="D1158">
        <v>72318</v>
      </c>
      <c r="E1158" s="2">
        <v>41.55</v>
      </c>
      <c r="F1158" s="1">
        <v>42976</v>
      </c>
      <c r="G1158" t="str">
        <f>"133755"</f>
        <v>133755</v>
      </c>
      <c r="H1158" t="str">
        <f>"CUST#EFB49967/2014 FORD F150"</f>
        <v>CUST#EFB49967/2014 FORD F150</v>
      </c>
      <c r="I1158" s="2">
        <v>41.55</v>
      </c>
      <c r="J1158" t="str">
        <f>"CUST#EFB49967/2014 FORD F150"</f>
        <v>CUST#EFB49967/2014 FORD F150</v>
      </c>
    </row>
    <row r="1159" spans="1:11" x14ac:dyDescent="0.3">
      <c r="A1159" t="str">
        <f t="shared" si="22"/>
        <v>01</v>
      </c>
      <c r="B1159" t="str">
        <f>"003697"</f>
        <v>003697</v>
      </c>
      <c r="C1159" t="s">
        <v>345</v>
      </c>
      <c r="D1159">
        <v>999999</v>
      </c>
      <c r="E1159" s="2">
        <v>966.9</v>
      </c>
      <c r="F1159" s="1">
        <v>42961</v>
      </c>
      <c r="G1159" t="str">
        <f>"214133"</f>
        <v>214133</v>
      </c>
      <c r="H1159" t="str">
        <f>"VEHICLE REPAIRS-09 DODGE RAM"</f>
        <v>VEHICLE REPAIRS-09 DODGE RAM</v>
      </c>
      <c r="I1159" s="2">
        <v>966.9</v>
      </c>
      <c r="J1159" t="str">
        <f>"VEHICLE REPAIRS-09 DODGE RAM"</f>
        <v>VEHICLE REPAIRS-09 DODGE RAM</v>
      </c>
    </row>
    <row r="1160" spans="1:11" x14ac:dyDescent="0.3">
      <c r="A1160" t="str">
        <f t="shared" si="22"/>
        <v>01</v>
      </c>
      <c r="B1160" t="str">
        <f>"T11973"</f>
        <v>T11973</v>
      </c>
      <c r="C1160" t="s">
        <v>346</v>
      </c>
      <c r="D1160">
        <v>72319</v>
      </c>
      <c r="E1160" s="2">
        <v>134.41</v>
      </c>
      <c r="F1160" s="1">
        <v>42976</v>
      </c>
      <c r="G1160" t="str">
        <f>"201708234404"</f>
        <v>201708234404</v>
      </c>
      <c r="H1160" t="str">
        <f>"INDIGENT HEALTH"</f>
        <v>INDIGENT HEALTH</v>
      </c>
      <c r="I1160" s="2">
        <v>134.41</v>
      </c>
      <c r="J1160" t="str">
        <f>"INDIGENT HEALTH"</f>
        <v>INDIGENT HEALTH</v>
      </c>
    </row>
    <row r="1161" spans="1:11" x14ac:dyDescent="0.3">
      <c r="A1161" t="str">
        <f t="shared" si="22"/>
        <v>01</v>
      </c>
      <c r="B1161" t="str">
        <f>"T11973"</f>
        <v>T11973</v>
      </c>
      <c r="C1161" t="s">
        <v>346</v>
      </c>
      <c r="D1161">
        <v>999999</v>
      </c>
      <c r="E1161" s="2">
        <v>435.3</v>
      </c>
      <c r="F1161" s="1">
        <v>42961</v>
      </c>
      <c r="G1161" t="str">
        <f>"201708094171"</f>
        <v>201708094171</v>
      </c>
      <c r="H1161" t="str">
        <f>"INDIGENT HEALTH"</f>
        <v>INDIGENT HEALTH</v>
      </c>
      <c r="I1161" s="2">
        <v>435.3</v>
      </c>
      <c r="J1161" t="str">
        <f>"INDIGENT HEALTH"</f>
        <v>INDIGENT HEALTH</v>
      </c>
    </row>
    <row r="1162" spans="1:11" x14ac:dyDescent="0.3">
      <c r="A1162" t="str">
        <f>""</f>
        <v/>
      </c>
      <c r="B1162" t="str">
        <f>""</f>
        <v/>
      </c>
      <c r="G1162" t="str">
        <f>""</f>
        <v/>
      </c>
      <c r="H1162" t="str">
        <f>""</f>
        <v/>
      </c>
      <c r="J1162" t="str">
        <f>"INDIGENT HEALTH"</f>
        <v>INDIGENT HEALTH</v>
      </c>
    </row>
    <row r="1163" spans="1:11" x14ac:dyDescent="0.3">
      <c r="A1163" t="str">
        <f t="shared" ref="A1163:A1170" si="23">"01"</f>
        <v>01</v>
      </c>
      <c r="B1163" t="str">
        <f>"002725"</f>
        <v>002725</v>
      </c>
      <c r="C1163" t="s">
        <v>347</v>
      </c>
      <c r="D1163">
        <v>72081</v>
      </c>
      <c r="E1163" s="2">
        <v>523.04</v>
      </c>
      <c r="F1163" s="1">
        <v>42961</v>
      </c>
      <c r="G1163" t="str">
        <f>"TRAINING"</f>
        <v>TRAINING</v>
      </c>
      <c r="H1163" t="str">
        <f>"LODGING"</f>
        <v>LODGING</v>
      </c>
      <c r="I1163" s="2">
        <v>523.04</v>
      </c>
    </row>
    <row r="1164" spans="1:11" x14ac:dyDescent="0.3">
      <c r="A1164" t="str">
        <f t="shared" si="23"/>
        <v>01</v>
      </c>
      <c r="B1164" t="str">
        <f>"003034"</f>
        <v>003034</v>
      </c>
      <c r="C1164" t="s">
        <v>348</v>
      </c>
      <c r="D1164">
        <v>72320</v>
      </c>
      <c r="E1164" s="2">
        <v>85.88</v>
      </c>
      <c r="F1164" s="1">
        <v>42976</v>
      </c>
      <c r="G1164" t="s">
        <v>215</v>
      </c>
      <c r="H1164" t="s">
        <v>349</v>
      </c>
      <c r="I1164" s="2" t="str">
        <f>"APPLIED TO CT APPT ATTY IN ERR"</f>
        <v>APPLIED TO CT APPT ATTY IN ERR</v>
      </c>
      <c r="J1164" t="str">
        <f>"370-3000"</f>
        <v>370-3000</v>
      </c>
      <c r="K1164">
        <v>85.88</v>
      </c>
    </row>
    <row r="1165" spans="1:11" x14ac:dyDescent="0.3">
      <c r="A1165" t="str">
        <f t="shared" si="23"/>
        <v>01</v>
      </c>
      <c r="B1165" t="str">
        <f>"SAJR"</f>
        <v>SAJR</v>
      </c>
      <c r="C1165" t="s">
        <v>350</v>
      </c>
      <c r="D1165">
        <v>72321</v>
      </c>
      <c r="E1165" s="2">
        <v>10245.77</v>
      </c>
      <c r="F1165" s="1">
        <v>42976</v>
      </c>
      <c r="G1165" t="str">
        <f>"201708214315"</f>
        <v>201708214315</v>
      </c>
      <c r="H1165" t="str">
        <f>"ADMIN EXPS SAJR OF TX/PRE-PAID"</f>
        <v>ADMIN EXPS SAJR OF TX/PRE-PAID</v>
      </c>
      <c r="I1165" s="2">
        <v>10245.77</v>
      </c>
      <c r="J1165" t="str">
        <f>"ADMIN EXPS SAJR OF TX/PRE-PAID"</f>
        <v>ADMIN EXPS SAJR OF TX/PRE-PAID</v>
      </c>
    </row>
    <row r="1166" spans="1:11" x14ac:dyDescent="0.3">
      <c r="A1166" t="str">
        <f t="shared" si="23"/>
        <v>01</v>
      </c>
      <c r="B1166" t="str">
        <f>"T4840"</f>
        <v>T4840</v>
      </c>
      <c r="C1166" t="s">
        <v>351</v>
      </c>
      <c r="D1166">
        <v>72082</v>
      </c>
      <c r="E1166" s="2">
        <v>70</v>
      </c>
      <c r="F1166" s="1">
        <v>42961</v>
      </c>
      <c r="G1166" t="str">
        <f>"201707263858"</f>
        <v>201707263858</v>
      </c>
      <c r="H1166" t="str">
        <f>"COUNTY CHAIRS SEMINAR BOOKS"</f>
        <v>COUNTY CHAIRS SEMINAR BOOKS</v>
      </c>
      <c r="I1166" s="2">
        <v>70</v>
      </c>
      <c r="J1166" t="str">
        <f>"LAW SEMINAR BOOKS"</f>
        <v>LAW SEMINAR BOOKS</v>
      </c>
    </row>
    <row r="1167" spans="1:11" x14ac:dyDescent="0.3">
      <c r="A1167" t="str">
        <f t="shared" si="23"/>
        <v>01</v>
      </c>
      <c r="B1167" t="str">
        <f>"003194"</f>
        <v>003194</v>
      </c>
      <c r="C1167" t="s">
        <v>352</v>
      </c>
      <c r="D1167">
        <v>72322</v>
      </c>
      <c r="E1167" s="2">
        <v>3501</v>
      </c>
      <c r="F1167" s="1">
        <v>42976</v>
      </c>
      <c r="G1167" t="str">
        <f>"PPDINV0008122"</f>
        <v>PPDINV0008122</v>
      </c>
      <c r="H1167" t="str">
        <f>"INV PPDINV0008122"</f>
        <v>INV PPDINV0008122</v>
      </c>
      <c r="I1167" s="2">
        <v>3501</v>
      </c>
      <c r="J1167" t="str">
        <f>"INV PPDINV0008122"</f>
        <v>INV PPDINV0008122</v>
      </c>
    </row>
    <row r="1168" spans="1:11" x14ac:dyDescent="0.3">
      <c r="A1168" t="str">
        <f t="shared" si="23"/>
        <v>01</v>
      </c>
      <c r="B1168" t="str">
        <f>"003194"</f>
        <v>003194</v>
      </c>
      <c r="C1168" t="s">
        <v>352</v>
      </c>
      <c r="D1168">
        <v>999999</v>
      </c>
      <c r="E1168" s="2">
        <v>3501</v>
      </c>
      <c r="F1168" s="1">
        <v>42961</v>
      </c>
      <c r="G1168" t="str">
        <f>"PPDINV0007855"</f>
        <v>PPDINV0007855</v>
      </c>
      <c r="H1168" t="str">
        <f>"PREPAID PHONE CARDS"</f>
        <v>PREPAID PHONE CARDS</v>
      </c>
      <c r="I1168" s="2">
        <v>3501</v>
      </c>
      <c r="J1168" t="str">
        <f>"PREPAID PHONE CARDS"</f>
        <v>PREPAID PHONE CARDS</v>
      </c>
    </row>
    <row r="1169" spans="1:10" x14ac:dyDescent="0.3">
      <c r="A1169" t="str">
        <f t="shared" si="23"/>
        <v>01</v>
      </c>
      <c r="B1169" t="str">
        <f>"003183"</f>
        <v>003183</v>
      </c>
      <c r="C1169" t="s">
        <v>353</v>
      </c>
      <c r="D1169">
        <v>72083</v>
      </c>
      <c r="E1169" s="2">
        <v>10750.69</v>
      </c>
      <c r="F1169" s="1">
        <v>42961</v>
      </c>
      <c r="G1169" t="str">
        <f>"201708094172"</f>
        <v>201708094172</v>
      </c>
      <c r="H1169" t="str">
        <f>"INDIGENT HEALTH"</f>
        <v>INDIGENT HEALTH</v>
      </c>
      <c r="I1169" s="2">
        <v>10750.69</v>
      </c>
      <c r="J1169" t="str">
        <f>"INDIGENT HEALTH"</f>
        <v>INDIGENT HEALTH</v>
      </c>
    </row>
    <row r="1170" spans="1:10" x14ac:dyDescent="0.3">
      <c r="A1170" t="str">
        <f t="shared" si="23"/>
        <v>01</v>
      </c>
      <c r="B1170" t="str">
        <f>"003086"</f>
        <v>003086</v>
      </c>
      <c r="C1170" t="s">
        <v>147</v>
      </c>
      <c r="D1170">
        <v>72084</v>
      </c>
      <c r="E1170" s="2">
        <v>10451.75</v>
      </c>
      <c r="F1170" s="1">
        <v>42961</v>
      </c>
      <c r="G1170" t="str">
        <f>"201708094173"</f>
        <v>201708094173</v>
      </c>
      <c r="H1170" t="str">
        <f>"INDIGENT HEALTH"</f>
        <v>INDIGENT HEALTH</v>
      </c>
      <c r="I1170" s="2">
        <v>10451.75</v>
      </c>
      <c r="J1170" t="str">
        <f>"INDIGENT HEALTH"</f>
        <v>INDIGENT HEALTH</v>
      </c>
    </row>
    <row r="1171" spans="1:10" x14ac:dyDescent="0.3">
      <c r="A1171" t="str">
        <f>""</f>
        <v/>
      </c>
      <c r="B1171" t="str">
        <f>""</f>
        <v/>
      </c>
      <c r="G1171" t="str">
        <f>""</f>
        <v/>
      </c>
      <c r="H1171" t="str">
        <f>""</f>
        <v/>
      </c>
      <c r="J1171" t="str">
        <f>"INDIGENT HEALTH"</f>
        <v>INDIGENT HEALTH</v>
      </c>
    </row>
    <row r="1172" spans="1:10" x14ac:dyDescent="0.3">
      <c r="A1172" t="str">
        <f>"01"</f>
        <v>01</v>
      </c>
      <c r="B1172" t="str">
        <f>"003086"</f>
        <v>003086</v>
      </c>
      <c r="C1172" t="s">
        <v>147</v>
      </c>
      <c r="D1172">
        <v>72323</v>
      </c>
      <c r="E1172" s="2">
        <v>9114.8700000000008</v>
      </c>
      <c r="F1172" s="1">
        <v>42976</v>
      </c>
      <c r="G1172" t="str">
        <f>"201708234405"</f>
        <v>201708234405</v>
      </c>
      <c r="H1172" t="str">
        <f>"INDIGENT HEALTH"</f>
        <v>INDIGENT HEALTH</v>
      </c>
      <c r="I1172" s="2">
        <v>4673.87</v>
      </c>
      <c r="J1172" t="str">
        <f>"INDIGENT HEALTH"</f>
        <v>INDIGENT HEALTH</v>
      </c>
    </row>
    <row r="1173" spans="1:10" x14ac:dyDescent="0.3">
      <c r="A1173" t="str">
        <f>""</f>
        <v/>
      </c>
      <c r="B1173" t="str">
        <f>""</f>
        <v/>
      </c>
      <c r="G1173" t="str">
        <f>""</f>
        <v/>
      </c>
      <c r="H1173" t="str">
        <f>""</f>
        <v/>
      </c>
      <c r="J1173" t="str">
        <f>"INDIGENT HEALTH"</f>
        <v>INDIGENT HEALTH</v>
      </c>
    </row>
    <row r="1174" spans="1:10" x14ac:dyDescent="0.3">
      <c r="A1174" t="str">
        <f>""</f>
        <v/>
      </c>
      <c r="B1174" t="str">
        <f>""</f>
        <v/>
      </c>
      <c r="G1174" t="str">
        <f>"720171"</f>
        <v>720171</v>
      </c>
      <c r="H1174" t="str">
        <f>"RX ASSISTANCE PROG-31 JUL 17"</f>
        <v>RX ASSISTANCE PROG-31 JUL 17</v>
      </c>
      <c r="I1174" s="2">
        <v>4441</v>
      </c>
      <c r="J1174" t="str">
        <f>"RX ASSISTANCE PROG-31 JUL 17"</f>
        <v>RX ASSISTANCE PROG-31 JUL 17</v>
      </c>
    </row>
    <row r="1175" spans="1:10" x14ac:dyDescent="0.3">
      <c r="A1175" t="str">
        <f>"01"</f>
        <v>01</v>
      </c>
      <c r="B1175" t="str">
        <f>"003087"</f>
        <v>003087</v>
      </c>
      <c r="C1175" t="s">
        <v>147</v>
      </c>
      <c r="D1175">
        <v>72085</v>
      </c>
      <c r="E1175" s="2">
        <v>793.86</v>
      </c>
      <c r="F1175" s="1">
        <v>42961</v>
      </c>
      <c r="G1175" t="str">
        <f>"201708094174"</f>
        <v>201708094174</v>
      </c>
      <c r="H1175" t="str">
        <f>"INDIGENT HEALTH"</f>
        <v>INDIGENT HEALTH</v>
      </c>
      <c r="I1175" s="2">
        <v>793.86</v>
      </c>
      <c r="J1175" t="str">
        <f>"INDIGENT HEALTH"</f>
        <v>INDIGENT HEALTH</v>
      </c>
    </row>
    <row r="1176" spans="1:10" x14ac:dyDescent="0.3">
      <c r="A1176" t="str">
        <f>"01"</f>
        <v>01</v>
      </c>
      <c r="B1176" t="str">
        <f>"S-W"</f>
        <v>S-W</v>
      </c>
      <c r="C1176" t="s">
        <v>354</v>
      </c>
      <c r="D1176">
        <v>72086</v>
      </c>
      <c r="E1176" s="2">
        <v>19.77</v>
      </c>
      <c r="F1176" s="1">
        <v>42961</v>
      </c>
      <c r="G1176" t="str">
        <f>"201707253852"</f>
        <v>201707253852</v>
      </c>
      <c r="H1176" t="str">
        <f>"REIMBURSE-POSTAGE FEES"</f>
        <v>REIMBURSE-POSTAGE FEES</v>
      </c>
      <c r="I1176" s="2">
        <v>19.77</v>
      </c>
      <c r="J1176" t="str">
        <f>"REIMBURSE-POSTAGE FEES"</f>
        <v>REIMBURSE-POSTAGE FEES</v>
      </c>
    </row>
    <row r="1177" spans="1:10" x14ac:dyDescent="0.3">
      <c r="A1177" t="str">
        <f>"01"</f>
        <v>01</v>
      </c>
      <c r="B1177" t="str">
        <f>"005081"</f>
        <v>005081</v>
      </c>
      <c r="C1177" t="s">
        <v>355</v>
      </c>
      <c r="D1177">
        <v>72087</v>
      </c>
      <c r="E1177" s="2">
        <v>215.72</v>
      </c>
      <c r="F1177" s="1">
        <v>42961</v>
      </c>
      <c r="G1177" t="str">
        <f>"201708084128"</f>
        <v>201708084128</v>
      </c>
      <c r="H1177" t="str">
        <f>"ACCT#20147/BCAS/589 COOL WATER"</f>
        <v>ACCT#20147/BCAS/589 COOL WATER</v>
      </c>
      <c r="I1177" s="2">
        <v>215.72</v>
      </c>
      <c r="J1177" t="str">
        <f>"ACCT#20147/BCAS/589 COOL WATER"</f>
        <v>ACCT#20147/BCAS/589 COOL WATER</v>
      </c>
    </row>
    <row r="1178" spans="1:10" x14ac:dyDescent="0.3">
      <c r="A1178" t="str">
        <f>"01"</f>
        <v>01</v>
      </c>
      <c r="B1178" t="str">
        <f>"T10195"</f>
        <v>T10195</v>
      </c>
      <c r="C1178" t="s">
        <v>356</v>
      </c>
      <c r="D1178">
        <v>72088</v>
      </c>
      <c r="E1178" s="2">
        <v>503.1</v>
      </c>
      <c r="F1178" s="1">
        <v>42961</v>
      </c>
      <c r="G1178" t="str">
        <f>"GB00233423"</f>
        <v>GB00233423</v>
      </c>
      <c r="H1178" t="str">
        <f>"CUST#3000414/ORD#GS00341128"</f>
        <v>CUST#3000414/ORD#GS00341128</v>
      </c>
      <c r="I1178" s="2">
        <v>295.2</v>
      </c>
      <c r="J1178" t="str">
        <f>"CUST#3000414/ORD#GS00341128"</f>
        <v>CUST#3000414/ORD#GS00341128</v>
      </c>
    </row>
    <row r="1179" spans="1:10" x14ac:dyDescent="0.3">
      <c r="A1179" t="str">
        <f>""</f>
        <v/>
      </c>
      <c r="B1179" t="str">
        <f>""</f>
        <v/>
      </c>
      <c r="G1179" t="str">
        <f>"GB00245955"</f>
        <v>GB00245955</v>
      </c>
      <c r="H1179" t="str">
        <f>"Adobe Acrobat"</f>
        <v>Adobe Acrobat</v>
      </c>
      <c r="I1179" s="2">
        <v>207.9</v>
      </c>
      <c r="J1179" t="str">
        <f>"Adobe Acrobat"</f>
        <v>Adobe Acrobat</v>
      </c>
    </row>
    <row r="1180" spans="1:10" x14ac:dyDescent="0.3">
      <c r="A1180" t="str">
        <f>"01"</f>
        <v>01</v>
      </c>
      <c r="B1180" t="str">
        <f>"T10195"</f>
        <v>T10195</v>
      </c>
      <c r="C1180" t="s">
        <v>356</v>
      </c>
      <c r="D1180">
        <v>72324</v>
      </c>
      <c r="E1180" s="2">
        <v>1125.99</v>
      </c>
      <c r="F1180" s="1">
        <v>42976</v>
      </c>
      <c r="G1180" t="str">
        <f>"GB00246690/6482"</f>
        <v>GB00246690/6482</v>
      </c>
      <c r="H1180" t="str">
        <f>"SHI GOVERNMENT SOLUTIONS INC."</f>
        <v>SHI GOVERNMENT SOLUTIONS INC.</v>
      </c>
      <c r="I1180" s="2">
        <v>1125.99</v>
      </c>
      <c r="J1180" t="str">
        <f>"Intel x520"</f>
        <v>Intel x520</v>
      </c>
    </row>
    <row r="1181" spans="1:10" x14ac:dyDescent="0.3">
      <c r="A1181" t="str">
        <f>""</f>
        <v/>
      </c>
      <c r="B1181" t="str">
        <f>""</f>
        <v/>
      </c>
      <c r="G1181" t="str">
        <f>""</f>
        <v/>
      </c>
      <c r="H1181" t="str">
        <f>""</f>
        <v/>
      </c>
      <c r="J1181" t="str">
        <f>"CISCO SFP COPPER"</f>
        <v>CISCO SFP COPPER</v>
      </c>
    </row>
    <row r="1182" spans="1:10" x14ac:dyDescent="0.3">
      <c r="A1182" t="str">
        <f>"01"</f>
        <v>01</v>
      </c>
      <c r="B1182" t="str">
        <f>"004840"</f>
        <v>004840</v>
      </c>
      <c r="C1182" t="s">
        <v>357</v>
      </c>
      <c r="D1182">
        <v>72089</v>
      </c>
      <c r="E1182" s="2">
        <v>4593.26</v>
      </c>
      <c r="F1182" s="1">
        <v>42961</v>
      </c>
      <c r="G1182" t="str">
        <f>"201707313953"</f>
        <v>201707313953</v>
      </c>
      <c r="H1182" t="str">
        <f>"ACCT#550615/WK ORD#100914/PCT3"</f>
        <v>ACCT#550615/WK ORD#100914/PCT3</v>
      </c>
      <c r="I1182" s="2">
        <v>3399.8</v>
      </c>
      <c r="J1182" t="str">
        <f>"ACCT#550615/WK ORD#100914/PCT3"</f>
        <v>ACCT#550615/WK ORD#100914/PCT3</v>
      </c>
    </row>
    <row r="1183" spans="1:10" x14ac:dyDescent="0.3">
      <c r="A1183" t="str">
        <f>""</f>
        <v/>
      </c>
      <c r="B1183" t="str">
        <f>""</f>
        <v/>
      </c>
      <c r="G1183" t="str">
        <f>"550615"</f>
        <v>550615</v>
      </c>
      <c r="H1183" t="str">
        <f>"Parts for Tractor &amp; Shred"</f>
        <v>Parts for Tractor &amp; Shred</v>
      </c>
      <c r="I1183" s="2">
        <v>858.1</v>
      </c>
      <c r="J1183" t="str">
        <f>"AW32737"</f>
        <v>AW32737</v>
      </c>
    </row>
    <row r="1184" spans="1:10" x14ac:dyDescent="0.3">
      <c r="A1184" t="str">
        <f>""</f>
        <v/>
      </c>
      <c r="B1184" t="str">
        <f>""</f>
        <v/>
      </c>
      <c r="G1184" t="str">
        <f>""</f>
        <v/>
      </c>
      <c r="H1184" t="str">
        <f>""</f>
        <v/>
      </c>
      <c r="J1184" t="str">
        <f>"LVA18272"</f>
        <v>LVA18272</v>
      </c>
    </row>
    <row r="1185" spans="1:10" x14ac:dyDescent="0.3">
      <c r="A1185" t="str">
        <f>""</f>
        <v/>
      </c>
      <c r="B1185" t="str">
        <f>""</f>
        <v/>
      </c>
      <c r="G1185" t="str">
        <f>""</f>
        <v/>
      </c>
      <c r="H1185" t="str">
        <f>""</f>
        <v/>
      </c>
      <c r="J1185" t="str">
        <f>"11M7015"</f>
        <v>11M7015</v>
      </c>
    </row>
    <row r="1186" spans="1:10" x14ac:dyDescent="0.3">
      <c r="A1186" t="str">
        <f>""</f>
        <v/>
      </c>
      <c r="B1186" t="str">
        <f>""</f>
        <v/>
      </c>
      <c r="G1186" t="str">
        <f>""</f>
        <v/>
      </c>
      <c r="H1186" t="str">
        <f>""</f>
        <v/>
      </c>
      <c r="J1186" t="str">
        <f>"W33912"</f>
        <v>W33912</v>
      </c>
    </row>
    <row r="1187" spans="1:10" x14ac:dyDescent="0.3">
      <c r="A1187" t="str">
        <f>""</f>
        <v/>
      </c>
      <c r="B1187" t="str">
        <f>""</f>
        <v/>
      </c>
      <c r="G1187" t="str">
        <f>""</f>
        <v/>
      </c>
      <c r="H1187" t="str">
        <f>""</f>
        <v/>
      </c>
      <c r="J1187" t="str">
        <f>"RE183935"</f>
        <v>RE183935</v>
      </c>
    </row>
    <row r="1188" spans="1:10" x14ac:dyDescent="0.3">
      <c r="A1188" t="str">
        <f>""</f>
        <v/>
      </c>
      <c r="B1188" t="str">
        <f>""</f>
        <v/>
      </c>
      <c r="G1188" t="str">
        <f>""</f>
        <v/>
      </c>
      <c r="H1188" t="str">
        <f>""</f>
        <v/>
      </c>
      <c r="J1188" t="str">
        <f>"JD7844"</f>
        <v>JD7844</v>
      </c>
    </row>
    <row r="1189" spans="1:10" x14ac:dyDescent="0.3">
      <c r="A1189" t="str">
        <f>""</f>
        <v/>
      </c>
      <c r="B1189" t="str">
        <f>""</f>
        <v/>
      </c>
      <c r="G1189" t="str">
        <f>""</f>
        <v/>
      </c>
      <c r="H1189" t="str">
        <f>""</f>
        <v/>
      </c>
      <c r="J1189" t="str">
        <f>"W49647"</f>
        <v>W49647</v>
      </c>
    </row>
    <row r="1190" spans="1:10" x14ac:dyDescent="0.3">
      <c r="A1190" t="str">
        <f>""</f>
        <v/>
      </c>
      <c r="B1190" t="str">
        <f>""</f>
        <v/>
      </c>
      <c r="G1190" t="str">
        <f>""</f>
        <v/>
      </c>
      <c r="H1190" t="str">
        <f>""</f>
        <v/>
      </c>
      <c r="J1190" t="str">
        <f>"TM131019"</f>
        <v>TM131019</v>
      </c>
    </row>
    <row r="1191" spans="1:10" x14ac:dyDescent="0.3">
      <c r="A1191" t="str">
        <f>""</f>
        <v/>
      </c>
      <c r="B1191" t="str">
        <f>""</f>
        <v/>
      </c>
      <c r="G1191" t="str">
        <f>""</f>
        <v/>
      </c>
      <c r="H1191" t="str">
        <f>""</f>
        <v/>
      </c>
      <c r="J1191" t="str">
        <f>"TIFC711144"</f>
        <v>TIFC711144</v>
      </c>
    </row>
    <row r="1192" spans="1:10" x14ac:dyDescent="0.3">
      <c r="A1192" t="str">
        <f>""</f>
        <v/>
      </c>
      <c r="B1192" t="str">
        <f>""</f>
        <v/>
      </c>
      <c r="G1192" t="str">
        <f>""</f>
        <v/>
      </c>
      <c r="H1192" t="str">
        <f>""</f>
        <v/>
      </c>
      <c r="J1192" t="str">
        <f>"FREIGHT"</f>
        <v>FREIGHT</v>
      </c>
    </row>
    <row r="1193" spans="1:10" x14ac:dyDescent="0.3">
      <c r="A1193" t="str">
        <f>""</f>
        <v/>
      </c>
      <c r="B1193" t="str">
        <f>""</f>
        <v/>
      </c>
      <c r="G1193" t="str">
        <f>"702755"</f>
        <v>702755</v>
      </c>
      <c r="H1193" t="str">
        <f>"ACCT#550615/PARTS/PCT#3"</f>
        <v>ACCT#550615/PARTS/PCT#3</v>
      </c>
      <c r="I1193" s="2">
        <v>128.16</v>
      </c>
      <c r="J1193" t="str">
        <f>"ACCT#550615/PARTS/PCT#3"</f>
        <v>ACCT#550615/PARTS/PCT#3</v>
      </c>
    </row>
    <row r="1194" spans="1:10" x14ac:dyDescent="0.3">
      <c r="A1194" t="str">
        <f>""</f>
        <v/>
      </c>
      <c r="B1194" t="str">
        <f>""</f>
        <v/>
      </c>
      <c r="G1194" t="str">
        <f>"706629"</f>
        <v>706629</v>
      </c>
      <c r="H1194" t="str">
        <f>"ACCT#550615/PART#BM24993"</f>
        <v>ACCT#550615/PART#BM24993</v>
      </c>
      <c r="I1194" s="2">
        <v>174.98</v>
      </c>
      <c r="J1194" t="str">
        <f>"ACCT#550615/PART#BM24993"</f>
        <v>ACCT#550615/PART#BM24993</v>
      </c>
    </row>
    <row r="1195" spans="1:10" x14ac:dyDescent="0.3">
      <c r="A1195" t="str">
        <f>""</f>
        <v/>
      </c>
      <c r="B1195" t="str">
        <f>""</f>
        <v/>
      </c>
      <c r="G1195" t="str">
        <f>"718600"</f>
        <v>718600</v>
      </c>
      <c r="H1195" t="str">
        <f>"ACCT#550615/PART#L155631/PCT#3"</f>
        <v>ACCT#550615/PART#L155631/PCT#3</v>
      </c>
      <c r="I1195" s="2">
        <v>32.22</v>
      </c>
      <c r="J1195" t="str">
        <f>"ACCT#550615/PART#L155631/PCT#3"</f>
        <v>ACCT#550615/PART#L155631/PCT#3</v>
      </c>
    </row>
    <row r="1196" spans="1:10" x14ac:dyDescent="0.3">
      <c r="A1196" t="str">
        <f>"01"</f>
        <v>01</v>
      </c>
      <c r="B1196" t="str">
        <f>"001260"</f>
        <v>001260</v>
      </c>
      <c r="C1196" t="s">
        <v>358</v>
      </c>
      <c r="D1196">
        <v>72090</v>
      </c>
      <c r="E1196" s="2">
        <v>36.06</v>
      </c>
      <c r="F1196" s="1">
        <v>42961</v>
      </c>
      <c r="G1196" t="str">
        <f>"201708094175"</f>
        <v>201708094175</v>
      </c>
      <c r="H1196" t="str">
        <f>"INDIGENT HEALTH"</f>
        <v>INDIGENT HEALTH</v>
      </c>
      <c r="I1196" s="2">
        <v>36.06</v>
      </c>
      <c r="J1196" t="str">
        <f>"INDIGENT HEALTH"</f>
        <v>INDIGENT HEALTH</v>
      </c>
    </row>
    <row r="1197" spans="1:10" x14ac:dyDescent="0.3">
      <c r="A1197" t="str">
        <f>"01"</f>
        <v>01</v>
      </c>
      <c r="B1197" t="str">
        <f>"001260"</f>
        <v>001260</v>
      </c>
      <c r="C1197" t="s">
        <v>358</v>
      </c>
      <c r="D1197">
        <v>72325</v>
      </c>
      <c r="E1197" s="2">
        <v>211.04</v>
      </c>
      <c r="F1197" s="1">
        <v>42976</v>
      </c>
      <c r="G1197" t="str">
        <f>"201708234406"</f>
        <v>201708234406</v>
      </c>
      <c r="H1197" t="str">
        <f>"INDIGENT HEALTH"</f>
        <v>INDIGENT HEALTH</v>
      </c>
      <c r="I1197" s="2">
        <v>211.04</v>
      </c>
      <c r="J1197" t="str">
        <f>"INDIGENT HEALTH"</f>
        <v>INDIGENT HEALTH</v>
      </c>
    </row>
    <row r="1198" spans="1:10" x14ac:dyDescent="0.3">
      <c r="A1198" t="str">
        <f>"01"</f>
        <v>01</v>
      </c>
      <c r="B1198" t="str">
        <f>"SS"</f>
        <v>SS</v>
      </c>
      <c r="C1198" t="s">
        <v>359</v>
      </c>
      <c r="D1198">
        <v>72091</v>
      </c>
      <c r="E1198" s="2">
        <v>216.02</v>
      </c>
      <c r="F1198" s="1">
        <v>42961</v>
      </c>
      <c r="G1198" t="str">
        <f>"24969"</f>
        <v>24969</v>
      </c>
      <c r="H1198" t="str">
        <f>"SUPPLIES/PCT#2"</f>
        <v>SUPPLIES/PCT#2</v>
      </c>
      <c r="I1198" s="2">
        <v>216.02</v>
      </c>
      <c r="J1198" t="str">
        <f>"SUPPLIES/PCT#2"</f>
        <v>SUPPLIES/PCT#2</v>
      </c>
    </row>
    <row r="1199" spans="1:10" x14ac:dyDescent="0.3">
      <c r="A1199" t="str">
        <f>"01"</f>
        <v>01</v>
      </c>
      <c r="B1199" t="str">
        <f>"T3272"</f>
        <v>T3272</v>
      </c>
      <c r="C1199" t="s">
        <v>360</v>
      </c>
      <c r="D1199">
        <v>72326</v>
      </c>
      <c r="E1199" s="2">
        <v>15000</v>
      </c>
      <c r="F1199" s="1">
        <v>42976</v>
      </c>
      <c r="G1199" t="str">
        <f>"201708214304"</f>
        <v>201708214304</v>
      </c>
      <c r="H1199" t="str">
        <f>"FY 16-17 FUNDS"</f>
        <v>FY 16-17 FUNDS</v>
      </c>
      <c r="I1199" s="2">
        <v>15000</v>
      </c>
      <c r="J1199" t="str">
        <f>"FY 16-17 FUNDS"</f>
        <v>FY 16-17 FUNDS</v>
      </c>
    </row>
    <row r="1200" spans="1:10" x14ac:dyDescent="0.3">
      <c r="A1200" t="str">
        <f>"01"</f>
        <v>01</v>
      </c>
      <c r="B1200" t="str">
        <f>"SAP"</f>
        <v>SAP</v>
      </c>
      <c r="C1200" t="s">
        <v>361</v>
      </c>
      <c r="D1200">
        <v>72092</v>
      </c>
      <c r="E1200" s="2">
        <v>998.9</v>
      </c>
      <c r="F1200" s="1">
        <v>42961</v>
      </c>
      <c r="G1200" t="str">
        <f>"201708084121"</f>
        <v>201708084121</v>
      </c>
      <c r="H1200" t="str">
        <f>"ACCT#260/AUTO PARTS/PCT#2"</f>
        <v>ACCT#260/AUTO PARTS/PCT#2</v>
      </c>
      <c r="I1200" s="2">
        <v>932.85</v>
      </c>
      <c r="J1200" t="str">
        <f>"ACCT#260/AUTO PARTS/PCT#2"</f>
        <v>ACCT#260/AUTO PARTS/PCT#2</v>
      </c>
    </row>
    <row r="1201" spans="1:10" x14ac:dyDescent="0.3">
      <c r="A1201" t="str">
        <f>""</f>
        <v/>
      </c>
      <c r="B1201" t="str">
        <f>""</f>
        <v/>
      </c>
      <c r="G1201" t="str">
        <f>"201708084122"</f>
        <v>201708084122</v>
      </c>
      <c r="H1201" t="str">
        <f>"ACCT#260/AUTO PARTS/PCT#3"</f>
        <v>ACCT#260/AUTO PARTS/PCT#3</v>
      </c>
      <c r="I1201" s="2">
        <v>66.05</v>
      </c>
      <c r="J1201" t="str">
        <f>"ACCT#260/AUTO PARTS/PCT#3"</f>
        <v>ACCT#260/AUTO PARTS/PCT#3</v>
      </c>
    </row>
    <row r="1202" spans="1:10" x14ac:dyDescent="0.3">
      <c r="A1202" t="str">
        <f>"01"</f>
        <v>01</v>
      </c>
      <c r="B1202" t="str">
        <f>"STM"</f>
        <v>STM</v>
      </c>
      <c r="C1202" t="s">
        <v>362</v>
      </c>
      <c r="D1202">
        <v>72093</v>
      </c>
      <c r="E1202" s="2">
        <v>8142.18</v>
      </c>
      <c r="F1202" s="1">
        <v>42961</v>
      </c>
      <c r="G1202" t="str">
        <f>"63218488"</f>
        <v>63218488</v>
      </c>
      <c r="H1202" t="str">
        <f>"CUST#52157/TIRE SVCS/PCT#3"</f>
        <v>CUST#52157/TIRE SVCS/PCT#3</v>
      </c>
      <c r="I1202" s="2">
        <v>688.5</v>
      </c>
      <c r="J1202" t="str">
        <f>"CUST#52157/TIRE SVCS/PCT#3"</f>
        <v>CUST#52157/TIRE SVCS/PCT#3</v>
      </c>
    </row>
    <row r="1203" spans="1:10" x14ac:dyDescent="0.3">
      <c r="A1203" t="str">
        <f>""</f>
        <v/>
      </c>
      <c r="B1203" t="str">
        <f>""</f>
        <v/>
      </c>
      <c r="G1203" t="str">
        <f>"63218991"</f>
        <v>63218991</v>
      </c>
      <c r="H1203" t="str">
        <f>"CUST#52157/TIRE SVCS/PCT#3"</f>
        <v>CUST#52157/TIRE SVCS/PCT#3</v>
      </c>
      <c r="I1203" s="2">
        <v>906.08</v>
      </c>
      <c r="J1203" t="str">
        <f>"CUST#52157/TIRE SVCS/PCT#3"</f>
        <v>CUST#52157/TIRE SVCS/PCT#3</v>
      </c>
    </row>
    <row r="1204" spans="1:10" x14ac:dyDescent="0.3">
      <c r="A1204" t="str">
        <f>""</f>
        <v/>
      </c>
      <c r="B1204" t="str">
        <f>""</f>
        <v/>
      </c>
      <c r="G1204" t="str">
        <f>"63218993"</f>
        <v>63218993</v>
      </c>
      <c r="H1204" t="str">
        <f>"CUST#52157/TIRE SVCS/PCT#3"</f>
        <v>CUST#52157/TIRE SVCS/PCT#3</v>
      </c>
      <c r="I1204" s="2">
        <v>846.52</v>
      </c>
      <c r="J1204" t="str">
        <f>"CUST#52157/TIRE SVCS/PCT#3"</f>
        <v>CUST#52157/TIRE SVCS/PCT#3</v>
      </c>
    </row>
    <row r="1205" spans="1:10" x14ac:dyDescent="0.3">
      <c r="A1205" t="str">
        <f>""</f>
        <v/>
      </c>
      <c r="B1205" t="str">
        <f>""</f>
        <v/>
      </c>
      <c r="G1205" t="str">
        <f>"63219433"</f>
        <v>63219433</v>
      </c>
      <c r="H1205" t="str">
        <f>"CUST#52157/TIRE CHANGE/PCT#3"</f>
        <v>CUST#52157/TIRE CHANGE/PCT#3</v>
      </c>
      <c r="I1205" s="2">
        <v>120</v>
      </c>
      <c r="J1205" t="str">
        <f>"CUST#52157/TIRE CHANGE/PCT#3"</f>
        <v>CUST#52157/TIRE CHANGE/PCT#3</v>
      </c>
    </row>
    <row r="1206" spans="1:10" x14ac:dyDescent="0.3">
      <c r="A1206" t="str">
        <f>""</f>
        <v/>
      </c>
      <c r="B1206" t="str">
        <f>""</f>
        <v/>
      </c>
      <c r="G1206" t="str">
        <f>"63219442"</f>
        <v>63219442</v>
      </c>
      <c r="H1206" t="str">
        <f>"CUST#52157/TIRE SVCS/PCT#3"</f>
        <v>CUST#52157/TIRE SVCS/PCT#3</v>
      </c>
      <c r="I1206" s="2">
        <v>1936.24</v>
      </c>
      <c r="J1206" t="str">
        <f>"CUST#52157/TIRE SVCS/PCT#3"</f>
        <v>CUST#52157/TIRE SVCS/PCT#3</v>
      </c>
    </row>
    <row r="1207" spans="1:10" x14ac:dyDescent="0.3">
      <c r="A1207" t="str">
        <f>""</f>
        <v/>
      </c>
      <c r="B1207" t="str">
        <f>""</f>
        <v/>
      </c>
      <c r="G1207" t="str">
        <f>"63220518"</f>
        <v>63220518</v>
      </c>
      <c r="H1207" t="str">
        <f>"CUST#52157/PCT#3"</f>
        <v>CUST#52157/PCT#3</v>
      </c>
      <c r="I1207" s="2">
        <v>584.34</v>
      </c>
      <c r="J1207" t="str">
        <f>"CUST#52157/PCT#3"</f>
        <v>CUST#52157/PCT#3</v>
      </c>
    </row>
    <row r="1208" spans="1:10" x14ac:dyDescent="0.3">
      <c r="A1208" t="str">
        <f>""</f>
        <v/>
      </c>
      <c r="B1208" t="str">
        <f>""</f>
        <v/>
      </c>
      <c r="G1208" t="str">
        <f>"63220851"</f>
        <v>63220851</v>
      </c>
      <c r="H1208" t="str">
        <f>"CUST#52157/UNIT 6430/PCT#3"</f>
        <v>CUST#52157/UNIT 6430/PCT#3</v>
      </c>
      <c r="I1208" s="2">
        <v>3060.5</v>
      </c>
      <c r="J1208" t="str">
        <f>"CUST#52157/UNIT 6430/PCT#3"</f>
        <v>CUST#52157/UNIT 6430/PCT#3</v>
      </c>
    </row>
    <row r="1209" spans="1:10" x14ac:dyDescent="0.3">
      <c r="A1209" t="str">
        <f>"01"</f>
        <v>01</v>
      </c>
      <c r="B1209" t="str">
        <f>"005090"</f>
        <v>005090</v>
      </c>
      <c r="C1209" t="s">
        <v>363</v>
      </c>
      <c r="D1209">
        <v>72094</v>
      </c>
      <c r="E1209" s="2">
        <v>590.63</v>
      </c>
      <c r="F1209" s="1">
        <v>42961</v>
      </c>
      <c r="G1209" t="str">
        <f>"1925619"</f>
        <v>1925619</v>
      </c>
      <c r="H1209" t="str">
        <f>"KITCHEN TABLE"</f>
        <v>KITCHEN TABLE</v>
      </c>
      <c r="I1209" s="2">
        <v>590.63</v>
      </c>
      <c r="J1209" t="str">
        <f>"SINK"</f>
        <v>SINK</v>
      </c>
    </row>
    <row r="1210" spans="1:10" x14ac:dyDescent="0.3">
      <c r="A1210" t="str">
        <f>""</f>
        <v/>
      </c>
      <c r="B1210" t="str">
        <f>""</f>
        <v/>
      </c>
      <c r="G1210" t="str">
        <f>""</f>
        <v/>
      </c>
      <c r="H1210" t="str">
        <f>""</f>
        <v/>
      </c>
      <c r="J1210" t="str">
        <f>"SPLASH MOUNT"</f>
        <v>SPLASH MOUNT</v>
      </c>
    </row>
    <row r="1211" spans="1:10" x14ac:dyDescent="0.3">
      <c r="A1211" t="str">
        <f>"01"</f>
        <v>01</v>
      </c>
      <c r="B1211" t="str">
        <f>"T11061"</f>
        <v>T11061</v>
      </c>
      <c r="C1211" t="s">
        <v>364</v>
      </c>
      <c r="D1211">
        <v>72095</v>
      </c>
      <c r="E1211" s="2">
        <v>37.6</v>
      </c>
      <c r="F1211" s="1">
        <v>42961</v>
      </c>
      <c r="G1211" t="str">
        <f>"9604456 072017"</f>
        <v>9604456 072017</v>
      </c>
      <c r="H1211" t="str">
        <f>"ACCT#46668439604456/WATER SVCS"</f>
        <v>ACCT#46668439604456/WATER SVCS</v>
      </c>
      <c r="I1211" s="2">
        <v>37.6</v>
      </c>
      <c r="J1211" t="str">
        <f>"ACCT#46668439604456/WATER SVCS"</f>
        <v>ACCT#46668439604456/WATER SVCS</v>
      </c>
    </row>
    <row r="1212" spans="1:10" x14ac:dyDescent="0.3">
      <c r="A1212" t="str">
        <f>"01"</f>
        <v>01</v>
      </c>
      <c r="B1212" t="str">
        <f>"T11061"</f>
        <v>T11061</v>
      </c>
      <c r="C1212" t="s">
        <v>364</v>
      </c>
      <c r="D1212">
        <v>72327</v>
      </c>
      <c r="E1212" s="2">
        <v>68.55</v>
      </c>
      <c r="F1212" s="1">
        <v>42976</v>
      </c>
      <c r="G1212" t="str">
        <f>"9604456 081717"</f>
        <v>9604456 081717</v>
      </c>
      <c r="H1212" t="str">
        <f>"ACCT#46668439604456/JP#2"</f>
        <v>ACCT#46668439604456/JP#2</v>
      </c>
      <c r="I1212" s="2">
        <v>68.55</v>
      </c>
      <c r="J1212" t="str">
        <f>"ACCT#46668439604456/JP#2"</f>
        <v>ACCT#46668439604456/JP#2</v>
      </c>
    </row>
    <row r="1213" spans="1:10" x14ac:dyDescent="0.3">
      <c r="A1213" t="str">
        <f>"01"</f>
        <v>01</v>
      </c>
      <c r="B1213" t="str">
        <f>"003747"</f>
        <v>003747</v>
      </c>
      <c r="C1213" t="s">
        <v>365</v>
      </c>
      <c r="D1213">
        <v>72328</v>
      </c>
      <c r="E1213" s="2">
        <v>10.62</v>
      </c>
      <c r="F1213" s="1">
        <v>42976</v>
      </c>
      <c r="G1213" t="str">
        <f>"A0698356T"</f>
        <v>A0698356T</v>
      </c>
      <c r="H1213" t="str">
        <f>"ACCT#0698356-3"</f>
        <v>ACCT#0698356-3</v>
      </c>
      <c r="I1213" s="2">
        <v>10.62</v>
      </c>
      <c r="J1213" t="str">
        <f>"ACCT#0698356-3"</f>
        <v>ACCT#0698356-3</v>
      </c>
    </row>
    <row r="1214" spans="1:10" x14ac:dyDescent="0.3">
      <c r="A1214" t="str">
        <f>"01"</f>
        <v>01</v>
      </c>
      <c r="B1214" t="str">
        <f>"SDHCS"</f>
        <v>SDHCS</v>
      </c>
      <c r="C1214" t="s">
        <v>366</v>
      </c>
      <c r="D1214">
        <v>72096</v>
      </c>
      <c r="E1214" s="2">
        <v>11702.91</v>
      </c>
      <c r="F1214" s="1">
        <v>42961</v>
      </c>
      <c r="G1214" t="str">
        <f>"201708094176"</f>
        <v>201708094176</v>
      </c>
      <c r="H1214" t="str">
        <f>"INDIGENT HEALTH"</f>
        <v>INDIGENT HEALTH</v>
      </c>
      <c r="I1214" s="2">
        <v>11702.91</v>
      </c>
      <c r="J1214" t="str">
        <f>"INDIGENT HEALTH"</f>
        <v>INDIGENT HEALTH</v>
      </c>
    </row>
    <row r="1215" spans="1:10" x14ac:dyDescent="0.3">
      <c r="A1215" t="str">
        <f>""</f>
        <v/>
      </c>
      <c r="B1215" t="str">
        <f>""</f>
        <v/>
      </c>
      <c r="G1215" t="str">
        <f>""</f>
        <v/>
      </c>
      <c r="H1215" t="str">
        <f>""</f>
        <v/>
      </c>
      <c r="J1215" t="str">
        <f>"INDIGENT HEALTH"</f>
        <v>INDIGENT HEALTH</v>
      </c>
    </row>
    <row r="1216" spans="1:10" x14ac:dyDescent="0.3">
      <c r="A1216" t="str">
        <f>"01"</f>
        <v>01</v>
      </c>
      <c r="B1216" t="str">
        <f>"SDHCS"</f>
        <v>SDHCS</v>
      </c>
      <c r="C1216" t="s">
        <v>366</v>
      </c>
      <c r="D1216">
        <v>72329</v>
      </c>
      <c r="E1216" s="2">
        <v>254.97</v>
      </c>
      <c r="F1216" s="1">
        <v>42976</v>
      </c>
      <c r="G1216" t="str">
        <f>"201708234408"</f>
        <v>201708234408</v>
      </c>
      <c r="H1216" t="str">
        <f>"INDIGENT HEALTH"</f>
        <v>INDIGENT HEALTH</v>
      </c>
      <c r="I1216" s="2">
        <v>254.97</v>
      </c>
      <c r="J1216" t="str">
        <f>"INDIGENT HEALTH"</f>
        <v>INDIGENT HEALTH</v>
      </c>
    </row>
    <row r="1217" spans="1:10" x14ac:dyDescent="0.3">
      <c r="A1217" t="str">
        <f>"01"</f>
        <v>01</v>
      </c>
      <c r="B1217" t="str">
        <f>"004527"</f>
        <v>004527</v>
      </c>
      <c r="C1217" t="s">
        <v>367</v>
      </c>
      <c r="D1217">
        <v>72330</v>
      </c>
      <c r="E1217" s="2">
        <v>33.270000000000003</v>
      </c>
      <c r="F1217" s="1">
        <v>42976</v>
      </c>
      <c r="G1217" t="str">
        <f>"201708234407"</f>
        <v>201708234407</v>
      </c>
      <c r="H1217" t="str">
        <f>"INDIGENT HEALTH"</f>
        <v>INDIGENT HEALTH</v>
      </c>
      <c r="I1217" s="2">
        <v>33.270000000000003</v>
      </c>
      <c r="J1217" t="str">
        <f>"INDIGENT HEALTH"</f>
        <v>INDIGENT HEALTH</v>
      </c>
    </row>
    <row r="1218" spans="1:10" x14ac:dyDescent="0.3">
      <c r="A1218" t="str">
        <f>"01"</f>
        <v>01</v>
      </c>
      <c r="B1218" t="str">
        <f>"003508"</f>
        <v>003508</v>
      </c>
      <c r="C1218" t="s">
        <v>368</v>
      </c>
      <c r="D1218">
        <v>72097</v>
      </c>
      <c r="E1218" s="2">
        <v>1134.24</v>
      </c>
      <c r="F1218" s="1">
        <v>42961</v>
      </c>
      <c r="G1218" t="str">
        <f>"8045436768"</f>
        <v>8045436768</v>
      </c>
      <c r="H1218" t="str">
        <f>"Sum Inv# 8045436768"</f>
        <v>Sum Inv# 8045436768</v>
      </c>
      <c r="I1218" s="2">
        <v>1134.24</v>
      </c>
      <c r="J1218" t="str">
        <f>"Inv# 3346174478"</f>
        <v>Inv# 3346174478</v>
      </c>
    </row>
    <row r="1219" spans="1:10" x14ac:dyDescent="0.3">
      <c r="A1219" t="str">
        <f>""</f>
        <v/>
      </c>
      <c r="B1219" t="str">
        <f>""</f>
        <v/>
      </c>
      <c r="G1219" t="str">
        <f>""</f>
        <v/>
      </c>
      <c r="H1219" t="str">
        <f>""</f>
        <v/>
      </c>
      <c r="J1219" t="str">
        <f>"Inv# 3346174456"</f>
        <v>Inv# 3346174456</v>
      </c>
    </row>
    <row r="1220" spans="1:10" x14ac:dyDescent="0.3">
      <c r="A1220" t="str">
        <f>""</f>
        <v/>
      </c>
      <c r="B1220" t="str">
        <f>""</f>
        <v/>
      </c>
      <c r="G1220" t="str">
        <f>""</f>
        <v/>
      </c>
      <c r="H1220" t="str">
        <f>""</f>
        <v/>
      </c>
      <c r="J1220" t="str">
        <f>"Inv# 3346174473"</f>
        <v>Inv# 3346174473</v>
      </c>
    </row>
    <row r="1221" spans="1:10" x14ac:dyDescent="0.3">
      <c r="A1221" t="str">
        <f>""</f>
        <v/>
      </c>
      <c r="B1221" t="str">
        <f>""</f>
        <v/>
      </c>
      <c r="G1221" t="str">
        <f>""</f>
        <v/>
      </c>
      <c r="H1221" t="str">
        <f>""</f>
        <v/>
      </c>
      <c r="J1221" t="str">
        <f>"Inv# 3346174475"</f>
        <v>Inv# 3346174475</v>
      </c>
    </row>
    <row r="1222" spans="1:10" x14ac:dyDescent="0.3">
      <c r="A1222" t="str">
        <f>""</f>
        <v/>
      </c>
      <c r="B1222" t="str">
        <f>""</f>
        <v/>
      </c>
      <c r="G1222" t="str">
        <f>""</f>
        <v/>
      </c>
      <c r="H1222" t="str">
        <f>""</f>
        <v/>
      </c>
      <c r="J1222" t="str">
        <f>"Inv# 3346174471"</f>
        <v>Inv# 3346174471</v>
      </c>
    </row>
    <row r="1223" spans="1:10" x14ac:dyDescent="0.3">
      <c r="A1223" t="str">
        <f>""</f>
        <v/>
      </c>
      <c r="B1223" t="str">
        <f>""</f>
        <v/>
      </c>
      <c r="G1223" t="str">
        <f>""</f>
        <v/>
      </c>
      <c r="H1223" t="str">
        <f>""</f>
        <v/>
      </c>
      <c r="J1223" t="str">
        <f>"Inv# 3346174469"</f>
        <v>Inv# 3346174469</v>
      </c>
    </row>
    <row r="1224" spans="1:10" x14ac:dyDescent="0.3">
      <c r="A1224" t="str">
        <f>""</f>
        <v/>
      </c>
      <c r="B1224" t="str">
        <f>""</f>
        <v/>
      </c>
      <c r="G1224" t="str">
        <f>""</f>
        <v/>
      </c>
      <c r="H1224" t="str">
        <f>""</f>
        <v/>
      </c>
      <c r="J1224" t="str">
        <f>"Inv# 3346174460"</f>
        <v>Inv# 3346174460</v>
      </c>
    </row>
    <row r="1225" spans="1:10" x14ac:dyDescent="0.3">
      <c r="A1225" t="str">
        <f>""</f>
        <v/>
      </c>
      <c r="B1225" t="str">
        <f>""</f>
        <v/>
      </c>
      <c r="G1225" t="str">
        <f>""</f>
        <v/>
      </c>
      <c r="H1225" t="str">
        <f>""</f>
        <v/>
      </c>
      <c r="J1225" t="str">
        <f>"Inv# 3346174461"</f>
        <v>Inv# 3346174461</v>
      </c>
    </row>
    <row r="1226" spans="1:10" x14ac:dyDescent="0.3">
      <c r="A1226" t="str">
        <f>""</f>
        <v/>
      </c>
      <c r="B1226" t="str">
        <f>""</f>
        <v/>
      </c>
      <c r="G1226" t="str">
        <f>""</f>
        <v/>
      </c>
      <c r="H1226" t="str">
        <f>""</f>
        <v/>
      </c>
      <c r="J1226" t="str">
        <f>"Inv# 3346174463"</f>
        <v>Inv# 3346174463</v>
      </c>
    </row>
    <row r="1227" spans="1:10" x14ac:dyDescent="0.3">
      <c r="A1227" t="str">
        <f>""</f>
        <v/>
      </c>
      <c r="B1227" t="str">
        <f>""</f>
        <v/>
      </c>
      <c r="G1227" t="str">
        <f>""</f>
        <v/>
      </c>
      <c r="H1227" t="str">
        <f>""</f>
        <v/>
      </c>
      <c r="J1227" t="str">
        <f>"Inv# 3346174465"</f>
        <v>Inv# 3346174465</v>
      </c>
    </row>
    <row r="1228" spans="1:10" x14ac:dyDescent="0.3">
      <c r="A1228" t="str">
        <f>""</f>
        <v/>
      </c>
      <c r="B1228" t="str">
        <f>""</f>
        <v/>
      </c>
      <c r="G1228" t="str">
        <f>""</f>
        <v/>
      </c>
      <c r="H1228" t="str">
        <f>""</f>
        <v/>
      </c>
      <c r="J1228" t="str">
        <f>"Inv# 3346174467"</f>
        <v>Inv# 3346174467</v>
      </c>
    </row>
    <row r="1229" spans="1:10" x14ac:dyDescent="0.3">
      <c r="A1229" t="str">
        <f>"01"</f>
        <v>01</v>
      </c>
      <c r="B1229" t="str">
        <f>"003508"</f>
        <v>003508</v>
      </c>
      <c r="C1229" t="s">
        <v>368</v>
      </c>
      <c r="D1229">
        <v>72331</v>
      </c>
      <c r="E1229" s="2">
        <v>1319.22</v>
      </c>
      <c r="F1229" s="1">
        <v>42976</v>
      </c>
      <c r="G1229" t="str">
        <f>"8045730315"</f>
        <v>8045730315</v>
      </c>
      <c r="H1229" t="str">
        <f>"Sum Inv# 8045730315"</f>
        <v>Sum Inv# 8045730315</v>
      </c>
      <c r="I1229" s="2">
        <v>1319.22</v>
      </c>
      <c r="J1229" t="str">
        <f>"Inv# 3348154329"</f>
        <v>Inv# 3348154329</v>
      </c>
    </row>
    <row r="1230" spans="1:10" x14ac:dyDescent="0.3">
      <c r="A1230" t="str">
        <f>""</f>
        <v/>
      </c>
      <c r="B1230" t="str">
        <f>""</f>
        <v/>
      </c>
      <c r="G1230" t="str">
        <f>""</f>
        <v/>
      </c>
      <c r="H1230" t="str">
        <f>""</f>
        <v/>
      </c>
      <c r="J1230" t="str">
        <f>"Inv# 3348154318"</f>
        <v>Inv# 3348154318</v>
      </c>
    </row>
    <row r="1231" spans="1:10" x14ac:dyDescent="0.3">
      <c r="A1231" t="str">
        <f>""</f>
        <v/>
      </c>
      <c r="B1231" t="str">
        <f>""</f>
        <v/>
      </c>
      <c r="G1231" t="str">
        <f>""</f>
        <v/>
      </c>
      <c r="H1231" t="str">
        <f>""</f>
        <v/>
      </c>
      <c r="J1231" t="str">
        <f>"Inv# 3348154326"</f>
        <v>Inv# 3348154326</v>
      </c>
    </row>
    <row r="1232" spans="1:10" x14ac:dyDescent="0.3">
      <c r="A1232" t="str">
        <f>""</f>
        <v/>
      </c>
      <c r="B1232" t="str">
        <f>""</f>
        <v/>
      </c>
      <c r="G1232" t="str">
        <f>""</f>
        <v/>
      </c>
      <c r="H1232" t="str">
        <f>""</f>
        <v/>
      </c>
      <c r="J1232" t="str">
        <f>"Inv# 3348154327"</f>
        <v>Inv# 3348154327</v>
      </c>
    </row>
    <row r="1233" spans="1:10" x14ac:dyDescent="0.3">
      <c r="A1233" t="str">
        <f>""</f>
        <v/>
      </c>
      <c r="B1233" t="str">
        <f>""</f>
        <v/>
      </c>
      <c r="G1233" t="str">
        <f>""</f>
        <v/>
      </c>
      <c r="H1233" t="str">
        <f>""</f>
        <v/>
      </c>
      <c r="J1233" t="str">
        <f>"Inv# 3348154320"</f>
        <v>Inv# 3348154320</v>
      </c>
    </row>
    <row r="1234" spans="1:10" x14ac:dyDescent="0.3">
      <c r="A1234" t="str">
        <f>""</f>
        <v/>
      </c>
      <c r="B1234" t="str">
        <f>""</f>
        <v/>
      </c>
      <c r="G1234" t="str">
        <f>""</f>
        <v/>
      </c>
      <c r="H1234" t="str">
        <f>""</f>
        <v/>
      </c>
      <c r="J1234" t="str">
        <f>"Inv# 3348154322"</f>
        <v>Inv# 3348154322</v>
      </c>
    </row>
    <row r="1235" spans="1:10" x14ac:dyDescent="0.3">
      <c r="A1235" t="str">
        <f>""</f>
        <v/>
      </c>
      <c r="B1235" t="str">
        <f>""</f>
        <v/>
      </c>
      <c r="G1235" t="str">
        <f>""</f>
        <v/>
      </c>
      <c r="H1235" t="str">
        <f>""</f>
        <v/>
      </c>
      <c r="J1235" t="str">
        <f>"Inv# 3348154323"</f>
        <v>Inv# 3348154323</v>
      </c>
    </row>
    <row r="1236" spans="1:10" x14ac:dyDescent="0.3">
      <c r="A1236" t="str">
        <f>""</f>
        <v/>
      </c>
      <c r="B1236" t="str">
        <f>""</f>
        <v/>
      </c>
      <c r="G1236" t="str">
        <f>""</f>
        <v/>
      </c>
      <c r="H1236" t="str">
        <f>""</f>
        <v/>
      </c>
      <c r="J1236" t="str">
        <f>"Inv# 3348154324"</f>
        <v>Inv# 3348154324</v>
      </c>
    </row>
    <row r="1237" spans="1:10" x14ac:dyDescent="0.3">
      <c r="A1237" t="str">
        <f>""</f>
        <v/>
      </c>
      <c r="B1237" t="str">
        <f>""</f>
        <v/>
      </c>
      <c r="G1237" t="str">
        <f>""</f>
        <v/>
      </c>
      <c r="H1237" t="str">
        <f>""</f>
        <v/>
      </c>
      <c r="J1237" t="str">
        <f>"Inv# 3348154325"</f>
        <v>Inv# 3348154325</v>
      </c>
    </row>
    <row r="1238" spans="1:10" x14ac:dyDescent="0.3">
      <c r="A1238" t="str">
        <f>""</f>
        <v/>
      </c>
      <c r="B1238" t="str">
        <f>""</f>
        <v/>
      </c>
      <c r="G1238" t="str">
        <f>""</f>
        <v/>
      </c>
      <c r="H1238" t="str">
        <f>""</f>
        <v/>
      </c>
      <c r="J1238" t="str">
        <f>"Inv# 3348154332"</f>
        <v>Inv# 3348154332</v>
      </c>
    </row>
    <row r="1239" spans="1:10" x14ac:dyDescent="0.3">
      <c r="A1239" t="str">
        <f>""</f>
        <v/>
      </c>
      <c r="B1239" t="str">
        <f>""</f>
        <v/>
      </c>
      <c r="G1239" t="str">
        <f>""</f>
        <v/>
      </c>
      <c r="H1239" t="str">
        <f>""</f>
        <v/>
      </c>
      <c r="J1239" t="str">
        <f>"Inv# 3348154330"</f>
        <v>Inv# 3348154330</v>
      </c>
    </row>
    <row r="1240" spans="1:10" x14ac:dyDescent="0.3">
      <c r="A1240" t="str">
        <f>""</f>
        <v/>
      </c>
      <c r="B1240" t="str">
        <f>""</f>
        <v/>
      </c>
      <c r="G1240" t="str">
        <f>""</f>
        <v/>
      </c>
      <c r="H1240" t="str">
        <f>""</f>
        <v/>
      </c>
      <c r="J1240" t="str">
        <f>"Inv# 3348154319"</f>
        <v>Inv# 3348154319</v>
      </c>
    </row>
    <row r="1241" spans="1:10" x14ac:dyDescent="0.3">
      <c r="A1241" t="str">
        <f t="shared" ref="A1241:A1246" si="24">"01"</f>
        <v>01</v>
      </c>
      <c r="B1241" t="str">
        <f>"T8648"</f>
        <v>T8648</v>
      </c>
      <c r="C1241" t="s">
        <v>369</v>
      </c>
      <c r="D1241">
        <v>72098</v>
      </c>
      <c r="E1241" s="2">
        <v>723.61</v>
      </c>
      <c r="F1241" s="1">
        <v>42961</v>
      </c>
      <c r="G1241" t="str">
        <f>"4007244037"</f>
        <v>4007244037</v>
      </c>
      <c r="H1241" t="str">
        <f>"MED WASTE/DISPOSAL"</f>
        <v>MED WASTE/DISPOSAL</v>
      </c>
      <c r="I1241" s="2">
        <v>723.61</v>
      </c>
      <c r="J1241" t="str">
        <f>"MED WASTE/DISPOSAL"</f>
        <v>MED WASTE/DISPOSAL</v>
      </c>
    </row>
    <row r="1242" spans="1:10" x14ac:dyDescent="0.3">
      <c r="A1242" t="str">
        <f t="shared" si="24"/>
        <v>01</v>
      </c>
      <c r="B1242" t="str">
        <f>"002260"</f>
        <v>002260</v>
      </c>
      <c r="C1242" t="s">
        <v>370</v>
      </c>
      <c r="D1242">
        <v>72099</v>
      </c>
      <c r="E1242" s="2">
        <v>494</v>
      </c>
      <c r="F1242" s="1">
        <v>42961</v>
      </c>
      <c r="G1242" t="str">
        <f>"201708074114"</f>
        <v>201708074114</v>
      </c>
      <c r="H1242" t="str">
        <f>"CONTRACT LABOR 7/24-8/11/17"</f>
        <v>CONTRACT LABOR 7/24-8/11/17</v>
      </c>
      <c r="I1242" s="2">
        <v>494</v>
      </c>
      <c r="J1242" t="str">
        <f>"CONTRACT LABOR 7/24-8/11/17"</f>
        <v>CONTRACT LABOR 7/24-8/11/17</v>
      </c>
    </row>
    <row r="1243" spans="1:10" x14ac:dyDescent="0.3">
      <c r="A1243" t="str">
        <f t="shared" si="24"/>
        <v>01</v>
      </c>
      <c r="B1243" t="str">
        <f>"002260"</f>
        <v>002260</v>
      </c>
      <c r="C1243" t="s">
        <v>370</v>
      </c>
      <c r="D1243">
        <v>72332</v>
      </c>
      <c r="E1243" s="2">
        <v>299</v>
      </c>
      <c r="F1243" s="1">
        <v>42976</v>
      </c>
      <c r="G1243" t="str">
        <f>"201708224365"</f>
        <v>201708224365</v>
      </c>
      <c r="H1243" t="str">
        <f>"TRASH REM/8/14-8/25/17 PCT#4"</f>
        <v>TRASH REM/8/14-8/25/17 PCT#4</v>
      </c>
      <c r="I1243" s="2">
        <v>299</v>
      </c>
      <c r="J1243" t="str">
        <f>"TRASH REM/8/14-8/25/17 PCT#4"</f>
        <v>TRASH REM/8/14-8/25/17 PCT#4</v>
      </c>
    </row>
    <row r="1244" spans="1:10" x14ac:dyDescent="0.3">
      <c r="A1244" t="str">
        <f t="shared" si="24"/>
        <v>01</v>
      </c>
      <c r="B1244" t="str">
        <f>"001804"</f>
        <v>001804</v>
      </c>
      <c r="C1244" t="s">
        <v>371</v>
      </c>
      <c r="D1244">
        <v>72100</v>
      </c>
      <c r="E1244" s="2">
        <v>745.57</v>
      </c>
      <c r="F1244" s="1">
        <v>42961</v>
      </c>
      <c r="G1244" t="str">
        <f>"201708094268"</f>
        <v>201708094268</v>
      </c>
      <c r="H1244" t="str">
        <f>"REIMBURSE-LODGING/PER DIEM"</f>
        <v>REIMBURSE-LODGING/PER DIEM</v>
      </c>
      <c r="I1244" s="2">
        <v>745.57</v>
      </c>
      <c r="J1244" t="str">
        <f>"REIMBURSE-LODGING/PER DIEM"</f>
        <v>REIMBURSE-LODGING/PER DIEM</v>
      </c>
    </row>
    <row r="1245" spans="1:10" x14ac:dyDescent="0.3">
      <c r="A1245" t="str">
        <f t="shared" si="24"/>
        <v>01</v>
      </c>
      <c r="B1245" t="str">
        <f>"005188"</f>
        <v>005188</v>
      </c>
      <c r="C1245" t="s">
        <v>372</v>
      </c>
      <c r="D1245">
        <v>72333</v>
      </c>
      <c r="E1245" s="2">
        <v>580</v>
      </c>
      <c r="F1245" s="1">
        <v>42976</v>
      </c>
      <c r="G1245" t="str">
        <f>"0009698-IN"</f>
        <v>0009698-IN</v>
      </c>
      <c r="H1245" t="str">
        <f>"INV 0009698-IN"</f>
        <v>INV 0009698-IN</v>
      </c>
      <c r="I1245" s="2">
        <v>580</v>
      </c>
      <c r="J1245" t="str">
        <f>"INV 0009698-IN"</f>
        <v>INV 0009698-IN</v>
      </c>
    </row>
    <row r="1246" spans="1:10" x14ac:dyDescent="0.3">
      <c r="A1246" t="str">
        <f t="shared" si="24"/>
        <v>01</v>
      </c>
      <c r="B1246" t="str">
        <f>"000883"</f>
        <v>000883</v>
      </c>
      <c r="C1246" t="s">
        <v>373</v>
      </c>
      <c r="D1246">
        <v>72101</v>
      </c>
      <c r="E1246" s="2">
        <v>5010</v>
      </c>
      <c r="F1246" s="1">
        <v>42961</v>
      </c>
      <c r="G1246" t="str">
        <f>"3606"</f>
        <v>3606</v>
      </c>
      <c r="H1246" t="str">
        <f>"Inv#3606"</f>
        <v>Inv#3606</v>
      </c>
      <c r="I1246" s="2">
        <v>2965</v>
      </c>
      <c r="J1246" t="str">
        <f>"Building"</f>
        <v>Building</v>
      </c>
    </row>
    <row r="1247" spans="1:10" x14ac:dyDescent="0.3">
      <c r="A1247" t="str">
        <f>""</f>
        <v/>
      </c>
      <c r="B1247" t="str">
        <f>""</f>
        <v/>
      </c>
      <c r="G1247" t="str">
        <f>""</f>
        <v/>
      </c>
      <c r="H1247" t="str">
        <f>""</f>
        <v/>
      </c>
      <c r="J1247" t="str">
        <f>"Windows"</f>
        <v>Windows</v>
      </c>
    </row>
    <row r="1248" spans="1:10" x14ac:dyDescent="0.3">
      <c r="A1248" t="str">
        <f>""</f>
        <v/>
      </c>
      <c r="B1248" t="str">
        <f>""</f>
        <v/>
      </c>
      <c r="G1248" t="str">
        <f>""</f>
        <v/>
      </c>
      <c r="H1248" t="str">
        <f>""</f>
        <v/>
      </c>
      <c r="J1248" t="str">
        <f>"Electrical"</f>
        <v>Electrical</v>
      </c>
    </row>
    <row r="1249" spans="1:10" x14ac:dyDescent="0.3">
      <c r="A1249" t="str">
        <f>""</f>
        <v/>
      </c>
      <c r="B1249" t="str">
        <f>""</f>
        <v/>
      </c>
      <c r="G1249" t="str">
        <f>"3613"</f>
        <v>3613</v>
      </c>
      <c r="H1249" t="str">
        <f>"Inv# 3613"</f>
        <v>Inv# 3613</v>
      </c>
      <c r="I1249" s="2">
        <v>2045</v>
      </c>
      <c r="J1249" t="str">
        <f>"Building"</f>
        <v>Building</v>
      </c>
    </row>
    <row r="1250" spans="1:10" x14ac:dyDescent="0.3">
      <c r="A1250" t="str">
        <f>""</f>
        <v/>
      </c>
      <c r="B1250" t="str">
        <f>""</f>
        <v/>
      </c>
      <c r="G1250" t="str">
        <f>""</f>
        <v/>
      </c>
      <c r="H1250" t="str">
        <f>""</f>
        <v/>
      </c>
      <c r="J1250" t="str">
        <f>"Window"</f>
        <v>Window</v>
      </c>
    </row>
    <row r="1251" spans="1:10" x14ac:dyDescent="0.3">
      <c r="A1251" t="str">
        <f>""</f>
        <v/>
      </c>
      <c r="B1251" t="str">
        <f>""</f>
        <v/>
      </c>
      <c r="G1251" t="str">
        <f>""</f>
        <v/>
      </c>
      <c r="H1251" t="str">
        <f>""</f>
        <v/>
      </c>
      <c r="J1251" t="str">
        <f>"Electric"</f>
        <v>Electric</v>
      </c>
    </row>
    <row r="1252" spans="1:10" x14ac:dyDescent="0.3">
      <c r="A1252" t="str">
        <f t="shared" ref="A1252:A1257" si="25">"01"</f>
        <v>01</v>
      </c>
      <c r="B1252" t="str">
        <f>"004775"</f>
        <v>004775</v>
      </c>
      <c r="C1252" t="s">
        <v>374</v>
      </c>
      <c r="D1252">
        <v>72102</v>
      </c>
      <c r="E1252" s="2">
        <v>7040</v>
      </c>
      <c r="F1252" s="1">
        <v>42961</v>
      </c>
      <c r="G1252" t="str">
        <f>"201708084149"</f>
        <v>201708084149</v>
      </c>
      <c r="H1252" t="str">
        <f>"LANDSCAPING SVCS"</f>
        <v>LANDSCAPING SVCS</v>
      </c>
      <c r="I1252" s="2">
        <v>7040</v>
      </c>
      <c r="J1252" t="str">
        <f>"LANDSCAPING SVCS"</f>
        <v>LANDSCAPING SVCS</v>
      </c>
    </row>
    <row r="1253" spans="1:10" x14ac:dyDescent="0.3">
      <c r="A1253" t="str">
        <f t="shared" si="25"/>
        <v>01</v>
      </c>
      <c r="B1253" t="str">
        <f>"004775"</f>
        <v>004775</v>
      </c>
      <c r="C1253" t="s">
        <v>374</v>
      </c>
      <c r="D1253">
        <v>72334</v>
      </c>
      <c r="E1253" s="2">
        <v>12800</v>
      </c>
      <c r="F1253" s="1">
        <v>42976</v>
      </c>
      <c r="G1253" t="str">
        <f>"85"</f>
        <v>85</v>
      </c>
      <c r="H1253" t="str">
        <f>"SHREDDING/PCT#2"</f>
        <v>SHREDDING/PCT#2</v>
      </c>
      <c r="I1253" s="2">
        <v>12800</v>
      </c>
      <c r="J1253" t="str">
        <f>"SHREDDING/PCT#2"</f>
        <v>SHREDDING/PCT#2</v>
      </c>
    </row>
    <row r="1254" spans="1:10" x14ac:dyDescent="0.3">
      <c r="A1254" t="str">
        <f t="shared" si="25"/>
        <v>01</v>
      </c>
      <c r="B1254" t="str">
        <f>"TAAO"</f>
        <v>TAAO</v>
      </c>
      <c r="C1254" t="s">
        <v>375</v>
      </c>
      <c r="D1254">
        <v>72103</v>
      </c>
      <c r="E1254" s="2">
        <v>305</v>
      </c>
      <c r="F1254" s="1">
        <v>42961</v>
      </c>
      <c r="G1254" t="str">
        <f>"20625"</f>
        <v>20625</v>
      </c>
      <c r="H1254" t="str">
        <f>"TAAO-DUES/TAX OFFICE"</f>
        <v>TAAO-DUES/TAX OFFICE</v>
      </c>
      <c r="I1254" s="2">
        <v>305</v>
      </c>
      <c r="J1254" t="str">
        <f>"TAAO-DUES/TAX OFFICE"</f>
        <v>TAAO-DUES/TAX OFFICE</v>
      </c>
    </row>
    <row r="1255" spans="1:10" x14ac:dyDescent="0.3">
      <c r="A1255" t="str">
        <f t="shared" si="25"/>
        <v>01</v>
      </c>
      <c r="B1255" t="str">
        <f>"002848"</f>
        <v>002848</v>
      </c>
      <c r="C1255" t="s">
        <v>376</v>
      </c>
      <c r="D1255">
        <v>72104</v>
      </c>
      <c r="E1255" s="2">
        <v>1176.06</v>
      </c>
      <c r="F1255" s="1">
        <v>42961</v>
      </c>
      <c r="G1255" t="str">
        <f>"2374021"</f>
        <v>2374021</v>
      </c>
      <c r="H1255" t="str">
        <f>"CUST#3451501/ORD#7088958 SO"</f>
        <v>CUST#3451501/ORD#7088958 SO</v>
      </c>
      <c r="I1255" s="2">
        <v>1176.06</v>
      </c>
      <c r="J1255" t="str">
        <f>"CUST#3451501/ORD#7088958 SO"</f>
        <v>CUST#3451501/ORD#7088958 SO</v>
      </c>
    </row>
    <row r="1256" spans="1:10" x14ac:dyDescent="0.3">
      <c r="A1256" t="str">
        <f t="shared" si="25"/>
        <v>01</v>
      </c>
      <c r="B1256" t="str">
        <f>"004087"</f>
        <v>004087</v>
      </c>
      <c r="C1256" t="s">
        <v>377</v>
      </c>
      <c r="D1256">
        <v>999999</v>
      </c>
      <c r="E1256" s="2">
        <v>86.08</v>
      </c>
      <c r="F1256" s="1">
        <v>42961</v>
      </c>
      <c r="G1256" t="str">
        <f>"17080105"</f>
        <v>17080105</v>
      </c>
      <c r="H1256" t="str">
        <f>"SVC CONTRACT-COUNTY CLERK"</f>
        <v>SVC CONTRACT-COUNTY CLERK</v>
      </c>
      <c r="I1256" s="2">
        <v>86.08</v>
      </c>
      <c r="J1256" t="str">
        <f>"SVC CONTRACT-COUNTY CLERK"</f>
        <v>SVC CONTRACT-COUNTY CLERK</v>
      </c>
    </row>
    <row r="1257" spans="1:10" x14ac:dyDescent="0.3">
      <c r="A1257" t="str">
        <f t="shared" si="25"/>
        <v>01</v>
      </c>
      <c r="B1257" t="str">
        <f>"TIMW"</f>
        <v>TIMW</v>
      </c>
      <c r="C1257" t="s">
        <v>378</v>
      </c>
      <c r="D1257">
        <v>72335</v>
      </c>
      <c r="E1257" s="2">
        <v>1451.68</v>
      </c>
      <c r="F1257" s="1">
        <v>42976</v>
      </c>
      <c r="G1257" t="str">
        <f>"010920"</f>
        <v>010920</v>
      </c>
      <c r="H1257" t="str">
        <f>"SALES ORD#10924/PCT#4"</f>
        <v>SALES ORD#10924/PCT#4</v>
      </c>
      <c r="I1257" s="2">
        <v>172.4</v>
      </c>
      <c r="J1257" t="str">
        <f>"SALES ORD#10924/PCT#4"</f>
        <v>SALES ORD#10924/PCT#4</v>
      </c>
    </row>
    <row r="1258" spans="1:10" x14ac:dyDescent="0.3">
      <c r="A1258" t="str">
        <f>""</f>
        <v/>
      </c>
      <c r="B1258" t="str">
        <f>""</f>
        <v/>
      </c>
      <c r="G1258" t="str">
        <f>"10892"</f>
        <v>10892</v>
      </c>
      <c r="H1258" t="str">
        <f>"REPAIR DRAIN SYSTEM/PCT#2"</f>
        <v>REPAIR DRAIN SYSTEM/PCT#2</v>
      </c>
      <c r="I1258" s="2">
        <v>1279.28</v>
      </c>
      <c r="J1258" t="str">
        <f>"REPAIR DRAIN SYSTEM/PCT#2"</f>
        <v>REPAIR DRAIN SYSTEM/PCT#2</v>
      </c>
    </row>
    <row r="1259" spans="1:10" x14ac:dyDescent="0.3">
      <c r="A1259" t="str">
        <f>"01"</f>
        <v>01</v>
      </c>
      <c r="B1259" t="str">
        <f>"T14477"</f>
        <v>T14477</v>
      </c>
      <c r="C1259" t="s">
        <v>379</v>
      </c>
      <c r="D1259">
        <v>72336</v>
      </c>
      <c r="E1259" s="2">
        <v>25</v>
      </c>
      <c r="F1259" s="1">
        <v>42976</v>
      </c>
      <c r="G1259" t="str">
        <f>"201708214296"</f>
        <v>201708214296</v>
      </c>
      <c r="H1259" t="str">
        <f>"TCOLE LICENSING EX FEE-G.HALL"</f>
        <v>TCOLE LICENSING EX FEE-G.HALL</v>
      </c>
      <c r="I1259" s="2">
        <v>25</v>
      </c>
    </row>
    <row r="1260" spans="1:10" x14ac:dyDescent="0.3">
      <c r="A1260" t="str">
        <f>"01"</f>
        <v>01</v>
      </c>
      <c r="B1260" t="str">
        <f>"T14477"</f>
        <v>T14477</v>
      </c>
      <c r="C1260" t="s">
        <v>379</v>
      </c>
      <c r="D1260">
        <v>72337</v>
      </c>
      <c r="E1260" s="2">
        <v>25</v>
      </c>
      <c r="F1260" s="1">
        <v>42976</v>
      </c>
      <c r="G1260" t="str">
        <f>"201708214297"</f>
        <v>201708214297</v>
      </c>
      <c r="H1260" t="str">
        <f>"TCOLE LICENSING EX FEE-M.BARNE"</f>
        <v>TCOLE LICENSING EX FEE-M.BARNE</v>
      </c>
      <c r="I1260" s="2">
        <v>25</v>
      </c>
    </row>
    <row r="1261" spans="1:10" x14ac:dyDescent="0.3">
      <c r="A1261" t="str">
        <f>"01"</f>
        <v>01</v>
      </c>
      <c r="B1261" t="str">
        <f>"T14477"</f>
        <v>T14477</v>
      </c>
      <c r="C1261" t="s">
        <v>379</v>
      </c>
      <c r="D1261">
        <v>72338</v>
      </c>
      <c r="E1261" s="2">
        <v>175</v>
      </c>
      <c r="F1261" s="1">
        <v>42976</v>
      </c>
      <c r="G1261" t="str">
        <f>"TESTING FEE"</f>
        <v>TESTING FEE</v>
      </c>
      <c r="H1261" t="str">
        <f>"TESTING FEE"</f>
        <v>TESTING FEE</v>
      </c>
      <c r="I1261" s="2">
        <v>175</v>
      </c>
    </row>
    <row r="1262" spans="1:10" x14ac:dyDescent="0.3">
      <c r="A1262" t="str">
        <f>"01"</f>
        <v>01</v>
      </c>
      <c r="B1262" t="str">
        <f>"T14477"</f>
        <v>T14477</v>
      </c>
      <c r="C1262" t="s">
        <v>379</v>
      </c>
      <c r="D1262">
        <v>72338</v>
      </c>
      <c r="E1262" s="2">
        <v>175</v>
      </c>
      <c r="F1262" s="1">
        <v>42977</v>
      </c>
      <c r="G1262" t="str">
        <f>"CHECK"</f>
        <v>CHECK</v>
      </c>
      <c r="H1262" t="str">
        <f>""</f>
        <v/>
      </c>
      <c r="I1262" s="2">
        <v>175</v>
      </c>
    </row>
    <row r="1263" spans="1:10" x14ac:dyDescent="0.3">
      <c r="A1263" t="str">
        <f>"01"</f>
        <v>01</v>
      </c>
      <c r="B1263" t="str">
        <f>"T7300"</f>
        <v>T7300</v>
      </c>
      <c r="C1263" t="s">
        <v>380</v>
      </c>
      <c r="D1263">
        <v>72105</v>
      </c>
      <c r="E1263" s="2">
        <v>3110</v>
      </c>
      <c r="F1263" s="1">
        <v>42961</v>
      </c>
      <c r="G1263" t="str">
        <f>"125493"</f>
        <v>125493</v>
      </c>
      <c r="H1263" t="str">
        <f>"CRIM/CIVIL LAW UPDATE-P HALL"</f>
        <v>CRIM/CIVIL LAW UPDATE-P HALL</v>
      </c>
      <c r="I1263" s="2">
        <v>350</v>
      </c>
      <c r="J1263" t="str">
        <f>"CRIM/CIVIL LAW UPDATE-P HALL"</f>
        <v>CRIM/CIVIL LAW UPDATE-P HALL</v>
      </c>
    </row>
    <row r="1264" spans="1:10" x14ac:dyDescent="0.3">
      <c r="A1264" t="str">
        <f>""</f>
        <v/>
      </c>
      <c r="B1264" t="str">
        <f>""</f>
        <v/>
      </c>
      <c r="G1264" t="str">
        <f>"125495"</f>
        <v>125495</v>
      </c>
      <c r="H1264" t="str">
        <f>"CRIM/CIVIL LAW UPDATE-K. BURNS"</f>
        <v>CRIM/CIVIL LAW UPDATE-K. BURNS</v>
      </c>
      <c r="I1264" s="2">
        <v>350</v>
      </c>
      <c r="J1264" t="str">
        <f>"CRIM/CIVIL LAW UPDATE-K. BURNS"</f>
        <v>CRIM/CIVIL LAW UPDATE-K. BURNS</v>
      </c>
    </row>
    <row r="1265" spans="1:10" x14ac:dyDescent="0.3">
      <c r="A1265" t="str">
        <f>""</f>
        <v/>
      </c>
      <c r="B1265" t="str">
        <f>""</f>
        <v/>
      </c>
      <c r="G1265" t="str">
        <f>"44404"</f>
        <v>44404</v>
      </c>
      <c r="H1265" t="str">
        <f>"LAW BOOKS-DA'S OFFICE"</f>
        <v>LAW BOOKS-DA'S OFFICE</v>
      </c>
      <c r="I1265" s="2">
        <v>1785</v>
      </c>
      <c r="J1265" t="str">
        <f>"LAW BOOKS-DA'S OFFICE"</f>
        <v>LAW BOOKS-DA'S OFFICE</v>
      </c>
    </row>
    <row r="1266" spans="1:10" x14ac:dyDescent="0.3">
      <c r="A1266" t="str">
        <f>""</f>
        <v/>
      </c>
      <c r="B1266" t="str">
        <f>""</f>
        <v/>
      </c>
      <c r="G1266" t="str">
        <f>"TRAINING-M. COOK"</f>
        <v>TRAINING-M. COOK</v>
      </c>
      <c r="H1266" t="str">
        <f>"TRAINING"</f>
        <v>TRAINING</v>
      </c>
      <c r="I1266" s="2">
        <v>625</v>
      </c>
      <c r="J1266" t="str">
        <f>"TRAINING"</f>
        <v>TRAINING</v>
      </c>
    </row>
    <row r="1267" spans="1:10" x14ac:dyDescent="0.3">
      <c r="A1267" t="str">
        <f>"01"</f>
        <v>01</v>
      </c>
      <c r="B1267" t="str">
        <f>"T7300"</f>
        <v>T7300</v>
      </c>
      <c r="C1267" t="s">
        <v>380</v>
      </c>
      <c r="D1267">
        <v>72339</v>
      </c>
      <c r="E1267" s="2">
        <v>700</v>
      </c>
      <c r="F1267" s="1">
        <v>42976</v>
      </c>
      <c r="G1267" t="str">
        <f>"127643"</f>
        <v>127643</v>
      </c>
      <c r="H1267" t="str">
        <f>"2017 ANN CRIM &amp; CIV LAW UPDATE"</f>
        <v>2017 ANN CRIM &amp; CIV LAW UPDATE</v>
      </c>
      <c r="I1267" s="2">
        <v>350</v>
      </c>
      <c r="J1267" t="str">
        <f>"2017 ANN CRIM &amp; CIV LAW UPDATE"</f>
        <v>2017 ANN CRIM &amp; CIV LAW UPDATE</v>
      </c>
    </row>
    <row r="1268" spans="1:10" x14ac:dyDescent="0.3">
      <c r="A1268" t="str">
        <f>""</f>
        <v/>
      </c>
      <c r="B1268" t="str">
        <f>""</f>
        <v/>
      </c>
      <c r="G1268" t="str">
        <f>"127651"</f>
        <v>127651</v>
      </c>
      <c r="H1268" t="str">
        <f>"2017 ANN CRIM &amp; CIV LAW UPDATE"</f>
        <v>2017 ANN CRIM &amp; CIV LAW UPDATE</v>
      </c>
      <c r="I1268" s="2">
        <v>350</v>
      </c>
      <c r="J1268" t="str">
        <f>"2017 ANN CRIM &amp; CIV LAW UPDATE"</f>
        <v>2017 ANN CRIM &amp; CIV LAW UPDATE</v>
      </c>
    </row>
    <row r="1269" spans="1:10" x14ac:dyDescent="0.3">
      <c r="A1269" t="str">
        <f>"01"</f>
        <v>01</v>
      </c>
      <c r="B1269" t="str">
        <f>"T8745"</f>
        <v>T8745</v>
      </c>
      <c r="C1269" t="s">
        <v>381</v>
      </c>
      <c r="D1269">
        <v>72340</v>
      </c>
      <c r="E1269" s="2">
        <v>193</v>
      </c>
      <c r="F1269" s="1">
        <v>42976</v>
      </c>
      <c r="G1269" t="str">
        <f>"1709056"</f>
        <v>1709056</v>
      </c>
      <c r="H1269" t="str">
        <f>"MONTHLY MAINT AGREEMENT"</f>
        <v>MONTHLY MAINT AGREEMENT</v>
      </c>
      <c r="I1269" s="2">
        <v>193</v>
      </c>
      <c r="J1269" t="str">
        <f>"MONTHLY MAINT AGREEMENT"</f>
        <v>MONTHLY MAINT AGREEMENT</v>
      </c>
    </row>
    <row r="1270" spans="1:10" x14ac:dyDescent="0.3">
      <c r="A1270" t="str">
        <f>"01"</f>
        <v>01</v>
      </c>
      <c r="B1270" t="str">
        <f>"003281"</f>
        <v>003281</v>
      </c>
      <c r="C1270" t="s">
        <v>382</v>
      </c>
      <c r="D1270">
        <v>72341</v>
      </c>
      <c r="E1270" s="2">
        <v>8758.2199999999993</v>
      </c>
      <c r="F1270" s="1">
        <v>42976</v>
      </c>
      <c r="G1270" t="str">
        <f>"0000838"</f>
        <v>0000838</v>
      </c>
      <c r="H1270" t="str">
        <f>"16061"</f>
        <v>16061</v>
      </c>
      <c r="I1270" s="2">
        <v>8758.2199999999993</v>
      </c>
      <c r="J1270" t="str">
        <f>"16061"</f>
        <v>16061</v>
      </c>
    </row>
    <row r="1271" spans="1:10" x14ac:dyDescent="0.3">
      <c r="A1271" t="str">
        <f>"01"</f>
        <v>01</v>
      </c>
      <c r="B1271" t="str">
        <f>"002878"</f>
        <v>002878</v>
      </c>
      <c r="C1271" t="s">
        <v>383</v>
      </c>
      <c r="D1271">
        <v>72106</v>
      </c>
      <c r="E1271" s="2">
        <v>1075</v>
      </c>
      <c r="F1271" s="1">
        <v>42961</v>
      </c>
      <c r="G1271" t="str">
        <f>"T928814"</f>
        <v>T928814</v>
      </c>
      <c r="H1271" t="str">
        <f>"Inv# T928814"</f>
        <v>Inv# T928814</v>
      </c>
      <c r="I1271" s="2">
        <v>1075</v>
      </c>
      <c r="J1271" t="str">
        <f>"Inv# T928814"</f>
        <v>Inv# T928814</v>
      </c>
    </row>
    <row r="1272" spans="1:10" x14ac:dyDescent="0.3">
      <c r="A1272" t="str">
        <f>"01"</f>
        <v>01</v>
      </c>
      <c r="B1272" t="str">
        <f>"T13574"</f>
        <v>T13574</v>
      </c>
      <c r="C1272" t="s">
        <v>384</v>
      </c>
      <c r="D1272">
        <v>72009</v>
      </c>
      <c r="E1272" s="2">
        <v>109.9</v>
      </c>
      <c r="F1272" s="1">
        <v>42961</v>
      </c>
      <c r="G1272" t="str">
        <f>"69617/69628"</f>
        <v>69617/69628</v>
      </c>
      <c r="H1272" t="str">
        <f>"ACCT#63275/CUST ID#BASC01"</f>
        <v>ACCT#63275/CUST ID#BASC01</v>
      </c>
      <c r="I1272" s="2">
        <v>109.9</v>
      </c>
      <c r="J1272" t="str">
        <f>"ACCT#63275/CUST ID#BASC01"</f>
        <v>ACCT#63275/CUST ID#BASC01</v>
      </c>
    </row>
    <row r="1273" spans="1:10" x14ac:dyDescent="0.3">
      <c r="A1273" t="str">
        <f>"01"</f>
        <v>01</v>
      </c>
      <c r="B1273" t="str">
        <f>"T6855"</f>
        <v>T6855</v>
      </c>
      <c r="C1273" t="s">
        <v>385</v>
      </c>
      <c r="D1273">
        <v>72107</v>
      </c>
      <c r="E1273" s="2">
        <v>9898.56</v>
      </c>
      <c r="F1273" s="1">
        <v>42961</v>
      </c>
      <c r="G1273" t="str">
        <f>"0663352-IN"</f>
        <v>0663352-IN</v>
      </c>
      <c r="H1273" t="str">
        <f>"CUST#01-0112917/PCT#3"</f>
        <v>CUST#01-0112917/PCT#3</v>
      </c>
      <c r="I1273" s="2">
        <v>3727.37</v>
      </c>
      <c r="J1273" t="str">
        <f>"CUST#01-0112917/PCT#3"</f>
        <v>CUST#01-0112917/PCT#3</v>
      </c>
    </row>
    <row r="1274" spans="1:10" x14ac:dyDescent="0.3">
      <c r="A1274" t="str">
        <f>""</f>
        <v/>
      </c>
      <c r="B1274" t="str">
        <f>""</f>
        <v/>
      </c>
      <c r="G1274" t="str">
        <f>"0664072-IN"</f>
        <v>0664072-IN</v>
      </c>
      <c r="H1274" t="str">
        <f>"CUST#01-0112917/ITEM#204200"</f>
        <v>CUST#01-0112917/ITEM#204200</v>
      </c>
      <c r="I1274" s="2">
        <v>2836.68</v>
      </c>
      <c r="J1274" t="str">
        <f>"CUST#01-0112917/ITEM#204200"</f>
        <v>CUST#01-0112917/ITEM#204200</v>
      </c>
    </row>
    <row r="1275" spans="1:10" x14ac:dyDescent="0.3">
      <c r="A1275" t="str">
        <f>""</f>
        <v/>
      </c>
      <c r="B1275" t="str">
        <f>""</f>
        <v/>
      </c>
      <c r="G1275" t="str">
        <f>"0666376-IN"</f>
        <v>0666376-IN</v>
      </c>
      <c r="H1275" t="str">
        <f>"BOL#242266/IT#204200/PCT#3"</f>
        <v>BOL#242266/IT#204200/PCT#3</v>
      </c>
      <c r="I1275" s="2">
        <v>3334.51</v>
      </c>
      <c r="J1275" t="str">
        <f>"BOL#242266/IT#204200/PCT#3"</f>
        <v>BOL#242266/IT#204200/PCT#3</v>
      </c>
    </row>
    <row r="1276" spans="1:10" x14ac:dyDescent="0.3">
      <c r="A1276" t="str">
        <f>"01"</f>
        <v>01</v>
      </c>
      <c r="B1276" t="str">
        <f>"T6855"</f>
        <v>T6855</v>
      </c>
      <c r="C1276" t="s">
        <v>385</v>
      </c>
      <c r="D1276">
        <v>72342</v>
      </c>
      <c r="E1276" s="2">
        <v>8350.84</v>
      </c>
      <c r="F1276" s="1">
        <v>42976</v>
      </c>
      <c r="G1276" t="str">
        <f>"0668996-IN"</f>
        <v>0668996-IN</v>
      </c>
      <c r="H1276" t="str">
        <f>"ACCT#01-0112917/PCT#2"</f>
        <v>ACCT#01-0112917/PCT#2</v>
      </c>
      <c r="I1276" s="2">
        <v>2956.68</v>
      </c>
      <c r="J1276" t="str">
        <f>"ACCT#01-0112917/PCT#2"</f>
        <v>ACCT#01-0112917/PCT#2</v>
      </c>
    </row>
    <row r="1277" spans="1:10" x14ac:dyDescent="0.3">
      <c r="A1277" t="str">
        <f>""</f>
        <v/>
      </c>
      <c r="B1277" t="str">
        <f>""</f>
        <v/>
      </c>
      <c r="G1277" t="str">
        <f>"0669425-IN"</f>
        <v>0669425-IN</v>
      </c>
      <c r="H1277" t="str">
        <f>"CUST#01-0112917/PCT#3"</f>
        <v>CUST#01-0112917/PCT#3</v>
      </c>
      <c r="I1277" s="2">
        <v>3474.16</v>
      </c>
      <c r="J1277" t="str">
        <f>"CUST#01-0112917/PCT#3"</f>
        <v>CUST#01-0112917/PCT#3</v>
      </c>
    </row>
    <row r="1278" spans="1:10" x14ac:dyDescent="0.3">
      <c r="A1278" t="str">
        <f>""</f>
        <v/>
      </c>
      <c r="B1278" t="str">
        <f>""</f>
        <v/>
      </c>
      <c r="G1278" t="str">
        <f>"0671729-IN"</f>
        <v>0671729-IN</v>
      </c>
      <c r="H1278" t="str">
        <f>"CUST#01-0112917/PCT#3"</f>
        <v>CUST#01-0112917/PCT#3</v>
      </c>
      <c r="I1278" s="2">
        <v>1920</v>
      </c>
      <c r="J1278" t="str">
        <f>"CUST#01-0112917/PCT#3"</f>
        <v>CUST#01-0112917/PCT#3</v>
      </c>
    </row>
    <row r="1279" spans="1:10" x14ac:dyDescent="0.3">
      <c r="A1279" t="str">
        <f>"01"</f>
        <v>01</v>
      </c>
      <c r="B1279" t="str">
        <f>"T14371"</f>
        <v>T14371</v>
      </c>
      <c r="C1279" t="s">
        <v>386</v>
      </c>
      <c r="D1279">
        <v>72108</v>
      </c>
      <c r="E1279" s="2">
        <v>668.26</v>
      </c>
      <c r="F1279" s="1">
        <v>42961</v>
      </c>
      <c r="G1279" t="str">
        <f>"201708094177"</f>
        <v>201708094177</v>
      </c>
      <c r="H1279" t="str">
        <f>"INDIGENT HEALTH"</f>
        <v>INDIGENT HEALTH</v>
      </c>
      <c r="I1279" s="2">
        <v>668.26</v>
      </c>
      <c r="J1279" t="str">
        <f>"INDIGENT HEALTH"</f>
        <v>INDIGENT HEALTH</v>
      </c>
    </row>
    <row r="1280" spans="1:10" x14ac:dyDescent="0.3">
      <c r="A1280" t="str">
        <f>""</f>
        <v/>
      </c>
      <c r="B1280" t="str">
        <f>""</f>
        <v/>
      </c>
      <c r="G1280" t="str">
        <f>""</f>
        <v/>
      </c>
      <c r="H1280" t="str">
        <f>""</f>
        <v/>
      </c>
      <c r="J1280" t="str">
        <f>"INDIGENT HEALTH"</f>
        <v>INDIGENT HEALTH</v>
      </c>
    </row>
    <row r="1281" spans="1:11" x14ac:dyDescent="0.3">
      <c r="A1281" t="str">
        <f>"01"</f>
        <v>01</v>
      </c>
      <c r="B1281" t="str">
        <f>"T14371"</f>
        <v>T14371</v>
      </c>
      <c r="C1281" t="s">
        <v>386</v>
      </c>
      <c r="D1281">
        <v>72343</v>
      </c>
      <c r="E1281" s="2">
        <v>481.51</v>
      </c>
      <c r="F1281" s="1">
        <v>42976</v>
      </c>
      <c r="G1281" t="str">
        <f>"201708234409"</f>
        <v>201708234409</v>
      </c>
      <c r="H1281" t="str">
        <f>"INDIGENT HEALTH"</f>
        <v>INDIGENT HEALTH</v>
      </c>
      <c r="I1281" s="2">
        <v>481.51</v>
      </c>
      <c r="J1281" t="str">
        <f>"INDIGENT HEALTH"</f>
        <v>INDIGENT HEALTH</v>
      </c>
    </row>
    <row r="1282" spans="1:11" x14ac:dyDescent="0.3">
      <c r="A1282" t="str">
        <f>""</f>
        <v/>
      </c>
      <c r="B1282" t="str">
        <f>""</f>
        <v/>
      </c>
      <c r="G1282" t="str">
        <f>""</f>
        <v/>
      </c>
      <c r="H1282" t="str">
        <f>""</f>
        <v/>
      </c>
      <c r="J1282" t="str">
        <f>"INDIGENT HEALTH"</f>
        <v>INDIGENT HEALTH</v>
      </c>
    </row>
    <row r="1283" spans="1:11" x14ac:dyDescent="0.3">
      <c r="A1283" t="str">
        <f>"01"</f>
        <v>01</v>
      </c>
      <c r="B1283" t="str">
        <f>"TXAGG"</f>
        <v>TXAGG</v>
      </c>
      <c r="C1283" t="s">
        <v>387</v>
      </c>
      <c r="D1283">
        <v>999999</v>
      </c>
      <c r="E1283" s="2">
        <v>846.3</v>
      </c>
      <c r="F1283" s="1">
        <v>42961</v>
      </c>
      <c r="G1283" t="str">
        <f>"89803"</f>
        <v>89803</v>
      </c>
      <c r="H1283" t="str">
        <f>"TCKT#1046045/1046119/1046147"</f>
        <v>TCKT#1046045/1046119/1046147</v>
      </c>
      <c r="I1283" s="2">
        <v>846.3</v>
      </c>
      <c r="J1283" t="str">
        <f>"TCKT#1046045/1046119/1046147"</f>
        <v>TCKT#1046045/1046119/1046147</v>
      </c>
    </row>
    <row r="1284" spans="1:11" x14ac:dyDescent="0.3">
      <c r="A1284" t="str">
        <f>"01"</f>
        <v>01</v>
      </c>
      <c r="B1284" t="str">
        <f>"004134"</f>
        <v>004134</v>
      </c>
      <c r="C1284" t="s">
        <v>388</v>
      </c>
      <c r="D1284">
        <v>71894</v>
      </c>
      <c r="E1284" s="2">
        <v>1983.3</v>
      </c>
      <c r="F1284" s="1">
        <v>42954</v>
      </c>
      <c r="G1284" t="str">
        <f>"1632596-BAS"</f>
        <v>1632596-BAS</v>
      </c>
      <c r="H1284" t="str">
        <f>"375 E RIVERSIDE DRIVE"</f>
        <v>375 E RIVERSIDE DRIVE</v>
      </c>
      <c r="I1284" s="2">
        <v>1983.3</v>
      </c>
      <c r="J1284" t="str">
        <f>"TX AMERICAN TITLE COMPANY - IN"</f>
        <v>TX AMERICAN TITLE COMPANY - IN</v>
      </c>
    </row>
    <row r="1285" spans="1:11" x14ac:dyDescent="0.3">
      <c r="A1285" t="str">
        <f>"01"</f>
        <v>01</v>
      </c>
      <c r="B1285" t="str">
        <f>"001468"</f>
        <v>001468</v>
      </c>
      <c r="C1285" t="s">
        <v>389</v>
      </c>
      <c r="D1285">
        <v>72109</v>
      </c>
      <c r="E1285" s="2">
        <v>250</v>
      </c>
      <c r="F1285" s="1">
        <v>42961</v>
      </c>
      <c r="G1285" t="str">
        <f>"AUG BOND RENEWALS"</f>
        <v>AUG BOND RENEWALS</v>
      </c>
      <c r="H1285" t="str">
        <f>"AUGUST BOND RENEWALS"</f>
        <v>AUGUST BOND RENEWALS</v>
      </c>
      <c r="I1285" s="2">
        <v>250</v>
      </c>
      <c r="J1285" t="str">
        <f>"AUGUST BOND RENEWALS"</f>
        <v>AUGUST BOND RENEWALS</v>
      </c>
    </row>
    <row r="1286" spans="1:11" x14ac:dyDescent="0.3">
      <c r="A1286" t="str">
        <f>"01"</f>
        <v>01</v>
      </c>
      <c r="B1286" t="str">
        <f>"001468"</f>
        <v>001468</v>
      </c>
      <c r="C1286" t="s">
        <v>389</v>
      </c>
      <c r="D1286">
        <v>72344</v>
      </c>
      <c r="E1286" s="2">
        <v>400</v>
      </c>
      <c r="F1286" s="1">
        <v>42976</v>
      </c>
      <c r="G1286" t="str">
        <f>"43685"</f>
        <v>43685</v>
      </c>
      <c r="H1286" t="str">
        <f>"INV 43685"</f>
        <v>INV 43685</v>
      </c>
      <c r="I1286" s="2">
        <v>50</v>
      </c>
      <c r="J1286" t="str">
        <f>"INV 43685"</f>
        <v>INV 43685</v>
      </c>
    </row>
    <row r="1287" spans="1:11" x14ac:dyDescent="0.3">
      <c r="A1287" t="str">
        <f>""</f>
        <v/>
      </c>
      <c r="B1287" t="str">
        <f>""</f>
        <v/>
      </c>
      <c r="G1287" t="str">
        <f>"SEPT BOND RENEWALS"</f>
        <v>SEPT BOND RENEWALS</v>
      </c>
      <c r="H1287" t="str">
        <f>"SEPT. BOND RENEWALS"</f>
        <v>SEPT. BOND RENEWALS</v>
      </c>
      <c r="I1287" s="2">
        <v>350</v>
      </c>
      <c r="J1287" t="str">
        <f>"SEPT. BOND RENEWALS"</f>
        <v>SEPT. BOND RENEWALS</v>
      </c>
    </row>
    <row r="1288" spans="1:11" x14ac:dyDescent="0.3">
      <c r="A1288" t="str">
        <f>"01"</f>
        <v>01</v>
      </c>
      <c r="B1288" t="str">
        <f>"002122"</f>
        <v>002122</v>
      </c>
      <c r="C1288" t="s">
        <v>390</v>
      </c>
      <c r="D1288">
        <v>999999</v>
      </c>
      <c r="E1288" s="2">
        <v>131.43</v>
      </c>
      <c r="F1288" s="1">
        <v>42961</v>
      </c>
      <c r="G1288" t="str">
        <f>"201708044018"</f>
        <v>201708044018</v>
      </c>
      <c r="H1288" t="str">
        <f>"ACCT#0005/PCT#4"</f>
        <v>ACCT#0005/PCT#4</v>
      </c>
      <c r="I1288" s="2">
        <v>125.87</v>
      </c>
      <c r="J1288" t="str">
        <f>"ACCT#0005/PCT#4"</f>
        <v>ACCT#0005/PCT#4</v>
      </c>
    </row>
    <row r="1289" spans="1:11" x14ac:dyDescent="0.3">
      <c r="A1289" t="str">
        <f>""</f>
        <v/>
      </c>
      <c r="B1289" t="str">
        <f>""</f>
        <v/>
      </c>
      <c r="G1289" t="str">
        <f>"201708074106"</f>
        <v>201708074106</v>
      </c>
      <c r="H1289" t="str">
        <f>"ACCT#0005/TRANS#A223255"</f>
        <v>ACCT#0005/TRANS#A223255</v>
      </c>
      <c r="I1289" s="2">
        <v>5.56</v>
      </c>
      <c r="J1289" t="str">
        <f>"ACCT#0005/TRANS#A223255"</f>
        <v>ACCT#0005/TRANS#A223255</v>
      </c>
    </row>
    <row r="1290" spans="1:11" x14ac:dyDescent="0.3">
      <c r="A1290" t="str">
        <f>"01"</f>
        <v>01</v>
      </c>
      <c r="B1290" t="str">
        <f>"TCSC"</f>
        <v>TCSC</v>
      </c>
      <c r="C1290" t="s">
        <v>391</v>
      </c>
      <c r="D1290">
        <v>72391</v>
      </c>
      <c r="E1290" s="2">
        <v>5595.98</v>
      </c>
      <c r="F1290" s="1">
        <v>42976</v>
      </c>
      <c r="G1290" t="str">
        <f>"34211-APCA"</f>
        <v>34211-APCA</v>
      </c>
      <c r="H1290" t="str">
        <f>"CUST#1571/PCT#2"</f>
        <v>CUST#1571/PCT#2</v>
      </c>
      <c r="I1290" s="2">
        <v>1876.35</v>
      </c>
      <c r="J1290" t="str">
        <f>"CUST#1571/PCT#2"</f>
        <v>CUST#1571/PCT#2</v>
      </c>
    </row>
    <row r="1291" spans="1:11" x14ac:dyDescent="0.3">
      <c r="A1291" t="str">
        <f>""</f>
        <v/>
      </c>
      <c r="B1291" t="str">
        <f>""</f>
        <v/>
      </c>
      <c r="G1291" t="str">
        <f>"34212-APCA"</f>
        <v>34212-APCA</v>
      </c>
      <c r="H1291" t="str">
        <f>"CUST#1571/PCT#2"</f>
        <v>CUST#1571/PCT#2</v>
      </c>
      <c r="I1291" s="2">
        <v>911.11</v>
      </c>
      <c r="J1291" t="str">
        <f>"CUST#1571/PCT#2"</f>
        <v>CUST#1571/PCT#2</v>
      </c>
    </row>
    <row r="1292" spans="1:11" x14ac:dyDescent="0.3">
      <c r="A1292" t="str">
        <f>""</f>
        <v/>
      </c>
      <c r="B1292" t="str">
        <f>""</f>
        <v/>
      </c>
      <c r="G1292" t="str">
        <f>"34412-APCA"</f>
        <v>34412-APCA</v>
      </c>
      <c r="H1292" t="str">
        <f>"CUST#1571/PCT#2"</f>
        <v>CUST#1571/PCT#2</v>
      </c>
      <c r="I1292" s="2">
        <v>1888.9</v>
      </c>
      <c r="J1292" t="str">
        <f>"CUST#1571/PCT#2"</f>
        <v>CUST#1571/PCT#2</v>
      </c>
    </row>
    <row r="1293" spans="1:11" x14ac:dyDescent="0.3">
      <c r="A1293" t="str">
        <f>""</f>
        <v/>
      </c>
      <c r="B1293" t="str">
        <f>""</f>
        <v/>
      </c>
      <c r="G1293" t="str">
        <f>"34413-APCA"</f>
        <v>34413-APCA</v>
      </c>
      <c r="H1293" t="str">
        <f>"CUST#1571/PCT#2"</f>
        <v>CUST#1571/PCT#2</v>
      </c>
      <c r="I1293" s="2">
        <v>919.62</v>
      </c>
      <c r="J1293" t="str">
        <f>"CUST#1571/PCT#2"</f>
        <v>CUST#1571/PCT#2</v>
      </c>
    </row>
    <row r="1294" spans="1:11" x14ac:dyDescent="0.3">
      <c r="A1294" t="str">
        <f>"01"</f>
        <v>01</v>
      </c>
      <c r="B1294" t="str">
        <f>"001721"</f>
        <v>001721</v>
      </c>
      <c r="C1294" t="s">
        <v>392</v>
      </c>
      <c r="D1294">
        <v>72110</v>
      </c>
      <c r="E1294" s="2">
        <v>44</v>
      </c>
      <c r="F1294" s="1">
        <v>42961</v>
      </c>
      <c r="G1294" t="str">
        <f>"CRS-201706-123535"</f>
        <v>CRS-201706-123535</v>
      </c>
      <c r="H1294" t="str">
        <f>"CCH NAME SEARCH"</f>
        <v>CCH NAME SEARCH</v>
      </c>
      <c r="I1294" s="2">
        <v>44</v>
      </c>
      <c r="J1294" t="str">
        <f>"CCH NAME SEARCH"</f>
        <v>CCH NAME SEARCH</v>
      </c>
    </row>
    <row r="1295" spans="1:11" x14ac:dyDescent="0.3">
      <c r="A1295" t="str">
        <f>"01"</f>
        <v>01</v>
      </c>
      <c r="B1295" t="str">
        <f>"002354"</f>
        <v>002354</v>
      </c>
      <c r="C1295" t="s">
        <v>392</v>
      </c>
      <c r="D1295">
        <v>72111</v>
      </c>
      <c r="E1295" s="2">
        <v>115</v>
      </c>
      <c r="F1295" s="1">
        <v>42961</v>
      </c>
      <c r="G1295" t="s">
        <v>393</v>
      </c>
      <c r="H1295" t="s">
        <v>394</v>
      </c>
      <c r="I1295" s="2" t="str">
        <f>"RESTITUTION-J. MCCLENDON"</f>
        <v>RESTITUTION-J. MCCLENDON</v>
      </c>
      <c r="J1295" t="str">
        <f>"210-0000"</f>
        <v>210-0000</v>
      </c>
      <c r="K1295">
        <v>115</v>
      </c>
    </row>
    <row r="1296" spans="1:11" x14ac:dyDescent="0.3">
      <c r="A1296" t="str">
        <f>"01"</f>
        <v>01</v>
      </c>
      <c r="B1296" t="str">
        <f>"002803"</f>
        <v>002803</v>
      </c>
      <c r="C1296" t="s">
        <v>395</v>
      </c>
      <c r="D1296">
        <v>72358</v>
      </c>
      <c r="E1296" s="2">
        <v>500</v>
      </c>
      <c r="F1296" s="1">
        <v>42976</v>
      </c>
      <c r="G1296" t="str">
        <f>"6883"</f>
        <v>6883</v>
      </c>
      <c r="H1296" t="str">
        <f>"2017 ANNUAL CONF-A. LEWIS"</f>
        <v>2017 ANNUAL CONF-A. LEWIS</v>
      </c>
      <c r="I1296" s="2">
        <v>500</v>
      </c>
      <c r="J1296" t="str">
        <f>"2017 ANNUAL CONF-A. LEWIS"</f>
        <v>2017 ANNUAL CONF-A. LEWIS</v>
      </c>
    </row>
    <row r="1297" spans="1:10" x14ac:dyDescent="0.3">
      <c r="A1297" t="str">
        <f>"01"</f>
        <v>01</v>
      </c>
      <c r="B1297" t="str">
        <f>"T8936"</f>
        <v>T8936</v>
      </c>
      <c r="C1297" t="s">
        <v>396</v>
      </c>
      <c r="D1297">
        <v>72112</v>
      </c>
      <c r="E1297" s="2">
        <v>525</v>
      </c>
      <c r="F1297" s="1">
        <v>42961</v>
      </c>
      <c r="G1297" t="str">
        <f>"200007222"</f>
        <v>200007222</v>
      </c>
      <c r="H1297" t="str">
        <f>"CONFERENCE-B.RETZLAFF"</f>
        <v>CONFERENCE-B.RETZLAFF</v>
      </c>
      <c r="I1297" s="2">
        <v>525</v>
      </c>
      <c r="J1297" t="str">
        <f>"CONFERENCE-B.RETZLAFF"</f>
        <v>CONFERENCE-B.RETZLAFF</v>
      </c>
    </row>
    <row r="1298" spans="1:10" x14ac:dyDescent="0.3">
      <c r="A1298" t="str">
        <f>"01"</f>
        <v>01</v>
      </c>
      <c r="B1298" t="str">
        <f>"002974"</f>
        <v>002974</v>
      </c>
      <c r="C1298" t="s">
        <v>397</v>
      </c>
      <c r="D1298">
        <v>72345</v>
      </c>
      <c r="E1298" s="2">
        <v>2762.5</v>
      </c>
      <c r="F1298" s="1">
        <v>42976</v>
      </c>
      <c r="G1298" t="str">
        <f>"266"</f>
        <v>266</v>
      </c>
      <c r="H1298" t="str">
        <f>"ADVERTISING-TX HGWAYS MAG"</f>
        <v>ADVERTISING-TX HGWAYS MAG</v>
      </c>
      <c r="I1298" s="2">
        <v>262.5</v>
      </c>
      <c r="J1298" t="str">
        <f>"ADVERTISING-TX HGWAYS MAG"</f>
        <v>ADVERTISING-TX HGWAYS MAG</v>
      </c>
    </row>
    <row r="1299" spans="1:10" x14ac:dyDescent="0.3">
      <c r="A1299" t="str">
        <f>""</f>
        <v/>
      </c>
      <c r="B1299" t="str">
        <f>""</f>
        <v/>
      </c>
      <c r="G1299" t="str">
        <f>"271"</f>
        <v>271</v>
      </c>
      <c r="H1299" t="str">
        <f>"2016-2017 TEXAN BENEFITS"</f>
        <v>2016-2017 TEXAN BENEFITS</v>
      </c>
      <c r="I1299" s="2">
        <v>2500</v>
      </c>
      <c r="J1299" t="str">
        <f>"2016-2017 TEXAN BENEFITS"</f>
        <v>2016-2017 TEXAN BENEFITS</v>
      </c>
    </row>
    <row r="1300" spans="1:10" x14ac:dyDescent="0.3">
      <c r="A1300" t="str">
        <f>"01"</f>
        <v>01</v>
      </c>
      <c r="B1300" t="str">
        <f>"T7170"</f>
        <v>T7170</v>
      </c>
      <c r="C1300" t="s">
        <v>398</v>
      </c>
      <c r="D1300">
        <v>72113</v>
      </c>
      <c r="E1300" s="2">
        <v>472.5</v>
      </c>
      <c r="F1300" s="1">
        <v>42961</v>
      </c>
      <c r="G1300" t="str">
        <f>"3CO-2885-17"</f>
        <v>3CO-2885-17</v>
      </c>
      <c r="H1300" t="str">
        <f>"A-13025-ESTRADA"</f>
        <v>A-13025-ESTRADA</v>
      </c>
      <c r="I1300" s="2">
        <v>114.75</v>
      </c>
      <c r="J1300" t="str">
        <f>"A-13025-ESTRADA"</f>
        <v>A-13025-ESTRADA</v>
      </c>
    </row>
    <row r="1301" spans="1:10" x14ac:dyDescent="0.3">
      <c r="A1301" t="str">
        <f>""</f>
        <v/>
      </c>
      <c r="B1301" t="str">
        <f>""</f>
        <v/>
      </c>
      <c r="G1301" t="str">
        <f>"J2-47920"</f>
        <v>J2-47920</v>
      </c>
      <c r="H1301" t="str">
        <f>"A13025 - L ESTRADA"</f>
        <v>A13025 - L ESTRADA</v>
      </c>
      <c r="I1301" s="2">
        <v>81</v>
      </c>
      <c r="J1301" t="str">
        <f>"A13025 - L ESTRADA"</f>
        <v>A13025 - L ESTRADA</v>
      </c>
    </row>
    <row r="1302" spans="1:10" x14ac:dyDescent="0.3">
      <c r="A1302" t="str">
        <f>""</f>
        <v/>
      </c>
      <c r="B1302" t="str">
        <f>""</f>
        <v/>
      </c>
      <c r="G1302" t="str">
        <f>"J2-48258"</f>
        <v>J2-48258</v>
      </c>
      <c r="H1302" t="str">
        <f>"CITATION# A16591-CAZIEL"</f>
        <v>CITATION# A16591-CAZIEL</v>
      </c>
      <c r="I1302" s="2">
        <v>81</v>
      </c>
      <c r="J1302" t="str">
        <f>"CITATION# A16591-CAZIEL"</f>
        <v>CITATION# A16591-CAZIEL</v>
      </c>
    </row>
    <row r="1303" spans="1:10" x14ac:dyDescent="0.3">
      <c r="A1303" t="str">
        <f>""</f>
        <v/>
      </c>
      <c r="B1303" t="str">
        <f>""</f>
        <v/>
      </c>
      <c r="G1303" t="str">
        <f>"J2-48276"</f>
        <v>J2-48276</v>
      </c>
      <c r="H1303" t="str">
        <f>"A13105-GARCIA"</f>
        <v>A13105-GARCIA</v>
      </c>
      <c r="I1303" s="2">
        <v>81</v>
      </c>
      <c r="J1303" t="str">
        <f>"A13105-GARCIA"</f>
        <v>A13105-GARCIA</v>
      </c>
    </row>
    <row r="1304" spans="1:10" x14ac:dyDescent="0.3">
      <c r="A1304" t="str">
        <f>""</f>
        <v/>
      </c>
      <c r="B1304" t="str">
        <f>""</f>
        <v/>
      </c>
      <c r="G1304" t="str">
        <f>"J2-48282"</f>
        <v>J2-48282</v>
      </c>
      <c r="H1304" t="str">
        <f>"A13109-MEDINA"</f>
        <v>A13109-MEDINA</v>
      </c>
      <c r="I1304" s="2">
        <v>114.75</v>
      </c>
      <c r="J1304" t="str">
        <f>"A13109-MEDINA"</f>
        <v>A13109-MEDINA</v>
      </c>
    </row>
    <row r="1305" spans="1:10" x14ac:dyDescent="0.3">
      <c r="A1305" t="str">
        <f>"01"</f>
        <v>01</v>
      </c>
      <c r="B1305" t="str">
        <f>"T7170"</f>
        <v>T7170</v>
      </c>
      <c r="C1305" t="s">
        <v>398</v>
      </c>
      <c r="D1305">
        <v>72346</v>
      </c>
      <c r="E1305" s="2">
        <v>314.5</v>
      </c>
      <c r="F1305" s="1">
        <v>42976</v>
      </c>
      <c r="G1305" t="str">
        <f>"J2-48634"</f>
        <v>J2-48634</v>
      </c>
      <c r="H1305" t="str">
        <f>"A8207022 SANCHEZ GARCIA"</f>
        <v>A8207022 SANCHEZ GARCIA</v>
      </c>
      <c r="I1305" s="2">
        <v>157.25</v>
      </c>
      <c r="J1305" t="str">
        <f>"A8207022 SANCHEZ GARCIA"</f>
        <v>A8207022 SANCHEZ GARCIA</v>
      </c>
    </row>
    <row r="1306" spans="1:10" x14ac:dyDescent="0.3">
      <c r="A1306" t="str">
        <f>""</f>
        <v/>
      </c>
      <c r="B1306" t="str">
        <f>""</f>
        <v/>
      </c>
      <c r="G1306" t="str">
        <f>"J2-48635"</f>
        <v>J2-48635</v>
      </c>
      <c r="H1306" t="str">
        <f>"A8207022 SANCHEZ GARCIA"</f>
        <v>A8207022 SANCHEZ GARCIA</v>
      </c>
      <c r="I1306" s="2">
        <v>157.25</v>
      </c>
      <c r="J1306" t="str">
        <f>"A8207022 SANCHEZ GARCIA"</f>
        <v>A8207022 SANCHEZ GARCIA</v>
      </c>
    </row>
    <row r="1307" spans="1:10" x14ac:dyDescent="0.3">
      <c r="A1307" t="str">
        <f>"01"</f>
        <v>01</v>
      </c>
      <c r="B1307" t="str">
        <f>"T14476"</f>
        <v>T14476</v>
      </c>
      <c r="C1307" t="s">
        <v>399</v>
      </c>
      <c r="D1307">
        <v>72347</v>
      </c>
      <c r="E1307" s="2">
        <v>432.12</v>
      </c>
      <c r="F1307" s="1">
        <v>42976</v>
      </c>
      <c r="G1307" t="str">
        <f>"170819"</f>
        <v>170819</v>
      </c>
      <c r="H1307" t="str">
        <f>"3RD BOOM SECT BEARING SEAL/PC2"</f>
        <v>3RD BOOM SECT BEARING SEAL/PC2</v>
      </c>
      <c r="I1307" s="2">
        <v>432.12</v>
      </c>
      <c r="J1307" t="str">
        <f>"3RD BOOM SECT BEARING SEAL/PC2"</f>
        <v>3RD BOOM SECT BEARING SEAL/PC2</v>
      </c>
    </row>
    <row r="1308" spans="1:10" x14ac:dyDescent="0.3">
      <c r="A1308" t="str">
        <f>"01"</f>
        <v>01</v>
      </c>
      <c r="B1308" t="str">
        <f>"003850"</f>
        <v>003850</v>
      </c>
      <c r="C1308" t="s">
        <v>400</v>
      </c>
      <c r="D1308">
        <v>72348</v>
      </c>
      <c r="E1308" s="2">
        <v>223.46</v>
      </c>
      <c r="F1308" s="1">
        <v>42976</v>
      </c>
      <c r="G1308" t="str">
        <f>"201708234410"</f>
        <v>201708234410</v>
      </c>
      <c r="H1308" t="str">
        <f>"INDIGENT HEALTH"</f>
        <v>INDIGENT HEALTH</v>
      </c>
      <c r="I1308" s="2">
        <v>223.46</v>
      </c>
      <c r="J1308" t="str">
        <f>"INDIGENT HEALTH"</f>
        <v>INDIGENT HEALTH</v>
      </c>
    </row>
    <row r="1309" spans="1:10" x14ac:dyDescent="0.3">
      <c r="A1309" t="str">
        <f>"01"</f>
        <v>01</v>
      </c>
      <c r="B1309" t="str">
        <f>"004858"</f>
        <v>004858</v>
      </c>
      <c r="C1309" t="s">
        <v>401</v>
      </c>
      <c r="D1309">
        <v>72173</v>
      </c>
      <c r="E1309" s="2">
        <v>834.4</v>
      </c>
      <c r="F1309" s="1">
        <v>42971</v>
      </c>
      <c r="G1309" t="str">
        <f>"E10556"</f>
        <v>E10556</v>
      </c>
      <c r="H1309" t="str">
        <f>"PRECINCT 4 SHIRTS"</f>
        <v>PRECINCT 4 SHIRTS</v>
      </c>
      <c r="I1309" s="2">
        <v>834.4</v>
      </c>
      <c r="J1309" t="str">
        <f>"PRECINCT 4 SHIRTS"</f>
        <v>PRECINCT 4 SHIRTS</v>
      </c>
    </row>
    <row r="1310" spans="1:10" x14ac:dyDescent="0.3">
      <c r="A1310" t="str">
        <f>"01"</f>
        <v>01</v>
      </c>
      <c r="B1310" t="str">
        <f>"003946"</f>
        <v>003946</v>
      </c>
      <c r="C1310" t="s">
        <v>402</v>
      </c>
      <c r="D1310">
        <v>72114</v>
      </c>
      <c r="E1310" s="2">
        <v>1050</v>
      </c>
      <c r="F1310" s="1">
        <v>42961</v>
      </c>
      <c r="G1310" t="str">
        <f>"201707283937"</f>
        <v>201707283937</v>
      </c>
      <c r="H1310" t="str">
        <f>"55 010"</f>
        <v>55 010</v>
      </c>
      <c r="I1310" s="2">
        <v>250</v>
      </c>
      <c r="J1310" t="str">
        <f>"55 010"</f>
        <v>55 010</v>
      </c>
    </row>
    <row r="1311" spans="1:10" x14ac:dyDescent="0.3">
      <c r="A1311" t="str">
        <f>""</f>
        <v/>
      </c>
      <c r="B1311" t="str">
        <f>""</f>
        <v/>
      </c>
      <c r="G1311" t="str">
        <f>"201707283938"</f>
        <v>201707283938</v>
      </c>
      <c r="H1311" t="str">
        <f>"55 086"</f>
        <v>55 086</v>
      </c>
      <c r="I1311" s="2">
        <v>250</v>
      </c>
      <c r="J1311" t="str">
        <f>"55 086"</f>
        <v>55 086</v>
      </c>
    </row>
    <row r="1312" spans="1:10" x14ac:dyDescent="0.3">
      <c r="A1312" t="str">
        <f>""</f>
        <v/>
      </c>
      <c r="B1312" t="str">
        <f>""</f>
        <v/>
      </c>
      <c r="G1312" t="str">
        <f>"201708094260"</f>
        <v>201708094260</v>
      </c>
      <c r="H1312" t="str">
        <f>"55 108"</f>
        <v>55 108</v>
      </c>
      <c r="I1312" s="2">
        <v>250</v>
      </c>
      <c r="J1312" t="str">
        <f>"55 108"</f>
        <v>55 108</v>
      </c>
    </row>
    <row r="1313" spans="1:10" x14ac:dyDescent="0.3">
      <c r="A1313" t="str">
        <f>""</f>
        <v/>
      </c>
      <c r="B1313" t="str">
        <f>""</f>
        <v/>
      </c>
      <c r="G1313" t="str">
        <f>"201708094261"</f>
        <v>201708094261</v>
      </c>
      <c r="H1313" t="str">
        <f>"02-0704-6"</f>
        <v>02-0704-6</v>
      </c>
      <c r="I1313" s="2">
        <v>50</v>
      </c>
      <c r="J1313" t="str">
        <f>"02-0704-6"</f>
        <v>02-0704-6</v>
      </c>
    </row>
    <row r="1314" spans="1:10" x14ac:dyDescent="0.3">
      <c r="A1314" t="str">
        <f>""</f>
        <v/>
      </c>
      <c r="B1314" t="str">
        <f>""</f>
        <v/>
      </c>
      <c r="G1314" t="str">
        <f>"201708094262"</f>
        <v>201708094262</v>
      </c>
      <c r="H1314" t="str">
        <f>"54 662"</f>
        <v>54 662</v>
      </c>
      <c r="I1314" s="2">
        <v>250</v>
      </c>
      <c r="J1314" t="str">
        <f>"54 662"</f>
        <v>54 662</v>
      </c>
    </row>
    <row r="1315" spans="1:10" x14ac:dyDescent="0.3">
      <c r="A1315" t="str">
        <f>"01"</f>
        <v>01</v>
      </c>
      <c r="B1315" t="str">
        <f>"005194"</f>
        <v>005194</v>
      </c>
      <c r="C1315" t="s">
        <v>403</v>
      </c>
      <c r="D1315">
        <v>72349</v>
      </c>
      <c r="E1315" s="2">
        <v>278</v>
      </c>
      <c r="F1315" s="1">
        <v>42976</v>
      </c>
      <c r="G1315" t="str">
        <f>"201708234376"</f>
        <v>201708234376</v>
      </c>
      <c r="H1315" t="str">
        <f>"JOB#710001"</f>
        <v>JOB#710001</v>
      </c>
      <c r="I1315" s="2">
        <v>278</v>
      </c>
      <c r="J1315" t="str">
        <f>"JOB#710001"</f>
        <v>JOB#710001</v>
      </c>
    </row>
    <row r="1316" spans="1:10" x14ac:dyDescent="0.3">
      <c r="A1316" t="str">
        <f>"01"</f>
        <v>01</v>
      </c>
      <c r="B1316" t="str">
        <f>"002317"</f>
        <v>002317</v>
      </c>
      <c r="C1316" t="s">
        <v>404</v>
      </c>
      <c r="D1316">
        <v>0</v>
      </c>
      <c r="E1316" s="2">
        <v>250</v>
      </c>
      <c r="F1316" s="1">
        <v>42975</v>
      </c>
      <c r="G1316" t="str">
        <f>"201708234431"</f>
        <v>201708234431</v>
      </c>
      <c r="H1316" t="str">
        <f>"407036-2M"</f>
        <v>407036-2M</v>
      </c>
      <c r="I1316" s="2">
        <v>250</v>
      </c>
      <c r="J1316" t="str">
        <f>"407036-2M"</f>
        <v>407036-2M</v>
      </c>
    </row>
    <row r="1317" spans="1:10" x14ac:dyDescent="0.3">
      <c r="A1317" t="str">
        <f>"01"</f>
        <v>01</v>
      </c>
      <c r="B1317" t="str">
        <f>"002317"</f>
        <v>002317</v>
      </c>
      <c r="C1317" t="s">
        <v>404</v>
      </c>
      <c r="D1317">
        <v>72350</v>
      </c>
      <c r="E1317" s="2">
        <v>2200</v>
      </c>
      <c r="F1317" s="1">
        <v>42976</v>
      </c>
      <c r="G1317" t="str">
        <f>"201708224341"</f>
        <v>201708224341</v>
      </c>
      <c r="H1317" t="str">
        <f>"407036-3M"</f>
        <v>407036-3M</v>
      </c>
      <c r="I1317" s="2">
        <v>400</v>
      </c>
      <c r="J1317" t="str">
        <f>"407036-3M"</f>
        <v>407036-3M</v>
      </c>
    </row>
    <row r="1318" spans="1:10" x14ac:dyDescent="0.3">
      <c r="A1318" t="str">
        <f>""</f>
        <v/>
      </c>
      <c r="B1318" t="str">
        <f>""</f>
        <v/>
      </c>
      <c r="G1318" t="str">
        <f>"201708224342"</f>
        <v>201708224342</v>
      </c>
      <c r="H1318" t="str">
        <f>"AC2017-0330"</f>
        <v>AC2017-0330</v>
      </c>
      <c r="I1318" s="2">
        <v>400</v>
      </c>
      <c r="J1318" t="str">
        <f>"AC2017-0330"</f>
        <v>AC2017-0330</v>
      </c>
    </row>
    <row r="1319" spans="1:10" x14ac:dyDescent="0.3">
      <c r="A1319" t="str">
        <f>""</f>
        <v/>
      </c>
      <c r="B1319" t="str">
        <f>""</f>
        <v/>
      </c>
      <c r="G1319" t="str">
        <f>"201708224343"</f>
        <v>201708224343</v>
      </c>
      <c r="H1319" t="str">
        <f>"406176-IM"</f>
        <v>406176-IM</v>
      </c>
      <c r="I1319" s="2">
        <v>400</v>
      </c>
      <c r="J1319" t="str">
        <f>"406176-IM"</f>
        <v>406176-IM</v>
      </c>
    </row>
    <row r="1320" spans="1:10" x14ac:dyDescent="0.3">
      <c r="A1320" t="str">
        <f>""</f>
        <v/>
      </c>
      <c r="B1320" t="str">
        <f>""</f>
        <v/>
      </c>
      <c r="G1320" t="str">
        <f>"201708224344"</f>
        <v>201708224344</v>
      </c>
      <c r="H1320" t="str">
        <f>"16 177  AC-2017-0704"</f>
        <v>16 177  AC-2017-0704</v>
      </c>
      <c r="I1320" s="2">
        <v>600</v>
      </c>
      <c r="J1320" t="str">
        <f>"16 177  AC-2017-0704"</f>
        <v>16 177  AC-2017-0704</v>
      </c>
    </row>
    <row r="1321" spans="1:10" x14ac:dyDescent="0.3">
      <c r="A1321" t="str">
        <f>""</f>
        <v/>
      </c>
      <c r="B1321" t="str">
        <f>""</f>
        <v/>
      </c>
      <c r="G1321" t="str">
        <f>"201708224345"</f>
        <v>201708224345</v>
      </c>
      <c r="H1321" t="str">
        <f>"IJP8216D"</f>
        <v>IJP8216D</v>
      </c>
      <c r="I1321" s="2">
        <v>400</v>
      </c>
      <c r="J1321" t="str">
        <f>"IJP8216D"</f>
        <v>IJP8216D</v>
      </c>
    </row>
    <row r="1322" spans="1:10" x14ac:dyDescent="0.3">
      <c r="A1322" t="str">
        <f>"01"</f>
        <v>01</v>
      </c>
      <c r="B1322" t="str">
        <f>"002317"</f>
        <v>002317</v>
      </c>
      <c r="C1322" t="s">
        <v>404</v>
      </c>
      <c r="D1322">
        <v>999999</v>
      </c>
      <c r="E1322" s="2">
        <v>4700</v>
      </c>
      <c r="F1322" s="1">
        <v>42961</v>
      </c>
      <c r="G1322" t="str">
        <f>"201708033994"</f>
        <v>201708033994</v>
      </c>
      <c r="H1322" t="str">
        <f>"CH20150413-A"</f>
        <v>CH20150413-A</v>
      </c>
      <c r="I1322" s="2">
        <v>400</v>
      </c>
      <c r="J1322" t="str">
        <f>"CH20150413-A"</f>
        <v>CH20150413-A</v>
      </c>
    </row>
    <row r="1323" spans="1:10" x14ac:dyDescent="0.3">
      <c r="A1323" t="str">
        <f>""</f>
        <v/>
      </c>
      <c r="B1323" t="str">
        <f>""</f>
        <v/>
      </c>
      <c r="G1323" t="str">
        <f>"201708033995"</f>
        <v>201708033995</v>
      </c>
      <c r="H1323" t="str">
        <f>"1JP112716C"</f>
        <v>1JP112716C</v>
      </c>
      <c r="I1323" s="2">
        <v>400</v>
      </c>
      <c r="J1323" t="str">
        <f>"1JP112716C"</f>
        <v>1JP112716C</v>
      </c>
    </row>
    <row r="1324" spans="1:10" x14ac:dyDescent="0.3">
      <c r="A1324" t="str">
        <f>""</f>
        <v/>
      </c>
      <c r="B1324" t="str">
        <f>""</f>
        <v/>
      </c>
      <c r="G1324" t="str">
        <f>"201708033996"</f>
        <v>201708033996</v>
      </c>
      <c r="H1324" t="str">
        <f>"423-5151  423-5152"</f>
        <v>423-5151  423-5152</v>
      </c>
      <c r="I1324" s="2">
        <v>200</v>
      </c>
      <c r="J1324" t="str">
        <f>"423-5151  423-5152"</f>
        <v>423-5151  423-5152</v>
      </c>
    </row>
    <row r="1325" spans="1:10" x14ac:dyDescent="0.3">
      <c r="A1325" t="str">
        <f>""</f>
        <v/>
      </c>
      <c r="B1325" t="str">
        <f>""</f>
        <v/>
      </c>
      <c r="G1325" t="str">
        <f>"201708033997"</f>
        <v>201708033997</v>
      </c>
      <c r="H1325" t="str">
        <f>"16 157"</f>
        <v>16 157</v>
      </c>
      <c r="I1325" s="2">
        <v>400</v>
      </c>
      <c r="J1325" t="str">
        <f>"16 157"</f>
        <v>16 157</v>
      </c>
    </row>
    <row r="1326" spans="1:10" x14ac:dyDescent="0.3">
      <c r="A1326" t="str">
        <f>""</f>
        <v/>
      </c>
      <c r="B1326" t="str">
        <f>""</f>
        <v/>
      </c>
      <c r="G1326" t="str">
        <f>"201708033998"</f>
        <v>201708033998</v>
      </c>
      <c r="H1326" t="str">
        <f>"305082017-A"</f>
        <v>305082017-A</v>
      </c>
      <c r="I1326" s="2">
        <v>400</v>
      </c>
      <c r="J1326" t="str">
        <f>"305082017-A"</f>
        <v>305082017-A</v>
      </c>
    </row>
    <row r="1327" spans="1:10" x14ac:dyDescent="0.3">
      <c r="A1327" t="str">
        <f>""</f>
        <v/>
      </c>
      <c r="B1327" t="str">
        <f>""</f>
        <v/>
      </c>
      <c r="G1327" t="str">
        <f>"201708033999"</f>
        <v>201708033999</v>
      </c>
      <c r="H1327" t="str">
        <f>"15 473"</f>
        <v>15 473</v>
      </c>
      <c r="I1327" s="2">
        <v>400</v>
      </c>
      <c r="J1327" t="str">
        <f>"15 473"</f>
        <v>15 473</v>
      </c>
    </row>
    <row r="1328" spans="1:10" x14ac:dyDescent="0.3">
      <c r="A1328" t="str">
        <f>""</f>
        <v/>
      </c>
      <c r="B1328" t="str">
        <f>""</f>
        <v/>
      </c>
      <c r="G1328" t="str">
        <f>"201708084132"</f>
        <v>201708084132</v>
      </c>
      <c r="H1328" t="str">
        <f>"16 215 / C170062"</f>
        <v>16 215 / C170062</v>
      </c>
      <c r="I1328" s="2">
        <v>600</v>
      </c>
      <c r="J1328" t="str">
        <f>"16 215 / C170062"</f>
        <v>16 215 / C170062</v>
      </c>
    </row>
    <row r="1329" spans="1:10" x14ac:dyDescent="0.3">
      <c r="A1329" t="str">
        <f>""</f>
        <v/>
      </c>
      <c r="B1329" t="str">
        <f>""</f>
        <v/>
      </c>
      <c r="G1329" t="str">
        <f>"201708094252"</f>
        <v>201708094252</v>
      </c>
      <c r="H1329" t="str">
        <f>"16-18018"</f>
        <v>16-18018</v>
      </c>
      <c r="I1329" s="2">
        <v>175</v>
      </c>
      <c r="J1329" t="str">
        <f>"16-18018"</f>
        <v>16-18018</v>
      </c>
    </row>
    <row r="1330" spans="1:10" x14ac:dyDescent="0.3">
      <c r="A1330" t="str">
        <f>""</f>
        <v/>
      </c>
      <c r="B1330" t="str">
        <f>""</f>
        <v/>
      </c>
      <c r="G1330" t="str">
        <f>"201708094253"</f>
        <v>201708094253</v>
      </c>
      <c r="H1330" t="str">
        <f>"16-17977"</f>
        <v>16-17977</v>
      </c>
      <c r="I1330" s="2">
        <v>175</v>
      </c>
      <c r="J1330" t="str">
        <f>"16-17977"</f>
        <v>16-17977</v>
      </c>
    </row>
    <row r="1331" spans="1:10" x14ac:dyDescent="0.3">
      <c r="A1331" t="str">
        <f>""</f>
        <v/>
      </c>
      <c r="B1331" t="str">
        <f>""</f>
        <v/>
      </c>
      <c r="G1331" t="str">
        <f>"201708094254"</f>
        <v>201708094254</v>
      </c>
      <c r="H1331" t="str">
        <f>"C 170067"</f>
        <v>C 170067</v>
      </c>
      <c r="I1331" s="2">
        <v>250</v>
      </c>
      <c r="J1331" t="str">
        <f>"C 170067"</f>
        <v>C 170067</v>
      </c>
    </row>
    <row r="1332" spans="1:10" x14ac:dyDescent="0.3">
      <c r="A1332" t="str">
        <f>""</f>
        <v/>
      </c>
      <c r="B1332" t="str">
        <f>""</f>
        <v/>
      </c>
      <c r="G1332" t="str">
        <f>"201708094255"</f>
        <v>201708094255</v>
      </c>
      <c r="H1332" t="str">
        <f>"55 274"</f>
        <v>55 274</v>
      </c>
      <c r="I1332" s="2">
        <v>250</v>
      </c>
      <c r="J1332" t="str">
        <f>"55 274"</f>
        <v>55 274</v>
      </c>
    </row>
    <row r="1333" spans="1:10" x14ac:dyDescent="0.3">
      <c r="A1333" t="str">
        <f>""</f>
        <v/>
      </c>
      <c r="B1333" t="str">
        <f>""</f>
        <v/>
      </c>
      <c r="G1333" t="str">
        <f>"201708094256"</f>
        <v>201708094256</v>
      </c>
      <c r="H1333" t="str">
        <f>"305082017-B"</f>
        <v>305082017-B</v>
      </c>
      <c r="I1333" s="2">
        <v>250</v>
      </c>
      <c r="J1333" t="str">
        <f>"305082017-B"</f>
        <v>305082017-B</v>
      </c>
    </row>
    <row r="1334" spans="1:10" x14ac:dyDescent="0.3">
      <c r="A1334" t="str">
        <f>""</f>
        <v/>
      </c>
      <c r="B1334" t="str">
        <f>""</f>
        <v/>
      </c>
      <c r="G1334" t="str">
        <f>"201708094257"</f>
        <v>201708094257</v>
      </c>
      <c r="H1334" t="str">
        <f>"55 293  55 128"</f>
        <v>55 293  55 128</v>
      </c>
      <c r="I1334" s="2">
        <v>375</v>
      </c>
      <c r="J1334" t="str">
        <f>"55 293  55 128"</f>
        <v>55 293  55 128</v>
      </c>
    </row>
    <row r="1335" spans="1:10" x14ac:dyDescent="0.3">
      <c r="A1335" t="str">
        <f>""</f>
        <v/>
      </c>
      <c r="B1335" t="str">
        <f>""</f>
        <v/>
      </c>
      <c r="G1335" t="str">
        <f>"201708094258"</f>
        <v>201708094258</v>
      </c>
      <c r="H1335" t="str">
        <f>"16-17934"</f>
        <v>16-17934</v>
      </c>
      <c r="I1335" s="2">
        <v>250</v>
      </c>
      <c r="J1335" t="str">
        <f>"16-17934"</f>
        <v>16-17934</v>
      </c>
    </row>
    <row r="1336" spans="1:10" x14ac:dyDescent="0.3">
      <c r="A1336" t="str">
        <f>""</f>
        <v/>
      </c>
      <c r="B1336" t="str">
        <f>""</f>
        <v/>
      </c>
      <c r="G1336" t="str">
        <f>"201708094259"</f>
        <v>201708094259</v>
      </c>
      <c r="H1336" t="str">
        <f>"17-18175"</f>
        <v>17-18175</v>
      </c>
      <c r="I1336" s="2">
        <v>175</v>
      </c>
      <c r="J1336" t="str">
        <f>"17-18175"</f>
        <v>17-18175</v>
      </c>
    </row>
    <row r="1337" spans="1:10" x14ac:dyDescent="0.3">
      <c r="A1337" t="str">
        <f>"01"</f>
        <v>01</v>
      </c>
      <c r="B1337" t="str">
        <f>"005062"</f>
        <v>005062</v>
      </c>
      <c r="C1337" t="s">
        <v>405</v>
      </c>
      <c r="D1337">
        <v>72115</v>
      </c>
      <c r="E1337" s="2">
        <v>320</v>
      </c>
      <c r="F1337" s="1">
        <v>42961</v>
      </c>
      <c r="G1337" t="str">
        <f>"023778"</f>
        <v>023778</v>
      </c>
      <c r="H1337" t="str">
        <f>"INV02378 VAULT #9"</f>
        <v>INV02378 VAULT #9</v>
      </c>
      <c r="I1337" s="2">
        <v>320</v>
      </c>
      <c r="J1337" t="str">
        <f>"INV02378 VAULT #9"</f>
        <v>INV02378 VAULT #9</v>
      </c>
    </row>
    <row r="1338" spans="1:10" x14ac:dyDescent="0.3">
      <c r="A1338" t="str">
        <f>"01"</f>
        <v>01</v>
      </c>
      <c r="B1338" t="str">
        <f>"005062"</f>
        <v>005062</v>
      </c>
      <c r="C1338" t="s">
        <v>405</v>
      </c>
      <c r="D1338">
        <v>72351</v>
      </c>
      <c r="E1338" s="2">
        <v>320</v>
      </c>
      <c r="F1338" s="1">
        <v>42976</v>
      </c>
      <c r="G1338" t="str">
        <f>"023839"</f>
        <v>023839</v>
      </c>
      <c r="H1338" t="str">
        <f>"INV 023839"</f>
        <v>INV 023839</v>
      </c>
      <c r="I1338" s="2">
        <v>320</v>
      </c>
      <c r="J1338" t="str">
        <f>"INV 023839"</f>
        <v>INV 023839</v>
      </c>
    </row>
    <row r="1339" spans="1:10" x14ac:dyDescent="0.3">
      <c r="A1339" t="str">
        <f>"01"</f>
        <v>01</v>
      </c>
      <c r="B1339" t="str">
        <f>"T13860"</f>
        <v>T13860</v>
      </c>
      <c r="C1339" t="s">
        <v>406</v>
      </c>
      <c r="D1339">
        <v>72352</v>
      </c>
      <c r="E1339" s="2">
        <v>799.8</v>
      </c>
      <c r="F1339" s="1">
        <v>42976</v>
      </c>
      <c r="G1339" t="str">
        <f>"949.7"</f>
        <v>949.7</v>
      </c>
      <c r="H1339" t="str">
        <f>"REIMBURSE-FOOD/HOTEL/MEBSHP"</f>
        <v>REIMBURSE-FOOD/HOTEL/MEBSHP</v>
      </c>
      <c r="I1339" s="2">
        <v>799.8</v>
      </c>
      <c r="J1339" t="str">
        <f>"REIMBURSE-FOOD/HOTEL/MEBSHP"</f>
        <v>REIMBURSE-FOOD/HOTEL/MEBSHP</v>
      </c>
    </row>
    <row r="1340" spans="1:10" x14ac:dyDescent="0.3">
      <c r="A1340" t="str">
        <f>""</f>
        <v/>
      </c>
      <c r="B1340" t="str">
        <f>""</f>
        <v/>
      </c>
      <c r="G1340" t="str">
        <f>""</f>
        <v/>
      </c>
      <c r="H1340" t="str">
        <f>""</f>
        <v/>
      </c>
      <c r="J1340" t="str">
        <f>"REIMBURSE-FOOD/HOTEL/MEBSHP"</f>
        <v>REIMBURSE-FOOD/HOTEL/MEBSHP</v>
      </c>
    </row>
    <row r="1341" spans="1:10" x14ac:dyDescent="0.3">
      <c r="A1341" t="str">
        <f>"01"</f>
        <v>01</v>
      </c>
      <c r="B1341" t="str">
        <f>"TIME"</f>
        <v>TIME</v>
      </c>
      <c r="C1341" t="s">
        <v>407</v>
      </c>
      <c r="D1341">
        <v>72116</v>
      </c>
      <c r="E1341" s="2">
        <v>10262.74</v>
      </c>
      <c r="F1341" s="1">
        <v>42961</v>
      </c>
      <c r="G1341" t="str">
        <f>"201708044015"</f>
        <v>201708044015</v>
      </c>
      <c r="H1341" t="str">
        <f>"8260163000003669"</f>
        <v>8260163000003669</v>
      </c>
      <c r="I1341" s="2">
        <v>10262.74</v>
      </c>
      <c r="J1341" t="str">
        <f>"8260163000003669"</f>
        <v>8260163000003669</v>
      </c>
    </row>
    <row r="1342" spans="1:10" x14ac:dyDescent="0.3">
      <c r="A1342" t="str">
        <f>""</f>
        <v/>
      </c>
      <c r="B1342" t="str">
        <f>""</f>
        <v/>
      </c>
      <c r="G1342" t="str">
        <f>""</f>
        <v/>
      </c>
      <c r="H1342" t="str">
        <f>""</f>
        <v/>
      </c>
      <c r="J1342" t="str">
        <f>"8260163000003669"</f>
        <v>8260163000003669</v>
      </c>
    </row>
    <row r="1343" spans="1:10" x14ac:dyDescent="0.3">
      <c r="A1343" t="str">
        <f>""</f>
        <v/>
      </c>
      <c r="B1343" t="str">
        <f>""</f>
        <v/>
      </c>
      <c r="G1343" t="str">
        <f>""</f>
        <v/>
      </c>
      <c r="H1343" t="str">
        <f>""</f>
        <v/>
      </c>
      <c r="J1343" t="str">
        <f>"8260163000003669"</f>
        <v>8260163000003669</v>
      </c>
    </row>
    <row r="1344" spans="1:10" x14ac:dyDescent="0.3">
      <c r="A1344" t="str">
        <f>"01"</f>
        <v>01</v>
      </c>
      <c r="B1344" t="str">
        <f>"002405"</f>
        <v>002405</v>
      </c>
      <c r="C1344" t="s">
        <v>408</v>
      </c>
      <c r="D1344">
        <v>72168</v>
      </c>
      <c r="E1344" s="2">
        <v>170</v>
      </c>
      <c r="F1344" s="1">
        <v>42964</v>
      </c>
      <c r="G1344" t="str">
        <f>"PER DIEM-T STALCUP"</f>
        <v>PER DIEM-T STALCUP</v>
      </c>
      <c r="H1344" t="str">
        <f>"PER DIEM"</f>
        <v>PER DIEM</v>
      </c>
      <c r="I1344" s="2">
        <v>170</v>
      </c>
      <c r="J1344" t="str">
        <f>"PER DIEM"</f>
        <v>PER DIEM</v>
      </c>
    </row>
    <row r="1345" spans="1:11" x14ac:dyDescent="0.3">
      <c r="A1345" t="str">
        <f>"01"</f>
        <v>01</v>
      </c>
      <c r="B1345" t="str">
        <f>"004955"</f>
        <v>004955</v>
      </c>
      <c r="C1345" t="s">
        <v>409</v>
      </c>
      <c r="D1345">
        <v>72117</v>
      </c>
      <c r="E1345" s="2">
        <v>684.35</v>
      </c>
      <c r="F1345" s="1">
        <v>42961</v>
      </c>
      <c r="G1345" t="str">
        <f>"020990"</f>
        <v>020990</v>
      </c>
      <c r="H1345" t="str">
        <f>"Chemicals"</f>
        <v>Chemicals</v>
      </c>
      <c r="I1345" s="2">
        <v>684.35</v>
      </c>
      <c r="J1345" t="str">
        <f>"KV-KBLY"</f>
        <v>KV-KBLY</v>
      </c>
    </row>
    <row r="1346" spans="1:11" x14ac:dyDescent="0.3">
      <c r="A1346" t="str">
        <f>""</f>
        <v/>
      </c>
      <c r="B1346" t="str">
        <f>""</f>
        <v/>
      </c>
      <c r="G1346" t="str">
        <f>""</f>
        <v/>
      </c>
      <c r="H1346" t="str">
        <f>""</f>
        <v/>
      </c>
      <c r="J1346" t="str">
        <f>"KV-KBOSH"</f>
        <v>KV-KBOSH</v>
      </c>
    </row>
    <row r="1347" spans="1:11" x14ac:dyDescent="0.3">
      <c r="A1347" t="str">
        <f>""</f>
        <v/>
      </c>
      <c r="B1347" t="str">
        <f>""</f>
        <v/>
      </c>
      <c r="G1347" t="str">
        <f>""</f>
        <v/>
      </c>
      <c r="H1347" t="str">
        <f>""</f>
        <v/>
      </c>
      <c r="J1347" t="str">
        <f>"KV-KNPK"</f>
        <v>KV-KNPK</v>
      </c>
    </row>
    <row r="1348" spans="1:11" x14ac:dyDescent="0.3">
      <c r="A1348" t="str">
        <f>""</f>
        <v/>
      </c>
      <c r="B1348" t="str">
        <f>""</f>
        <v/>
      </c>
      <c r="G1348" t="str">
        <f>""</f>
        <v/>
      </c>
      <c r="H1348" t="str">
        <f>""</f>
        <v/>
      </c>
      <c r="J1348" t="str">
        <f>"KV-KOP"</f>
        <v>KV-KOP</v>
      </c>
    </row>
    <row r="1349" spans="1:11" x14ac:dyDescent="0.3">
      <c r="A1349" t="str">
        <f>""</f>
        <v/>
      </c>
      <c r="B1349" t="str">
        <f>""</f>
        <v/>
      </c>
      <c r="G1349" t="str">
        <f>""</f>
        <v/>
      </c>
      <c r="H1349" t="str">
        <f>""</f>
        <v/>
      </c>
      <c r="J1349" t="str">
        <f>"KV-CVA03ULT"</f>
        <v>KV-CVA03ULT</v>
      </c>
    </row>
    <row r="1350" spans="1:11" x14ac:dyDescent="0.3">
      <c r="A1350" t="str">
        <f>""</f>
        <v/>
      </c>
      <c r="B1350" t="str">
        <f>""</f>
        <v/>
      </c>
      <c r="G1350" t="str">
        <f>""</f>
        <v/>
      </c>
      <c r="H1350" t="str">
        <f>""</f>
        <v/>
      </c>
      <c r="J1350" t="str">
        <f>"KV-CVA03BK10"</f>
        <v>KV-CVA03BK10</v>
      </c>
    </row>
    <row r="1351" spans="1:11" x14ac:dyDescent="0.3">
      <c r="A1351" t="str">
        <f>"01"</f>
        <v>01</v>
      </c>
      <c r="B1351" t="str">
        <f>"002337"</f>
        <v>002337</v>
      </c>
      <c r="C1351" t="s">
        <v>410</v>
      </c>
      <c r="D1351">
        <v>72172</v>
      </c>
      <c r="E1351" s="2">
        <v>70</v>
      </c>
      <c r="F1351" s="1">
        <v>42971</v>
      </c>
      <c r="G1351" t="s">
        <v>196</v>
      </c>
      <c r="H1351" t="s">
        <v>411</v>
      </c>
      <c r="I1351" s="2" t="str">
        <f>"SERVICE - 05/01/2017"</f>
        <v>SERVICE - 05/01/2017</v>
      </c>
      <c r="J1351" t="str">
        <f>"995-4110"</f>
        <v>995-4110</v>
      </c>
      <c r="K1351">
        <v>70</v>
      </c>
    </row>
    <row r="1352" spans="1:11" x14ac:dyDescent="0.3">
      <c r="A1352" t="str">
        <f>"01"</f>
        <v>01</v>
      </c>
      <c r="B1352" t="str">
        <f>"002337"</f>
        <v>002337</v>
      </c>
      <c r="C1352" t="s">
        <v>410</v>
      </c>
      <c r="D1352">
        <v>72354</v>
      </c>
      <c r="E1352" s="2">
        <v>735</v>
      </c>
      <c r="F1352" s="1">
        <v>42976</v>
      </c>
      <c r="G1352" t="s">
        <v>59</v>
      </c>
      <c r="H1352" t="s">
        <v>62</v>
      </c>
      <c r="I1352" s="2" t="str">
        <f>"SERVICE 6/14/17"</f>
        <v>SERVICE 6/14/17</v>
      </c>
      <c r="J1352" t="str">
        <f>"995-4110"</f>
        <v>995-4110</v>
      </c>
      <c r="K1352">
        <v>70</v>
      </c>
    </row>
    <row r="1353" spans="1:11" x14ac:dyDescent="0.3">
      <c r="A1353" t="str">
        <f>""</f>
        <v/>
      </c>
      <c r="B1353" t="str">
        <f>""</f>
        <v/>
      </c>
      <c r="G1353" t="s">
        <v>59</v>
      </c>
      <c r="H1353" t="s">
        <v>63</v>
      </c>
      <c r="I1353" s="2" t="str">
        <f>"SERVICE 6/14/17"</f>
        <v>SERVICE 6/14/17</v>
      </c>
      <c r="J1353" t="str">
        <f>"995-4110"</f>
        <v>995-4110</v>
      </c>
      <c r="K1353">
        <v>225</v>
      </c>
    </row>
    <row r="1354" spans="1:11" x14ac:dyDescent="0.3">
      <c r="A1354" t="str">
        <f>""</f>
        <v/>
      </c>
      <c r="B1354" t="str">
        <f>""</f>
        <v/>
      </c>
      <c r="G1354" t="str">
        <f>"11466"</f>
        <v>11466</v>
      </c>
      <c r="H1354" t="str">
        <f>"SERVICE 7/5/17"</f>
        <v>SERVICE 7/5/17</v>
      </c>
      <c r="I1354" s="2">
        <v>70</v>
      </c>
      <c r="J1354" t="str">
        <f>"SERVICE 7/5/17"</f>
        <v>SERVICE 7/5/17</v>
      </c>
    </row>
    <row r="1355" spans="1:11" x14ac:dyDescent="0.3">
      <c r="A1355" t="str">
        <f>""</f>
        <v/>
      </c>
      <c r="B1355" t="str">
        <f>""</f>
        <v/>
      </c>
      <c r="G1355" t="str">
        <f>"11597"</f>
        <v>11597</v>
      </c>
      <c r="H1355" t="str">
        <f>"SERVICE 6/30/17"</f>
        <v>SERVICE 6/30/17</v>
      </c>
      <c r="I1355" s="2">
        <v>70</v>
      </c>
      <c r="J1355" t="str">
        <f>"SERVICE 6/30/17"</f>
        <v>SERVICE 6/30/17</v>
      </c>
    </row>
    <row r="1356" spans="1:11" x14ac:dyDescent="0.3">
      <c r="A1356" t="str">
        <f>""</f>
        <v/>
      </c>
      <c r="B1356" t="str">
        <f>""</f>
        <v/>
      </c>
      <c r="G1356" t="s">
        <v>64</v>
      </c>
      <c r="H1356" t="s">
        <v>65</v>
      </c>
      <c r="I1356" s="2" t="str">
        <f>"SERVICE 6/14/17"</f>
        <v>SERVICE 6/14/17</v>
      </c>
      <c r="J1356" t="str">
        <f>"995-4110"</f>
        <v>995-4110</v>
      </c>
      <c r="K1356">
        <v>75</v>
      </c>
    </row>
    <row r="1357" spans="1:11" x14ac:dyDescent="0.3">
      <c r="A1357" t="str">
        <f>""</f>
        <v/>
      </c>
      <c r="B1357" t="str">
        <f>""</f>
        <v/>
      </c>
      <c r="G1357" t="s">
        <v>64</v>
      </c>
      <c r="H1357" t="s">
        <v>67</v>
      </c>
      <c r="I1357" s="2" t="str">
        <f>"SERVICE 6/14/17"</f>
        <v>SERVICE 6/14/17</v>
      </c>
      <c r="J1357" t="str">
        <f>"995-4110"</f>
        <v>995-4110</v>
      </c>
      <c r="K1357">
        <v>75</v>
      </c>
    </row>
    <row r="1358" spans="1:11" x14ac:dyDescent="0.3">
      <c r="A1358" t="str">
        <f>""</f>
        <v/>
      </c>
      <c r="B1358" t="str">
        <f>""</f>
        <v/>
      </c>
      <c r="G1358" t="s">
        <v>64</v>
      </c>
      <c r="H1358" t="s">
        <v>188</v>
      </c>
      <c r="I1358" s="2" t="str">
        <f>"SERVICE 6/15/17"</f>
        <v>SERVICE 6/15/17</v>
      </c>
      <c r="J1358" t="str">
        <f>"995-4110"</f>
        <v>995-4110</v>
      </c>
      <c r="K1358">
        <v>75</v>
      </c>
    </row>
    <row r="1359" spans="1:11" x14ac:dyDescent="0.3">
      <c r="A1359" t="str">
        <f>""</f>
        <v/>
      </c>
      <c r="B1359" t="str">
        <f>""</f>
        <v/>
      </c>
      <c r="G1359" t="str">
        <f>"12286"</f>
        <v>12286</v>
      </c>
      <c r="H1359" t="str">
        <f>"SERVICE 6/14/17"</f>
        <v>SERVICE 6/14/17</v>
      </c>
      <c r="I1359" s="2">
        <v>75</v>
      </c>
      <c r="J1359" t="str">
        <f>"SERVICE 6/14/17"</f>
        <v>SERVICE 6/14/17</v>
      </c>
    </row>
    <row r="1360" spans="1:11" x14ac:dyDescent="0.3">
      <c r="A1360" t="str">
        <f>"01"</f>
        <v>01</v>
      </c>
      <c r="B1360" t="str">
        <f>"005136"</f>
        <v>005136</v>
      </c>
      <c r="C1360" t="s">
        <v>412</v>
      </c>
      <c r="D1360">
        <v>72118</v>
      </c>
      <c r="E1360" s="2">
        <v>2900</v>
      </c>
      <c r="F1360" s="1">
        <v>42961</v>
      </c>
      <c r="G1360" t="str">
        <f>"3300000539"</f>
        <v>3300000539</v>
      </c>
      <c r="H1360" t="str">
        <f>"CUST#100009/INV#3300000539"</f>
        <v>CUST#100009/INV#3300000539</v>
      </c>
      <c r="I1360" s="2">
        <v>2900</v>
      </c>
      <c r="J1360" t="str">
        <f>"CUST#100009/INV#3300000539"</f>
        <v>CUST#100009/INV#3300000539</v>
      </c>
    </row>
    <row r="1361" spans="1:10" x14ac:dyDescent="0.3">
      <c r="A1361" t="str">
        <f>"01"</f>
        <v>01</v>
      </c>
      <c r="B1361" t="str">
        <f>"002944"</f>
        <v>002944</v>
      </c>
      <c r="C1361" t="s">
        <v>413</v>
      </c>
      <c r="D1361">
        <v>72271</v>
      </c>
      <c r="E1361" s="2">
        <v>800.58</v>
      </c>
      <c r="F1361" s="1">
        <v>42976</v>
      </c>
      <c r="G1361" t="str">
        <f>"668908"</f>
        <v>668908</v>
      </c>
      <c r="H1361" t="str">
        <f>"INV 668908/UNIT 126"</f>
        <v>INV 668908/UNIT 126</v>
      </c>
      <c r="I1361" s="2">
        <v>148.53</v>
      </c>
      <c r="J1361" t="str">
        <f>"INV 668908/UNIT 126"</f>
        <v>INV 668908/UNIT 126</v>
      </c>
    </row>
    <row r="1362" spans="1:10" x14ac:dyDescent="0.3">
      <c r="A1362" t="str">
        <f>""</f>
        <v/>
      </c>
      <c r="B1362" t="str">
        <f>""</f>
        <v/>
      </c>
      <c r="G1362" t="str">
        <f>"669875"</f>
        <v>669875</v>
      </c>
      <c r="H1362" t="str">
        <f>"INV 669875/UNIT 0120"</f>
        <v>INV 669875/UNIT 0120</v>
      </c>
      <c r="I1362" s="2">
        <v>130.41</v>
      </c>
      <c r="J1362" t="str">
        <f>"INV 669875/UNIT 0120"</f>
        <v>INV 669875/UNIT 0120</v>
      </c>
    </row>
    <row r="1363" spans="1:10" x14ac:dyDescent="0.3">
      <c r="A1363" t="str">
        <f>""</f>
        <v/>
      </c>
      <c r="B1363" t="str">
        <f>""</f>
        <v/>
      </c>
      <c r="G1363" t="str">
        <f>"669876"</f>
        <v>669876</v>
      </c>
      <c r="H1363" t="str">
        <f>"INV 669876/UNIT 6548"</f>
        <v>INV 669876/UNIT 6548</v>
      </c>
      <c r="I1363" s="2">
        <v>130.41</v>
      </c>
      <c r="J1363" t="str">
        <f>"INV 669876/UNIT 6548"</f>
        <v>INV 669876/UNIT 6548</v>
      </c>
    </row>
    <row r="1364" spans="1:10" x14ac:dyDescent="0.3">
      <c r="A1364" t="str">
        <f>""</f>
        <v/>
      </c>
      <c r="B1364" t="str">
        <f>""</f>
        <v/>
      </c>
      <c r="G1364" t="str">
        <f>"670127"</f>
        <v>670127</v>
      </c>
      <c r="H1364" t="str">
        <f>"INV 670127/UNI T 6523"</f>
        <v>INV 670127/UNI T 6523</v>
      </c>
      <c r="I1364" s="2">
        <v>130.41</v>
      </c>
      <c r="J1364" t="str">
        <f>"INV 670127/UNI T 6523"</f>
        <v>INV 670127/UNI T 6523</v>
      </c>
    </row>
    <row r="1365" spans="1:10" x14ac:dyDescent="0.3">
      <c r="A1365" t="str">
        <f>""</f>
        <v/>
      </c>
      <c r="B1365" t="str">
        <f>""</f>
        <v/>
      </c>
      <c r="G1365" t="str">
        <f>"INV669877"</f>
        <v>INV669877</v>
      </c>
      <c r="H1365" t="str">
        <f>"INV 669877/UNIT 4716"</f>
        <v>INV 669877/UNIT 4716</v>
      </c>
      <c r="I1365" s="2">
        <v>260.82</v>
      </c>
      <c r="J1365" t="str">
        <f>"INV 669877/UNIT 4716"</f>
        <v>INV 669877/UNIT 4716</v>
      </c>
    </row>
    <row r="1366" spans="1:10" x14ac:dyDescent="0.3">
      <c r="A1366" t="str">
        <f>"01"</f>
        <v>01</v>
      </c>
      <c r="B1366" t="str">
        <f>"002944"</f>
        <v>002944</v>
      </c>
      <c r="C1366" t="s">
        <v>413</v>
      </c>
      <c r="D1366">
        <v>999999</v>
      </c>
      <c r="E1366" s="2">
        <v>1891.73</v>
      </c>
      <c r="F1366" s="1">
        <v>42961</v>
      </c>
      <c r="G1366" t="str">
        <f>"665284"</f>
        <v>665284</v>
      </c>
      <c r="H1366" t="str">
        <f>"INV 665284/UNIT 5350"</f>
        <v>INV 665284/UNIT 5350</v>
      </c>
      <c r="I1366" s="2">
        <v>488.04</v>
      </c>
      <c r="J1366" t="str">
        <f>"INV 665284/UNIT 5350"</f>
        <v>INV 665284/UNIT 5350</v>
      </c>
    </row>
    <row r="1367" spans="1:10" x14ac:dyDescent="0.3">
      <c r="A1367" t="str">
        <f>""</f>
        <v/>
      </c>
      <c r="B1367" t="str">
        <f>""</f>
        <v/>
      </c>
      <c r="G1367" t="str">
        <f>"666489"</f>
        <v>666489</v>
      </c>
      <c r="H1367" t="str">
        <f>"INV 666489/ UNIT 0314"</f>
        <v>INV 666489/ UNIT 0314</v>
      </c>
      <c r="I1367" s="2">
        <v>882.05</v>
      </c>
      <c r="J1367" t="str">
        <f>"INV 666489/ UNIT 0314"</f>
        <v>INV 666489/ UNIT 0314</v>
      </c>
    </row>
    <row r="1368" spans="1:10" x14ac:dyDescent="0.3">
      <c r="A1368" t="str">
        <f>""</f>
        <v/>
      </c>
      <c r="B1368" t="str">
        <f>""</f>
        <v/>
      </c>
      <c r="G1368" t="str">
        <f>"667413"</f>
        <v>667413</v>
      </c>
      <c r="H1368" t="str">
        <f>"INV 667413 / UNIT 3805"</f>
        <v>INV 667413 / UNIT 3805</v>
      </c>
      <c r="I1368" s="2">
        <v>521.64</v>
      </c>
      <c r="J1368" t="str">
        <f>"INV 667413 / UNIT 3805"</f>
        <v>INV 667413 / UNIT 3805</v>
      </c>
    </row>
    <row r="1369" spans="1:10" x14ac:dyDescent="0.3">
      <c r="A1369" t="str">
        <f>"01"</f>
        <v>01</v>
      </c>
      <c r="B1369" t="str">
        <f>"003838"</f>
        <v>003838</v>
      </c>
      <c r="C1369" t="s">
        <v>414</v>
      </c>
      <c r="D1369">
        <v>72119</v>
      </c>
      <c r="E1369" s="2">
        <v>121.57</v>
      </c>
      <c r="F1369" s="1">
        <v>42961</v>
      </c>
      <c r="G1369" t="str">
        <f>"201708094178"</f>
        <v>201708094178</v>
      </c>
      <c r="H1369" t="str">
        <f>"INDIGENT HEALTH"</f>
        <v>INDIGENT HEALTH</v>
      </c>
      <c r="I1369" s="2">
        <v>121.57</v>
      </c>
      <c r="J1369" t="str">
        <f>"INDIGENT HEALTH"</f>
        <v>INDIGENT HEALTH</v>
      </c>
    </row>
    <row r="1370" spans="1:10" x14ac:dyDescent="0.3">
      <c r="A1370" t="str">
        <f>"01"</f>
        <v>01</v>
      </c>
      <c r="B1370" t="str">
        <f>"TRIPLE"</f>
        <v>TRIPLE</v>
      </c>
      <c r="C1370" t="s">
        <v>415</v>
      </c>
      <c r="D1370">
        <v>72120</v>
      </c>
      <c r="E1370" s="2">
        <v>3818.52</v>
      </c>
      <c r="F1370" s="1">
        <v>42961</v>
      </c>
      <c r="G1370" t="str">
        <f>"0010247-IN"</f>
        <v>0010247-IN</v>
      </c>
      <c r="H1370" t="str">
        <f>"CUST#0009087/PCT#4"</f>
        <v>CUST#0009087/PCT#4</v>
      </c>
      <c r="I1370" s="2">
        <v>3818.52</v>
      </c>
      <c r="J1370" t="str">
        <f>"CUST#0009087/PCT#4"</f>
        <v>CUST#0009087/PCT#4</v>
      </c>
    </row>
    <row r="1371" spans="1:10" x14ac:dyDescent="0.3">
      <c r="A1371" t="str">
        <f>"01"</f>
        <v>01</v>
      </c>
      <c r="B1371" t="str">
        <f>"TRIPLE"</f>
        <v>TRIPLE</v>
      </c>
      <c r="C1371" t="s">
        <v>415</v>
      </c>
      <c r="D1371">
        <v>72355</v>
      </c>
      <c r="E1371" s="2">
        <v>9586.35</v>
      </c>
      <c r="F1371" s="1">
        <v>42976</v>
      </c>
      <c r="G1371" t="str">
        <f>"0010681-IN"</f>
        <v>0010681-IN</v>
      </c>
      <c r="H1371" t="str">
        <f>"CUST#0009084/PCT#1"</f>
        <v>CUST#0009084/PCT#1</v>
      </c>
      <c r="I1371" s="2">
        <v>5010.3999999999996</v>
      </c>
      <c r="J1371" t="str">
        <f>"CUST#0009084/PCT#1"</f>
        <v>CUST#0009084/PCT#1</v>
      </c>
    </row>
    <row r="1372" spans="1:10" x14ac:dyDescent="0.3">
      <c r="A1372" t="str">
        <f>""</f>
        <v/>
      </c>
      <c r="B1372" t="str">
        <f>""</f>
        <v/>
      </c>
      <c r="G1372" t="str">
        <f>"0010741-IN"</f>
        <v>0010741-IN</v>
      </c>
      <c r="H1372" t="str">
        <f>"CUST#0009087/PCT#4"</f>
        <v>CUST#0009087/PCT#4</v>
      </c>
      <c r="I1372" s="2">
        <v>4575.95</v>
      </c>
      <c r="J1372" t="str">
        <f>"CUST#0009087/PCT#4"</f>
        <v>CUST#0009087/PCT#4</v>
      </c>
    </row>
    <row r="1373" spans="1:10" x14ac:dyDescent="0.3">
      <c r="A1373" t="str">
        <f>"01"</f>
        <v>01</v>
      </c>
      <c r="B1373" t="str">
        <f>"TRACTO"</f>
        <v>TRACTO</v>
      </c>
      <c r="C1373" t="s">
        <v>416</v>
      </c>
      <c r="D1373">
        <v>72121</v>
      </c>
      <c r="E1373" s="2">
        <v>2206.7600000000002</v>
      </c>
      <c r="F1373" s="1">
        <v>42961</v>
      </c>
      <c r="G1373" t="str">
        <f>"STATEMENT 7/21/17"</f>
        <v>STATEMENT 7/21/17</v>
      </c>
      <c r="H1373" t="str">
        <f>"ACCT# 6035301200160982"</f>
        <v>ACCT# 6035301200160982</v>
      </c>
      <c r="I1373" s="2">
        <v>2206.7600000000002</v>
      </c>
      <c r="J1373" t="str">
        <f>"INV# 200423330"</f>
        <v>INV# 200423330</v>
      </c>
    </row>
    <row r="1374" spans="1:10" x14ac:dyDescent="0.3">
      <c r="A1374" t="str">
        <f>""</f>
        <v/>
      </c>
      <c r="B1374" t="str">
        <f>""</f>
        <v/>
      </c>
      <c r="G1374" t="str">
        <f>""</f>
        <v/>
      </c>
      <c r="H1374" t="str">
        <f>""</f>
        <v/>
      </c>
      <c r="J1374" t="str">
        <f>"INV# 200423060"</f>
        <v>INV# 200423060</v>
      </c>
    </row>
    <row r="1375" spans="1:10" x14ac:dyDescent="0.3">
      <c r="A1375" t="str">
        <f>""</f>
        <v/>
      </c>
      <c r="B1375" t="str">
        <f>""</f>
        <v/>
      </c>
      <c r="G1375" t="str">
        <f>""</f>
        <v/>
      </c>
      <c r="H1375" t="str">
        <f>""</f>
        <v/>
      </c>
      <c r="J1375" t="str">
        <f>"INV# 100513557"</f>
        <v>INV# 100513557</v>
      </c>
    </row>
    <row r="1376" spans="1:10" x14ac:dyDescent="0.3">
      <c r="A1376" t="str">
        <f>""</f>
        <v/>
      </c>
      <c r="B1376" t="str">
        <f>""</f>
        <v/>
      </c>
      <c r="G1376" t="str">
        <f>""</f>
        <v/>
      </c>
      <c r="H1376" t="str">
        <f>""</f>
        <v/>
      </c>
      <c r="J1376" t="str">
        <f>"INV# 100514498"</f>
        <v>INV# 100514498</v>
      </c>
    </row>
    <row r="1377" spans="1:10" x14ac:dyDescent="0.3">
      <c r="A1377" t="str">
        <f>""</f>
        <v/>
      </c>
      <c r="B1377" t="str">
        <f>""</f>
        <v/>
      </c>
      <c r="G1377" t="str">
        <f>""</f>
        <v/>
      </c>
      <c r="H1377" t="str">
        <f>""</f>
        <v/>
      </c>
      <c r="J1377" t="str">
        <f>"INV# 200425887"</f>
        <v>INV# 200425887</v>
      </c>
    </row>
    <row r="1378" spans="1:10" x14ac:dyDescent="0.3">
      <c r="A1378" t="str">
        <f>""</f>
        <v/>
      </c>
      <c r="B1378" t="str">
        <f>""</f>
        <v/>
      </c>
      <c r="G1378" t="str">
        <f>""</f>
        <v/>
      </c>
      <c r="H1378" t="str">
        <f>""</f>
        <v/>
      </c>
      <c r="J1378" t="str">
        <f>"INV# 300402303"</f>
        <v>INV# 300402303</v>
      </c>
    </row>
    <row r="1379" spans="1:10" x14ac:dyDescent="0.3">
      <c r="A1379" t="str">
        <f>""</f>
        <v/>
      </c>
      <c r="B1379" t="str">
        <f>""</f>
        <v/>
      </c>
      <c r="G1379" t="str">
        <f>""</f>
        <v/>
      </c>
      <c r="H1379" t="str">
        <f>""</f>
        <v/>
      </c>
      <c r="J1379" t="str">
        <f>"INV# 100514498"</f>
        <v>INV# 100514498</v>
      </c>
    </row>
    <row r="1380" spans="1:10" x14ac:dyDescent="0.3">
      <c r="A1380" t="str">
        <f>""</f>
        <v/>
      </c>
      <c r="B1380" t="str">
        <f>""</f>
        <v/>
      </c>
      <c r="G1380" t="str">
        <f>""</f>
        <v/>
      </c>
      <c r="H1380" t="str">
        <f>""</f>
        <v/>
      </c>
      <c r="J1380" t="str">
        <f>"INV# 300402303"</f>
        <v>INV# 300402303</v>
      </c>
    </row>
    <row r="1381" spans="1:10" x14ac:dyDescent="0.3">
      <c r="A1381" t="str">
        <f>""</f>
        <v/>
      </c>
      <c r="B1381" t="str">
        <f>""</f>
        <v/>
      </c>
      <c r="G1381" t="str">
        <f>""</f>
        <v/>
      </c>
      <c r="H1381" t="str">
        <f>""</f>
        <v/>
      </c>
      <c r="J1381" t="str">
        <f>"INV# 100513639"</f>
        <v>INV# 100513639</v>
      </c>
    </row>
    <row r="1382" spans="1:10" x14ac:dyDescent="0.3">
      <c r="A1382" t="str">
        <f>""</f>
        <v/>
      </c>
      <c r="B1382" t="str">
        <f>""</f>
        <v/>
      </c>
      <c r="G1382" t="str">
        <f>""</f>
        <v/>
      </c>
      <c r="H1382" t="str">
        <f>""</f>
        <v/>
      </c>
      <c r="J1382" t="str">
        <f>"INV# 100515793"</f>
        <v>INV# 100515793</v>
      </c>
    </row>
    <row r="1383" spans="1:10" x14ac:dyDescent="0.3">
      <c r="A1383" t="str">
        <f>""</f>
        <v/>
      </c>
      <c r="B1383" t="str">
        <f>""</f>
        <v/>
      </c>
      <c r="G1383" t="str">
        <f>""</f>
        <v/>
      </c>
      <c r="H1383" t="str">
        <f>""</f>
        <v/>
      </c>
      <c r="J1383" t="str">
        <f>"INV# 200425240"</f>
        <v>INV# 200425240</v>
      </c>
    </row>
    <row r="1384" spans="1:10" x14ac:dyDescent="0.3">
      <c r="A1384" t="str">
        <f>""</f>
        <v/>
      </c>
      <c r="B1384" t="str">
        <f>""</f>
        <v/>
      </c>
      <c r="G1384" t="str">
        <f>""</f>
        <v/>
      </c>
      <c r="H1384" t="str">
        <f>""</f>
        <v/>
      </c>
      <c r="J1384" t="str">
        <f>"INV# 100513952"</f>
        <v>INV# 100513952</v>
      </c>
    </row>
    <row r="1385" spans="1:10" x14ac:dyDescent="0.3">
      <c r="A1385" t="str">
        <f>"01"</f>
        <v>01</v>
      </c>
      <c r="B1385" t="str">
        <f>"TULL"</f>
        <v>TULL</v>
      </c>
      <c r="C1385" t="s">
        <v>417</v>
      </c>
      <c r="D1385">
        <v>72122</v>
      </c>
      <c r="E1385" s="2">
        <v>1850</v>
      </c>
      <c r="F1385" s="1">
        <v>42961</v>
      </c>
      <c r="G1385" t="str">
        <f>"201708034000"</f>
        <v>201708034000</v>
      </c>
      <c r="H1385" t="str">
        <f>"16 305"</f>
        <v>16 305</v>
      </c>
      <c r="I1385" s="2">
        <v>400</v>
      </c>
      <c r="J1385" t="str">
        <f>"16 305"</f>
        <v>16 305</v>
      </c>
    </row>
    <row r="1386" spans="1:10" x14ac:dyDescent="0.3">
      <c r="A1386" t="str">
        <f>""</f>
        <v/>
      </c>
      <c r="B1386" t="str">
        <f>""</f>
        <v/>
      </c>
      <c r="G1386" t="str">
        <f>"201708034001"</f>
        <v>201708034001</v>
      </c>
      <c r="H1386" t="str">
        <f>"15808"</f>
        <v>15808</v>
      </c>
      <c r="I1386" s="2">
        <v>400</v>
      </c>
      <c r="J1386" t="str">
        <f>"15808"</f>
        <v>15808</v>
      </c>
    </row>
    <row r="1387" spans="1:10" x14ac:dyDescent="0.3">
      <c r="A1387" t="str">
        <f>""</f>
        <v/>
      </c>
      <c r="B1387" t="str">
        <f>""</f>
        <v/>
      </c>
      <c r="G1387" t="str">
        <f>"201708034002"</f>
        <v>201708034002</v>
      </c>
      <c r="H1387" t="str">
        <f>"305122017B"</f>
        <v>305122017B</v>
      </c>
      <c r="I1387" s="2">
        <v>400</v>
      </c>
      <c r="J1387" t="str">
        <f>"305122017B"</f>
        <v>305122017B</v>
      </c>
    </row>
    <row r="1388" spans="1:10" x14ac:dyDescent="0.3">
      <c r="A1388" t="str">
        <f>""</f>
        <v/>
      </c>
      <c r="B1388" t="str">
        <f>""</f>
        <v/>
      </c>
      <c r="G1388" t="str">
        <f>"201708034003"</f>
        <v>201708034003</v>
      </c>
      <c r="H1388" t="str">
        <f>"20150635"</f>
        <v>20150635</v>
      </c>
      <c r="I1388" s="2">
        <v>200</v>
      </c>
      <c r="J1388" t="str">
        <f>"20150635"</f>
        <v>20150635</v>
      </c>
    </row>
    <row r="1389" spans="1:10" x14ac:dyDescent="0.3">
      <c r="A1389" t="str">
        <f>""</f>
        <v/>
      </c>
      <c r="B1389" t="str">
        <f>""</f>
        <v/>
      </c>
      <c r="G1389" t="str">
        <f>"201708034004"</f>
        <v>201708034004</v>
      </c>
      <c r="H1389" t="str">
        <f>"16 298"</f>
        <v>16 298</v>
      </c>
      <c r="I1389" s="2">
        <v>400</v>
      </c>
      <c r="J1389" t="str">
        <f>"16 298"</f>
        <v>16 298</v>
      </c>
    </row>
    <row r="1390" spans="1:10" x14ac:dyDescent="0.3">
      <c r="A1390" t="str">
        <f>""</f>
        <v/>
      </c>
      <c r="B1390" t="str">
        <f>""</f>
        <v/>
      </c>
      <c r="G1390" t="str">
        <f>"201708094263"</f>
        <v>201708094263</v>
      </c>
      <c r="H1390" t="str">
        <f>"17-18513  404286-4"</f>
        <v>17-18513  404286-4</v>
      </c>
      <c r="I1390" s="2">
        <v>50</v>
      </c>
      <c r="J1390" t="str">
        <f>"17-18513  404286-4"</f>
        <v>17-18513  404286-4</v>
      </c>
    </row>
    <row r="1391" spans="1:10" x14ac:dyDescent="0.3">
      <c r="A1391" t="str">
        <f>"01"</f>
        <v>01</v>
      </c>
      <c r="B1391" t="str">
        <f>"TULL"</f>
        <v>TULL</v>
      </c>
      <c r="C1391" t="s">
        <v>417</v>
      </c>
      <c r="D1391">
        <v>72356</v>
      </c>
      <c r="E1391" s="2">
        <v>2475</v>
      </c>
      <c r="F1391" s="1">
        <v>42976</v>
      </c>
      <c r="G1391" t="str">
        <f>"201708224346"</f>
        <v>201708224346</v>
      </c>
      <c r="H1391" t="str">
        <f>"15 909   303162017E"</f>
        <v>15 909   303162017E</v>
      </c>
      <c r="I1391" s="2">
        <v>600</v>
      </c>
      <c r="J1391" t="str">
        <f>"15 909   303162017E"</f>
        <v>15 909   303162017E</v>
      </c>
    </row>
    <row r="1392" spans="1:10" x14ac:dyDescent="0.3">
      <c r="A1392" t="str">
        <f>""</f>
        <v/>
      </c>
      <c r="B1392" t="str">
        <f>""</f>
        <v/>
      </c>
      <c r="G1392" t="str">
        <f>"201708224347"</f>
        <v>201708224347</v>
      </c>
      <c r="H1392" t="str">
        <f>"16 176"</f>
        <v>16 176</v>
      </c>
      <c r="I1392" s="2">
        <v>400</v>
      </c>
      <c r="J1392" t="str">
        <f>"16 176"</f>
        <v>16 176</v>
      </c>
    </row>
    <row r="1393" spans="1:10" x14ac:dyDescent="0.3">
      <c r="A1393" t="str">
        <f>""</f>
        <v/>
      </c>
      <c r="B1393" t="str">
        <f>""</f>
        <v/>
      </c>
      <c r="G1393" t="str">
        <f>""</f>
        <v/>
      </c>
      <c r="H1393" t="str">
        <f>""</f>
        <v/>
      </c>
      <c r="J1393" t="str">
        <f>"16 176"</f>
        <v>16 176</v>
      </c>
    </row>
    <row r="1394" spans="1:10" x14ac:dyDescent="0.3">
      <c r="A1394" t="str">
        <f>""</f>
        <v/>
      </c>
      <c r="B1394" t="str">
        <f>""</f>
        <v/>
      </c>
      <c r="G1394" t="str">
        <f>"201708224348"</f>
        <v>201708224348</v>
      </c>
      <c r="H1394" t="str">
        <f>"CH20170331B   JP4 4010775"</f>
        <v>CH20170331B   JP4 4010775</v>
      </c>
      <c r="I1394" s="2">
        <v>600</v>
      </c>
      <c r="J1394" t="str">
        <f>"CH20170331B   JP4 4010775"</f>
        <v>CH20170331B   JP4 4010775</v>
      </c>
    </row>
    <row r="1395" spans="1:10" x14ac:dyDescent="0.3">
      <c r="A1395" t="str">
        <f>""</f>
        <v/>
      </c>
      <c r="B1395" t="str">
        <f>""</f>
        <v/>
      </c>
      <c r="G1395" t="str">
        <f>"201708234436"</f>
        <v>201708234436</v>
      </c>
      <c r="H1395" t="str">
        <f>"303162017F"</f>
        <v>303162017F</v>
      </c>
      <c r="I1395" s="2">
        <v>250</v>
      </c>
      <c r="J1395" t="str">
        <f>"303162017F"</f>
        <v>303162017F</v>
      </c>
    </row>
    <row r="1396" spans="1:10" x14ac:dyDescent="0.3">
      <c r="A1396" t="str">
        <f>""</f>
        <v/>
      </c>
      <c r="B1396" t="str">
        <f>""</f>
        <v/>
      </c>
      <c r="G1396" t="str">
        <f>"201708234437"</f>
        <v>201708234437</v>
      </c>
      <c r="H1396" t="str">
        <f>"55 258   CH20170331A"</f>
        <v>55 258   CH20170331A</v>
      </c>
      <c r="I1396" s="2">
        <v>375</v>
      </c>
      <c r="J1396" t="str">
        <f>"55 258   CH20170331A"</f>
        <v>55 258   CH20170331A</v>
      </c>
    </row>
    <row r="1397" spans="1:10" x14ac:dyDescent="0.3">
      <c r="A1397" t="str">
        <f>""</f>
        <v/>
      </c>
      <c r="B1397" t="str">
        <f>""</f>
        <v/>
      </c>
      <c r="G1397" t="str">
        <f>"201708234441"</f>
        <v>201708234441</v>
      </c>
      <c r="H1397" t="str">
        <f>"54 582"</f>
        <v>54 582</v>
      </c>
      <c r="I1397" s="2">
        <v>250</v>
      </c>
      <c r="J1397" t="str">
        <f>"54 582"</f>
        <v>54 582</v>
      </c>
    </row>
    <row r="1398" spans="1:10" x14ac:dyDescent="0.3">
      <c r="A1398" t="str">
        <f>"01"</f>
        <v>01</v>
      </c>
      <c r="B1398" t="str">
        <f>"T12754"</f>
        <v>T12754</v>
      </c>
      <c r="C1398" t="s">
        <v>418</v>
      </c>
      <c r="D1398">
        <v>72357</v>
      </c>
      <c r="E1398" s="2">
        <v>68.5</v>
      </c>
      <c r="F1398" s="1">
        <v>42976</v>
      </c>
      <c r="G1398" t="str">
        <f>"161"</f>
        <v>161</v>
      </c>
      <c r="H1398" t="str">
        <f>"H.P. LJ4200 REPAIRS/JP#4"</f>
        <v>H.P. LJ4200 REPAIRS/JP#4</v>
      </c>
      <c r="I1398" s="2">
        <v>68.5</v>
      </c>
      <c r="J1398" t="str">
        <f>"H.P. LJ4200 REPAIRS/JP#4"</f>
        <v>H.P. LJ4200 REPAIRS/JP#4</v>
      </c>
    </row>
    <row r="1399" spans="1:10" x14ac:dyDescent="0.3">
      <c r="A1399" t="str">
        <f>"01"</f>
        <v>01</v>
      </c>
      <c r="B1399" t="str">
        <f>"T3082"</f>
        <v>T3082</v>
      </c>
      <c r="C1399" t="s">
        <v>419</v>
      </c>
      <c r="D1399">
        <v>72123</v>
      </c>
      <c r="E1399" s="2">
        <v>1500</v>
      </c>
      <c r="F1399" s="1">
        <v>42961</v>
      </c>
      <c r="G1399" t="str">
        <f>"1812011"</f>
        <v>1812011</v>
      </c>
      <c r="H1399" t="str">
        <f>"PCA/RTI#60000/WK STATION"</f>
        <v>PCA/RTI#60000/WK STATION</v>
      </c>
      <c r="I1399" s="2">
        <v>1500</v>
      </c>
      <c r="J1399" t="str">
        <f>"PCA/RTI#60000/WK STATION"</f>
        <v>PCA/RTI#60000/WK STATION</v>
      </c>
    </row>
    <row r="1400" spans="1:10" x14ac:dyDescent="0.3">
      <c r="A1400" t="str">
        <f>"01"</f>
        <v>01</v>
      </c>
      <c r="B1400" t="str">
        <f>"TXTAG"</f>
        <v>TXTAG</v>
      </c>
      <c r="C1400" t="s">
        <v>420</v>
      </c>
      <c r="D1400">
        <v>72353</v>
      </c>
      <c r="E1400" s="2">
        <v>191.44</v>
      </c>
      <c r="F1400" s="1">
        <v>42976</v>
      </c>
      <c r="G1400" t="str">
        <f>"TX TAG STATEMENT"</f>
        <v>TX TAG STATEMENT</v>
      </c>
      <c r="H1400" t="str">
        <f>"Stmt: 7/3/17 to 8/6/17"</f>
        <v>Stmt: 7/3/17 to 8/6/17</v>
      </c>
      <c r="I1400" s="2">
        <v>191.44</v>
      </c>
      <c r="J1400" t="str">
        <f>"Payment"</f>
        <v>Payment</v>
      </c>
    </row>
    <row r="1401" spans="1:10" x14ac:dyDescent="0.3">
      <c r="A1401" t="str">
        <f>"01"</f>
        <v>01</v>
      </c>
      <c r="B1401" t="str">
        <f>"T5739"</f>
        <v>T5739</v>
      </c>
      <c r="C1401" t="s">
        <v>421</v>
      </c>
      <c r="D1401">
        <v>72124</v>
      </c>
      <c r="E1401" s="2">
        <v>375.75</v>
      </c>
      <c r="F1401" s="1">
        <v>42961</v>
      </c>
      <c r="G1401" t="str">
        <f>"57799812-00"</f>
        <v>57799812-00</v>
      </c>
      <c r="H1401" t="str">
        <f>"BOILER REPAIR INV57799812"</f>
        <v>BOILER REPAIR INV57799812</v>
      </c>
      <c r="I1401" s="2">
        <v>338.7</v>
      </c>
      <c r="J1401" t="str">
        <f>"BOILER REPAIR INV57799812"</f>
        <v>BOILER REPAIR INV57799812</v>
      </c>
    </row>
    <row r="1402" spans="1:10" x14ac:dyDescent="0.3">
      <c r="A1402" t="str">
        <f>""</f>
        <v/>
      </c>
      <c r="B1402" t="str">
        <f>""</f>
        <v/>
      </c>
      <c r="G1402" t="str">
        <f>"57872111-00"</f>
        <v>57872111-00</v>
      </c>
      <c r="H1402" t="str">
        <f>"FREEZER REP 57872111-00"</f>
        <v>FREEZER REP 57872111-00</v>
      </c>
      <c r="I1402" s="2">
        <v>11.55</v>
      </c>
      <c r="J1402" t="str">
        <f>"FREEZER REP 57872111-00"</f>
        <v>FREEZER REP 57872111-00</v>
      </c>
    </row>
    <row r="1403" spans="1:10" x14ac:dyDescent="0.3">
      <c r="A1403" t="str">
        <f>""</f>
        <v/>
      </c>
      <c r="B1403" t="str">
        <f>""</f>
        <v/>
      </c>
      <c r="G1403" t="str">
        <f>"58197200-00"</f>
        <v>58197200-00</v>
      </c>
      <c r="H1403" t="str">
        <f>"VAULT 9 INV58197200-00"</f>
        <v>VAULT 9 INV58197200-00</v>
      </c>
      <c r="I1403" s="2">
        <v>25.5</v>
      </c>
      <c r="J1403" t="str">
        <f>"VAULT 9 INV58197200-00"</f>
        <v>VAULT 9 INV58197200-00</v>
      </c>
    </row>
    <row r="1404" spans="1:10" x14ac:dyDescent="0.3">
      <c r="A1404" t="str">
        <f>"01"</f>
        <v>01</v>
      </c>
      <c r="B1404" t="str">
        <f>"T5739"</f>
        <v>T5739</v>
      </c>
      <c r="C1404" t="s">
        <v>421</v>
      </c>
      <c r="D1404">
        <v>72359</v>
      </c>
      <c r="E1404" s="2">
        <v>705.69</v>
      </c>
      <c r="F1404" s="1">
        <v>42976</v>
      </c>
      <c r="G1404" t="str">
        <f>"58438520-00"</f>
        <v>58438520-00</v>
      </c>
      <c r="H1404" t="str">
        <f>"INV 58438520-00"</f>
        <v>INV 58438520-00</v>
      </c>
      <c r="I1404" s="2">
        <v>705.69</v>
      </c>
      <c r="J1404" t="str">
        <f>"INV 58438520-00"</f>
        <v>INV 58438520-00</v>
      </c>
    </row>
    <row r="1405" spans="1:10" x14ac:dyDescent="0.3">
      <c r="A1405" t="str">
        <f>"01"</f>
        <v>01</v>
      </c>
      <c r="B1405" t="str">
        <f>"T12006"</f>
        <v>T12006</v>
      </c>
      <c r="C1405" t="s">
        <v>422</v>
      </c>
      <c r="D1405">
        <v>72125</v>
      </c>
      <c r="E1405" s="2">
        <v>1251.9000000000001</v>
      </c>
      <c r="F1405" s="1">
        <v>42961</v>
      </c>
      <c r="G1405" t="str">
        <f>"201708084145"</f>
        <v>201708084145</v>
      </c>
      <c r="H1405" t="str">
        <f>"ACCT#0010/AUTO SVCS/PCT#2"</f>
        <v>ACCT#0010/AUTO SVCS/PCT#2</v>
      </c>
      <c r="I1405" s="2">
        <v>258.49</v>
      </c>
      <c r="J1405" t="str">
        <f>"ACCT#0010/AUTO SVCS/PCT#2"</f>
        <v>ACCT#0010/AUTO SVCS/PCT#2</v>
      </c>
    </row>
    <row r="1406" spans="1:10" x14ac:dyDescent="0.3">
      <c r="A1406" t="str">
        <f>""</f>
        <v/>
      </c>
      <c r="B1406" t="str">
        <f>""</f>
        <v/>
      </c>
      <c r="G1406" t="str">
        <f>"342351/880/897"</f>
        <v>342351/880/897</v>
      </c>
      <c r="H1406" t="str">
        <f>"ACCT#0011/TIRE SVCS/PCT#3"</f>
        <v>ACCT#0011/TIRE SVCS/PCT#3</v>
      </c>
      <c r="I1406" s="2">
        <v>529.48</v>
      </c>
      <c r="J1406" t="str">
        <f>"ACCT#0011/TIRE SVCS/PCT#3"</f>
        <v>ACCT#0011/TIRE SVCS/PCT#3</v>
      </c>
    </row>
    <row r="1407" spans="1:10" x14ac:dyDescent="0.3">
      <c r="A1407" t="str">
        <f>""</f>
        <v/>
      </c>
      <c r="B1407" t="str">
        <f>""</f>
        <v/>
      </c>
      <c r="G1407" t="str">
        <f>"342688"</f>
        <v>342688</v>
      </c>
      <c r="H1407" t="str">
        <f>"ACCT#0008/2003 FORD PICK UP"</f>
        <v>ACCT#0008/2003 FORD PICK UP</v>
      </c>
      <c r="I1407" s="2">
        <v>351.94</v>
      </c>
      <c r="J1407" t="str">
        <f>"ACCT#0008/2003 FORD PICK UP"</f>
        <v>ACCT#0008/2003 FORD PICK UP</v>
      </c>
    </row>
    <row r="1408" spans="1:10" x14ac:dyDescent="0.3">
      <c r="A1408" t="str">
        <f>""</f>
        <v/>
      </c>
      <c r="B1408" t="str">
        <f>""</f>
        <v/>
      </c>
      <c r="G1408" t="str">
        <f>"342799"</f>
        <v>342799</v>
      </c>
      <c r="H1408" t="str">
        <f>"ACCT#0021/1999 FORD RANGER"</f>
        <v>ACCT#0021/1999 FORD RANGER</v>
      </c>
      <c r="I1408" s="2">
        <v>111.99</v>
      </c>
      <c r="J1408" t="str">
        <f>"ACCT#0021/1999 FORD RANGER"</f>
        <v>ACCT#0021/1999 FORD RANGER</v>
      </c>
    </row>
    <row r="1409" spans="1:10" x14ac:dyDescent="0.3">
      <c r="A1409" t="str">
        <f t="shared" ref="A1409:A1416" si="26">"01"</f>
        <v>01</v>
      </c>
      <c r="B1409" t="str">
        <f>"000775"</f>
        <v>000775</v>
      </c>
      <c r="C1409" t="s">
        <v>423</v>
      </c>
      <c r="D1409">
        <v>72360</v>
      </c>
      <c r="E1409" s="2">
        <v>25.64</v>
      </c>
      <c r="F1409" s="1">
        <v>42976</v>
      </c>
      <c r="G1409" t="str">
        <f>"000018VW63337"</f>
        <v>000018VW63337</v>
      </c>
      <c r="H1409" t="str">
        <f>"SHIPPER#18VW63"</f>
        <v>SHIPPER#18VW63</v>
      </c>
      <c r="I1409" s="2">
        <v>25.64</v>
      </c>
      <c r="J1409" t="str">
        <f>"SHIPPER#18VW63"</f>
        <v>SHIPPER#18VW63</v>
      </c>
    </row>
    <row r="1410" spans="1:10" x14ac:dyDescent="0.3">
      <c r="A1410" t="str">
        <f t="shared" si="26"/>
        <v>01</v>
      </c>
      <c r="B1410" t="str">
        <f>"PIPER"</f>
        <v>PIPER</v>
      </c>
      <c r="C1410" t="s">
        <v>424</v>
      </c>
      <c r="D1410">
        <v>72126</v>
      </c>
      <c r="E1410" s="2">
        <v>400</v>
      </c>
      <c r="F1410" s="1">
        <v>42961</v>
      </c>
      <c r="G1410" t="str">
        <f>"201707283879"</f>
        <v>201707283879</v>
      </c>
      <c r="H1410" t="str">
        <f>"ATTORNEY AD LITEM FEES"</f>
        <v>ATTORNEY AD LITEM FEES</v>
      </c>
      <c r="I1410" s="2">
        <v>400</v>
      </c>
      <c r="J1410" t="str">
        <f>"ATTORNEY AD LITEM FEES"</f>
        <v>ATTORNEY AD LITEM FEES</v>
      </c>
    </row>
    <row r="1411" spans="1:10" x14ac:dyDescent="0.3">
      <c r="A1411" t="str">
        <f t="shared" si="26"/>
        <v>01</v>
      </c>
      <c r="B1411" t="str">
        <f>"001445"</f>
        <v>001445</v>
      </c>
      <c r="C1411" t="s">
        <v>425</v>
      </c>
      <c r="D1411">
        <v>72127</v>
      </c>
      <c r="E1411" s="2">
        <v>150.06</v>
      </c>
      <c r="F1411" s="1">
        <v>42961</v>
      </c>
      <c r="G1411" t="str">
        <f>"2003648"</f>
        <v>2003648</v>
      </c>
      <c r="H1411" t="str">
        <f>"REMOTE BIRTH ACCESS-JULY '17"</f>
        <v>REMOTE BIRTH ACCESS-JULY '17</v>
      </c>
      <c r="I1411" s="2">
        <v>150.06</v>
      </c>
      <c r="J1411" t="str">
        <f>"REMOTE BIRTH ACCESS-JULY '17"</f>
        <v>REMOTE BIRTH ACCESS-JULY '17</v>
      </c>
    </row>
    <row r="1412" spans="1:10" x14ac:dyDescent="0.3">
      <c r="A1412" t="str">
        <f t="shared" si="26"/>
        <v>01</v>
      </c>
      <c r="B1412" t="str">
        <f>"002870"</f>
        <v>002870</v>
      </c>
      <c r="C1412" t="s">
        <v>426</v>
      </c>
      <c r="D1412">
        <v>72361</v>
      </c>
      <c r="E1412" s="2">
        <v>40.270000000000003</v>
      </c>
      <c r="F1412" s="1">
        <v>42976</v>
      </c>
      <c r="G1412" t="str">
        <f>"201708234411"</f>
        <v>201708234411</v>
      </c>
      <c r="H1412" t="str">
        <f>"INDIGENT HEALTH"</f>
        <v>INDIGENT HEALTH</v>
      </c>
      <c r="I1412" s="2">
        <v>40.270000000000003</v>
      </c>
      <c r="J1412" t="str">
        <f>"INDIGENT HEALTH"</f>
        <v>INDIGENT HEALTH</v>
      </c>
    </row>
    <row r="1413" spans="1:10" x14ac:dyDescent="0.3">
      <c r="A1413" t="str">
        <f t="shared" si="26"/>
        <v>01</v>
      </c>
      <c r="B1413" t="str">
        <f>"VI"</f>
        <v>VI</v>
      </c>
      <c r="C1413" t="s">
        <v>427</v>
      </c>
      <c r="D1413">
        <v>72128</v>
      </c>
      <c r="E1413" s="2">
        <v>2185</v>
      </c>
      <c r="F1413" s="1">
        <v>42961</v>
      </c>
      <c r="G1413" t="str">
        <f>"310322"</f>
        <v>310322</v>
      </c>
      <c r="H1413" t="str">
        <f>"Materials"</f>
        <v>Materials</v>
      </c>
      <c r="I1413" s="2">
        <v>2185</v>
      </c>
      <c r="J1413" t="s">
        <v>428</v>
      </c>
    </row>
    <row r="1414" spans="1:10" x14ac:dyDescent="0.3">
      <c r="A1414" t="str">
        <f t="shared" si="26"/>
        <v>01</v>
      </c>
      <c r="B1414" t="str">
        <f>"004767"</f>
        <v>004767</v>
      </c>
      <c r="C1414" t="s">
        <v>429</v>
      </c>
      <c r="D1414">
        <v>72362</v>
      </c>
      <c r="E1414" s="2">
        <v>96.14</v>
      </c>
      <c r="F1414" s="1">
        <v>42976</v>
      </c>
      <c r="G1414" t="str">
        <f>"0717 - DR14926"</f>
        <v>0717 - DR14926</v>
      </c>
      <c r="H1414" t="str">
        <f>"CLIENT# CXD 14926/7-1 TO 7-31"</f>
        <v>CLIENT# CXD 14926/7-1 TO 7-31</v>
      </c>
      <c r="I1414" s="2">
        <v>96.14</v>
      </c>
      <c r="J1414" t="str">
        <f>"CLIENT# CXD 14926/7-1 TO 7-31"</f>
        <v>CLIENT# CXD 14926/7-1 TO 7-31</v>
      </c>
    </row>
    <row r="1415" spans="1:10" x14ac:dyDescent="0.3">
      <c r="A1415" t="str">
        <f t="shared" si="26"/>
        <v>01</v>
      </c>
      <c r="B1415" t="str">
        <f>"003629"</f>
        <v>003629</v>
      </c>
      <c r="C1415" t="s">
        <v>430</v>
      </c>
      <c r="D1415">
        <v>0</v>
      </c>
      <c r="E1415" s="2">
        <v>2604.5300000000002</v>
      </c>
      <c r="F1415" s="1">
        <v>42961</v>
      </c>
      <c r="G1415" t="str">
        <f>"12621"</f>
        <v>12621</v>
      </c>
      <c r="H1415" t="str">
        <f>"TICKET#013279/PCT#4"</f>
        <v>TICKET#013279/PCT#4</v>
      </c>
      <c r="I1415" s="2">
        <v>2604.5300000000002</v>
      </c>
      <c r="J1415" t="str">
        <f>"TICKET#013279/PCT#4"</f>
        <v>TICKET#013279/PCT#4</v>
      </c>
    </row>
    <row r="1416" spans="1:10" x14ac:dyDescent="0.3">
      <c r="A1416" t="str">
        <f t="shared" si="26"/>
        <v>01</v>
      </c>
      <c r="B1416" t="str">
        <f>"WALMAR"</f>
        <v>WALMAR</v>
      </c>
      <c r="C1416" t="s">
        <v>431</v>
      </c>
      <c r="D1416">
        <v>72129</v>
      </c>
      <c r="E1416" s="2">
        <v>395.55</v>
      </c>
      <c r="F1416" s="1">
        <v>42961</v>
      </c>
      <c r="G1416" t="str">
        <f>"STMT-7/22/2017"</f>
        <v>STMT-7/22/2017</v>
      </c>
      <c r="H1416" t="str">
        <f>"ACCT# 6032202005312476"</f>
        <v>ACCT# 6032202005312476</v>
      </c>
      <c r="I1416" s="2">
        <v>395.55</v>
      </c>
      <c r="J1416" t="str">
        <f>"INV# 007663"</f>
        <v>INV# 007663</v>
      </c>
    </row>
    <row r="1417" spans="1:10" x14ac:dyDescent="0.3">
      <c r="A1417" t="str">
        <f>""</f>
        <v/>
      </c>
      <c r="B1417" t="str">
        <f>""</f>
        <v/>
      </c>
      <c r="G1417" t="str">
        <f>""</f>
        <v/>
      </c>
      <c r="H1417" t="str">
        <f>""</f>
        <v/>
      </c>
      <c r="J1417" t="str">
        <f>"INV# 003215"</f>
        <v>INV# 003215</v>
      </c>
    </row>
    <row r="1418" spans="1:10" x14ac:dyDescent="0.3">
      <c r="A1418" t="str">
        <f>""</f>
        <v/>
      </c>
      <c r="B1418" t="str">
        <f>""</f>
        <v/>
      </c>
      <c r="G1418" t="str">
        <f>""</f>
        <v/>
      </c>
      <c r="H1418" t="str">
        <f>""</f>
        <v/>
      </c>
      <c r="J1418" t="str">
        <f>"INV# 006761"</f>
        <v>INV# 006761</v>
      </c>
    </row>
    <row r="1419" spans="1:10" x14ac:dyDescent="0.3">
      <c r="A1419" t="str">
        <f>""</f>
        <v/>
      </c>
      <c r="B1419" t="str">
        <f>""</f>
        <v/>
      </c>
      <c r="G1419" t="str">
        <f>""</f>
        <v/>
      </c>
      <c r="H1419" t="str">
        <f>""</f>
        <v/>
      </c>
      <c r="J1419" t="str">
        <f>"INV# 002218"</f>
        <v>INV# 002218</v>
      </c>
    </row>
    <row r="1420" spans="1:10" x14ac:dyDescent="0.3">
      <c r="A1420" t="str">
        <f>""</f>
        <v/>
      </c>
      <c r="B1420" t="str">
        <f>""</f>
        <v/>
      </c>
      <c r="G1420" t="str">
        <f>""</f>
        <v/>
      </c>
      <c r="H1420" t="str">
        <f>""</f>
        <v/>
      </c>
      <c r="J1420" t="str">
        <f>"INV# 009154"</f>
        <v>INV# 009154</v>
      </c>
    </row>
    <row r="1421" spans="1:10" x14ac:dyDescent="0.3">
      <c r="A1421" t="str">
        <f>""</f>
        <v/>
      </c>
      <c r="B1421" t="str">
        <f>""</f>
        <v/>
      </c>
      <c r="G1421" t="str">
        <f>""</f>
        <v/>
      </c>
      <c r="H1421" t="str">
        <f>""</f>
        <v/>
      </c>
      <c r="J1421" t="str">
        <f>"INV# 007847"</f>
        <v>INV# 007847</v>
      </c>
    </row>
    <row r="1422" spans="1:10" x14ac:dyDescent="0.3">
      <c r="A1422" t="str">
        <f>""</f>
        <v/>
      </c>
      <c r="B1422" t="str">
        <f>""</f>
        <v/>
      </c>
      <c r="G1422" t="str">
        <f>""</f>
        <v/>
      </c>
      <c r="H1422" t="str">
        <f>""</f>
        <v/>
      </c>
      <c r="J1422" t="str">
        <f>"INV# 003735"</f>
        <v>INV# 003735</v>
      </c>
    </row>
    <row r="1423" spans="1:10" x14ac:dyDescent="0.3">
      <c r="A1423" t="str">
        <f>""</f>
        <v/>
      </c>
      <c r="B1423" t="str">
        <f>""</f>
        <v/>
      </c>
      <c r="G1423" t="str">
        <f>""</f>
        <v/>
      </c>
      <c r="H1423" t="str">
        <f>""</f>
        <v/>
      </c>
      <c r="J1423" t="str">
        <f>"INV# 007958"</f>
        <v>INV# 007958</v>
      </c>
    </row>
    <row r="1424" spans="1:10" x14ac:dyDescent="0.3">
      <c r="A1424" t="str">
        <f>"01"</f>
        <v>01</v>
      </c>
      <c r="B1424" t="str">
        <f>"004310"</f>
        <v>004310</v>
      </c>
      <c r="C1424" t="s">
        <v>432</v>
      </c>
      <c r="D1424">
        <v>72130</v>
      </c>
      <c r="E1424" s="2">
        <v>252.35</v>
      </c>
      <c r="F1424" s="1">
        <v>42961</v>
      </c>
      <c r="G1424" t="str">
        <f>"0034743-2162-1"</f>
        <v>0034743-2162-1</v>
      </c>
      <c r="H1424" t="str">
        <f>"CUST#16-27603-83003/BCAS"</f>
        <v>CUST#16-27603-83003/BCAS</v>
      </c>
      <c r="I1424" s="2">
        <v>252.35</v>
      </c>
      <c r="J1424" t="str">
        <f>"CUST#16-27603-83003/BCAS"</f>
        <v>CUST#16-27603-83003/BCAS</v>
      </c>
    </row>
    <row r="1425" spans="1:10" x14ac:dyDescent="0.3">
      <c r="A1425" t="str">
        <f>"01"</f>
        <v>01</v>
      </c>
      <c r="B1425" t="str">
        <f>"004877"</f>
        <v>004877</v>
      </c>
      <c r="C1425" t="s">
        <v>433</v>
      </c>
      <c r="D1425">
        <v>72131</v>
      </c>
      <c r="E1425" s="2">
        <v>8754.52</v>
      </c>
      <c r="F1425" s="1">
        <v>42961</v>
      </c>
      <c r="G1425" t="str">
        <f>"1701756567"</f>
        <v>1701756567</v>
      </c>
      <c r="H1425" t="str">
        <f>"ACCT#5150-005129483/ROLL OFF'S"</f>
        <v>ACCT#5150-005129483/ROLL OFF'S</v>
      </c>
      <c r="I1425" s="2">
        <v>6513.5</v>
      </c>
      <c r="J1425" t="str">
        <f>"ACCT#5150-005129483/ROLL OFF'S"</f>
        <v>ACCT#5150-005129483/ROLL OFF'S</v>
      </c>
    </row>
    <row r="1426" spans="1:10" x14ac:dyDescent="0.3">
      <c r="A1426" t="str">
        <f>""</f>
        <v/>
      </c>
      <c r="B1426" t="str">
        <f>""</f>
        <v/>
      </c>
      <c r="G1426" t="str">
        <f>"1701766681"</f>
        <v>1701766681</v>
      </c>
      <c r="H1426" t="str">
        <f>"ACCT#5151-005117766/GRADY TK B"</f>
        <v>ACCT#5151-005117766/GRADY TK B</v>
      </c>
      <c r="I1426" s="2">
        <v>209.28</v>
      </c>
      <c r="J1426" t="str">
        <f>"ACCT#5151-005117766/GRADY TK B"</f>
        <v>ACCT#5151-005117766/GRADY TK B</v>
      </c>
    </row>
    <row r="1427" spans="1:10" x14ac:dyDescent="0.3">
      <c r="A1427" t="str">
        <f>""</f>
        <v/>
      </c>
      <c r="B1427" t="str">
        <f>""</f>
        <v/>
      </c>
      <c r="G1427" t="str">
        <f>"1701766682"</f>
        <v>1701766682</v>
      </c>
      <c r="H1427" t="str">
        <f>"ACCT#5151-005117838/BAST CNTY"</f>
        <v>ACCT#5151-005117838/BAST CNTY</v>
      </c>
      <c r="I1427" s="2">
        <v>193.7</v>
      </c>
      <c r="J1427" t="str">
        <f>"ACCT#5151-005117838/BAST CNTY"</f>
        <v>ACCT#5151-005117838/BAST CNTY</v>
      </c>
    </row>
    <row r="1428" spans="1:10" x14ac:dyDescent="0.3">
      <c r="A1428" t="str">
        <f>""</f>
        <v/>
      </c>
      <c r="B1428" t="str">
        <f>""</f>
        <v/>
      </c>
      <c r="G1428" t="str">
        <f>"1701766684"</f>
        <v>1701766684</v>
      </c>
      <c r="H1428" t="str">
        <f>"ACCT#5151-005117882/DEVELOP CT"</f>
        <v>ACCT#5151-005117882/DEVELOP CT</v>
      </c>
      <c r="I1428" s="2">
        <v>261.56</v>
      </c>
      <c r="J1428" t="str">
        <f>"ACCT#5151-005117882/DEVELOP CT"</f>
        <v>ACCT#5151-005117882/DEVELOP CT</v>
      </c>
    </row>
    <row r="1429" spans="1:10" x14ac:dyDescent="0.3">
      <c r="A1429" t="str">
        <f>""</f>
        <v/>
      </c>
      <c r="B1429" t="str">
        <f>""</f>
        <v/>
      </c>
      <c r="G1429" t="str">
        <f>"1701766687"</f>
        <v>1701766687</v>
      </c>
      <c r="H1429" t="str">
        <f>"ACCT#5151-005118183/LAW ENFORC"</f>
        <v>ACCT#5151-005118183/LAW ENFORC</v>
      </c>
      <c r="I1429" s="2">
        <v>1122.8399999999999</v>
      </c>
      <c r="J1429" t="str">
        <f>"ACCT#5151-005118183/LAW ENFORC"</f>
        <v>ACCT#5151-005118183/LAW ENFORC</v>
      </c>
    </row>
    <row r="1430" spans="1:10" x14ac:dyDescent="0.3">
      <c r="A1430" t="str">
        <f>""</f>
        <v/>
      </c>
      <c r="B1430" t="str">
        <f>""</f>
        <v/>
      </c>
      <c r="G1430" t="str">
        <f>"5151-005117630"</f>
        <v>5151-005117630</v>
      </c>
      <c r="H1430" t="str">
        <f>"ACCT#1701766680/PURCHASING DEP"</f>
        <v>ACCT#1701766680/PURCHASING DEP</v>
      </c>
      <c r="I1430" s="2">
        <v>453.64</v>
      </c>
      <c r="J1430" t="str">
        <f>"ACCT#1701766680/PURCHASING DEP"</f>
        <v>ACCT#1701766680/PURCHASING DEP</v>
      </c>
    </row>
    <row r="1431" spans="1:10" x14ac:dyDescent="0.3">
      <c r="A1431" t="str">
        <f>"01"</f>
        <v>01</v>
      </c>
      <c r="B1431" t="str">
        <f>"004877"</f>
        <v>004877</v>
      </c>
      <c r="C1431" t="s">
        <v>433</v>
      </c>
      <c r="D1431">
        <v>72363</v>
      </c>
      <c r="E1431" s="2">
        <v>16081.5</v>
      </c>
      <c r="F1431" s="1">
        <v>42976</v>
      </c>
      <c r="G1431" t="str">
        <f>"1701781847"</f>
        <v>1701781847</v>
      </c>
      <c r="H1431" t="str">
        <f>"#5150-005129483/601 COOL WATER"</f>
        <v>#5150-005129483/601 COOL WATER</v>
      </c>
      <c r="I1431" s="2">
        <v>8515</v>
      </c>
      <c r="J1431" t="str">
        <f>"#5150-005129483/601 COOL WATER"</f>
        <v>#5150-005129483/601 COOL WATER</v>
      </c>
    </row>
    <row r="1432" spans="1:10" x14ac:dyDescent="0.3">
      <c r="A1432" t="str">
        <f>""</f>
        <v/>
      </c>
      <c r="B1432" t="str">
        <f>""</f>
        <v/>
      </c>
      <c r="G1432" t="str">
        <f>"5150-005129483"</f>
        <v>5150-005129483</v>
      </c>
      <c r="H1432" t="str">
        <f>"#5150-005129483/601 COOL WATER"</f>
        <v>#5150-005129483/601 COOL WATER</v>
      </c>
      <c r="I1432" s="2">
        <v>7566.5</v>
      </c>
      <c r="J1432" t="str">
        <f>"#5150-005129483/601 COOL WATER"</f>
        <v>#5150-005129483/601 COOL WATER</v>
      </c>
    </row>
    <row r="1433" spans="1:10" x14ac:dyDescent="0.3">
      <c r="A1433" t="str">
        <f t="shared" ref="A1433:A1438" si="27">"01"</f>
        <v>01</v>
      </c>
      <c r="B1433" t="str">
        <f>"005189"</f>
        <v>005189</v>
      </c>
      <c r="C1433" t="s">
        <v>434</v>
      </c>
      <c r="D1433">
        <v>72169</v>
      </c>
      <c r="E1433" s="2">
        <v>369.51</v>
      </c>
      <c r="F1433" s="1">
        <v>42964</v>
      </c>
      <c r="G1433" t="str">
        <f>"LODGING-A RAMIREZ"</f>
        <v>LODGING-A RAMIREZ</v>
      </c>
      <c r="H1433" t="str">
        <f>"LODGING"</f>
        <v>LODGING</v>
      </c>
      <c r="I1433" s="2">
        <v>369.51</v>
      </c>
      <c r="J1433" t="str">
        <f>"LODGING"</f>
        <v>LODGING</v>
      </c>
    </row>
    <row r="1434" spans="1:10" x14ac:dyDescent="0.3">
      <c r="A1434" t="str">
        <f t="shared" si="27"/>
        <v>01</v>
      </c>
      <c r="B1434" t="str">
        <f>"003479"</f>
        <v>003479</v>
      </c>
      <c r="C1434" t="s">
        <v>435</v>
      </c>
      <c r="D1434">
        <v>72132</v>
      </c>
      <c r="E1434" s="2">
        <v>36.96</v>
      </c>
      <c r="F1434" s="1">
        <v>42961</v>
      </c>
      <c r="G1434" t="str">
        <f>"225657"</f>
        <v>225657</v>
      </c>
      <c r="H1434" t="str">
        <f>"PCT#1/FLOOD"</f>
        <v>PCT#1/FLOOD</v>
      </c>
      <c r="I1434" s="2">
        <v>36.96</v>
      </c>
      <c r="J1434" t="str">
        <f>"PCT#1/FLOOD"</f>
        <v>PCT#1/FLOOD</v>
      </c>
    </row>
    <row r="1435" spans="1:10" x14ac:dyDescent="0.3">
      <c r="A1435" t="str">
        <f t="shared" si="27"/>
        <v>01</v>
      </c>
      <c r="B1435" t="str">
        <f>"003479"</f>
        <v>003479</v>
      </c>
      <c r="C1435" t="s">
        <v>435</v>
      </c>
      <c r="D1435">
        <v>72364</v>
      </c>
      <c r="E1435" s="2">
        <v>26.1</v>
      </c>
      <c r="F1435" s="1">
        <v>42976</v>
      </c>
      <c r="G1435" t="str">
        <f>"230243"</f>
        <v>230243</v>
      </c>
      <c r="H1435" t="str">
        <f>"JACK PALLET RENTAL/GEN SVCS"</f>
        <v>JACK PALLET RENTAL/GEN SVCS</v>
      </c>
      <c r="I1435" s="2">
        <v>26.1</v>
      </c>
      <c r="J1435" t="str">
        <f>"JACK PALLET RENTAL/GEN SVCS"</f>
        <v>JACK PALLET RENTAL/GEN SVCS</v>
      </c>
    </row>
    <row r="1436" spans="1:10" x14ac:dyDescent="0.3">
      <c r="A1436" t="str">
        <f t="shared" si="27"/>
        <v>01</v>
      </c>
      <c r="B1436" t="str">
        <f>"005011"</f>
        <v>005011</v>
      </c>
      <c r="C1436" t="s">
        <v>436</v>
      </c>
      <c r="D1436">
        <v>72170</v>
      </c>
      <c r="E1436" s="2">
        <v>485</v>
      </c>
      <c r="F1436" s="1">
        <v>42964</v>
      </c>
      <c r="G1436" t="str">
        <f>"TRAINING-A RAMIREZ"</f>
        <v>TRAINING-A RAMIREZ</v>
      </c>
      <c r="H1436" t="str">
        <f>"TRAINING"</f>
        <v>TRAINING</v>
      </c>
      <c r="I1436" s="2">
        <v>485</v>
      </c>
      <c r="J1436" t="str">
        <f>"TRAINING"</f>
        <v>TRAINING</v>
      </c>
    </row>
    <row r="1437" spans="1:10" x14ac:dyDescent="0.3">
      <c r="A1437" t="str">
        <f t="shared" si="27"/>
        <v>01</v>
      </c>
      <c r="B1437" t="str">
        <f>"LIN"</f>
        <v>LIN</v>
      </c>
      <c r="C1437" t="s">
        <v>437</v>
      </c>
      <c r="D1437">
        <v>0</v>
      </c>
      <c r="E1437" s="2">
        <v>12500</v>
      </c>
      <c r="F1437" s="1">
        <v>42975</v>
      </c>
      <c r="G1437" t="str">
        <f>"AUGUST 2017"</f>
        <v>AUGUST 2017</v>
      </c>
      <c r="H1437" t="str">
        <f>"Yearly Contract"</f>
        <v>Yearly Contract</v>
      </c>
      <c r="I1437" s="2">
        <v>12500</v>
      </c>
      <c r="J1437" t="str">
        <f>"Yearly Contract"</f>
        <v>Yearly Contract</v>
      </c>
    </row>
    <row r="1438" spans="1:10" x14ac:dyDescent="0.3">
      <c r="A1438" t="str">
        <f t="shared" si="27"/>
        <v>01</v>
      </c>
      <c r="B1438" t="str">
        <f>"WPC"</f>
        <v>WPC</v>
      </c>
      <c r="C1438" t="s">
        <v>438</v>
      </c>
      <c r="D1438">
        <v>72365</v>
      </c>
      <c r="E1438" s="2">
        <v>527</v>
      </c>
      <c r="F1438" s="1">
        <v>42976</v>
      </c>
      <c r="G1438" t="str">
        <f>"836545048"</f>
        <v>836545048</v>
      </c>
      <c r="H1438" t="str">
        <f>"ACCT#1000648597/WEST INFO CHRG"</f>
        <v>ACCT#1000648597/WEST INFO CHRG</v>
      </c>
      <c r="I1438" s="2">
        <v>396</v>
      </c>
      <c r="J1438" t="str">
        <f>"ACCT#1000648597/WEST INFO CHRG"</f>
        <v>ACCT#1000648597/WEST INFO CHRG</v>
      </c>
    </row>
    <row r="1439" spans="1:10" x14ac:dyDescent="0.3">
      <c r="A1439" t="str">
        <f>""</f>
        <v/>
      </c>
      <c r="B1439" t="str">
        <f>""</f>
        <v/>
      </c>
      <c r="G1439" t="str">
        <f>"836629957"</f>
        <v>836629957</v>
      </c>
      <c r="H1439" t="str">
        <f>"ACCT#1000004347.COUNTY CLERK"</f>
        <v>ACCT#1000004347.COUNTY CLERK</v>
      </c>
      <c r="I1439" s="2">
        <v>131</v>
      </c>
      <c r="J1439" t="str">
        <f>"ACCT#1000004347.COUNTY CLERK"</f>
        <v>ACCT#1000004347.COUNTY CLERK</v>
      </c>
    </row>
    <row r="1440" spans="1:10" x14ac:dyDescent="0.3">
      <c r="A1440" t="str">
        <f>"01"</f>
        <v>01</v>
      </c>
      <c r="B1440" t="str">
        <f>"004074"</f>
        <v>004074</v>
      </c>
      <c r="C1440" t="s">
        <v>439</v>
      </c>
      <c r="D1440">
        <v>72366</v>
      </c>
      <c r="E1440" s="2">
        <v>14823.17</v>
      </c>
      <c r="F1440" s="1">
        <v>42976</v>
      </c>
      <c r="G1440" t="str">
        <f>"18731"</f>
        <v>18731</v>
      </c>
      <c r="H1440" t="str">
        <f>"INV 18731"</f>
        <v>INV 18731</v>
      </c>
      <c r="I1440" s="2">
        <v>14823.17</v>
      </c>
      <c r="J1440" t="str">
        <f>"INV 18731"</f>
        <v>INV 18731</v>
      </c>
    </row>
    <row r="1441" spans="1:10" x14ac:dyDescent="0.3">
      <c r="A1441" t="str">
        <f>"01"</f>
        <v>01</v>
      </c>
      <c r="B1441" t="str">
        <f>"002550"</f>
        <v>002550</v>
      </c>
      <c r="C1441" t="s">
        <v>440</v>
      </c>
      <c r="D1441">
        <v>72367</v>
      </c>
      <c r="E1441" s="2">
        <v>70</v>
      </c>
      <c r="F1441" s="1">
        <v>42976</v>
      </c>
      <c r="G1441" t="str">
        <f>"11597"</f>
        <v>11597</v>
      </c>
      <c r="H1441" t="str">
        <f>"SERVICE 6/30/17"</f>
        <v>SERVICE 6/30/17</v>
      </c>
      <c r="I1441" s="2">
        <v>70</v>
      </c>
      <c r="J1441" t="str">
        <f>"SERVICE 6/30/17"</f>
        <v>SERVICE 6/30/17</v>
      </c>
    </row>
    <row r="1442" spans="1:10" x14ac:dyDescent="0.3">
      <c r="A1442" t="str">
        <f>"01"</f>
        <v>01</v>
      </c>
      <c r="B1442" t="str">
        <f>"XEROX"</f>
        <v>XEROX</v>
      </c>
      <c r="C1442" t="s">
        <v>441</v>
      </c>
      <c r="D1442">
        <v>72133</v>
      </c>
      <c r="E1442" s="2">
        <v>170.91</v>
      </c>
      <c r="F1442" s="1">
        <v>42961</v>
      </c>
      <c r="G1442" t="str">
        <f>"090080216"</f>
        <v>090080216</v>
      </c>
      <c r="H1442" t="str">
        <f>"CUST#662445931/TAX OFFICE"</f>
        <v>CUST#662445931/TAX OFFICE</v>
      </c>
      <c r="I1442" s="2">
        <v>106.45</v>
      </c>
      <c r="J1442" t="str">
        <f>"CUST#662445931/TAX OFFICE"</f>
        <v>CUST#662445931/TAX OFFICE</v>
      </c>
    </row>
    <row r="1443" spans="1:10" x14ac:dyDescent="0.3">
      <c r="A1443" t="str">
        <f>""</f>
        <v/>
      </c>
      <c r="B1443" t="str">
        <f>""</f>
        <v/>
      </c>
      <c r="G1443" t="str">
        <f>"090080217"</f>
        <v>090080217</v>
      </c>
      <c r="H1443" t="str">
        <f>"CUST#662445931"</f>
        <v>CUST#662445931</v>
      </c>
      <c r="I1443" s="2">
        <v>32.229999999999997</v>
      </c>
      <c r="J1443" t="str">
        <f>"CUST#662445931"</f>
        <v>CUST#662445931</v>
      </c>
    </row>
    <row r="1444" spans="1:10" x14ac:dyDescent="0.3">
      <c r="A1444" t="str">
        <f>""</f>
        <v/>
      </c>
      <c r="B1444" t="str">
        <f>""</f>
        <v/>
      </c>
      <c r="G1444" t="str">
        <f>"090080226"</f>
        <v>090080226</v>
      </c>
      <c r="H1444" t="str">
        <f>"CUST#723230843"</f>
        <v>CUST#723230843</v>
      </c>
      <c r="I1444" s="2">
        <v>32.229999999999997</v>
      </c>
      <c r="J1444" t="str">
        <f>"CUST#723230843"</f>
        <v>CUST#723230843</v>
      </c>
    </row>
    <row r="1445" spans="1:10" x14ac:dyDescent="0.3">
      <c r="A1445" t="str">
        <f>"01"</f>
        <v>01</v>
      </c>
      <c r="B1445" t="str">
        <f>"T4634"</f>
        <v>T4634</v>
      </c>
      <c r="C1445" t="s">
        <v>442</v>
      </c>
      <c r="D1445">
        <v>72368</v>
      </c>
      <c r="E1445" s="2">
        <v>202.1</v>
      </c>
      <c r="F1445" s="1">
        <v>42976</v>
      </c>
      <c r="G1445" t="str">
        <f>"9002954472"</f>
        <v>9002954472</v>
      </c>
      <c r="H1445" t="str">
        <f>"CUST#31041142/PCT#4"</f>
        <v>CUST#31041142/PCT#4</v>
      </c>
      <c r="I1445" s="2">
        <v>202.1</v>
      </c>
      <c r="J1445" t="str">
        <f>"CUST#31041142/PCT#4"</f>
        <v>CUST#31041142/PCT#4</v>
      </c>
    </row>
    <row r="1446" spans="1:10" x14ac:dyDescent="0.3">
      <c r="A1446" t="str">
        <f>"01"</f>
        <v>01</v>
      </c>
      <c r="B1446" t="str">
        <f>"005175"</f>
        <v>005175</v>
      </c>
      <c r="C1446" t="s">
        <v>443</v>
      </c>
      <c r="D1446">
        <v>72134</v>
      </c>
      <c r="E1446" s="2">
        <v>3520</v>
      </c>
      <c r="F1446" s="1">
        <v>42961</v>
      </c>
      <c r="G1446" t="str">
        <f>"1642"</f>
        <v>1642</v>
      </c>
      <c r="H1446" t="str">
        <f>"TKT#6947/6948  PCT#4"</f>
        <v>TKT#6947/6948  PCT#4</v>
      </c>
      <c r="I1446" s="2">
        <v>3520</v>
      </c>
      <c r="J1446" t="str">
        <f>"TKT#6947/6948  PCT#4"</f>
        <v>TKT#6947/6948  PCT#4</v>
      </c>
    </row>
    <row r="1447" spans="1:10" x14ac:dyDescent="0.3">
      <c r="A1447" t="str">
        <f>"01"</f>
        <v>01</v>
      </c>
      <c r="B1447" t="str">
        <f>"000598"</f>
        <v>000598</v>
      </c>
      <c r="C1447" t="s">
        <v>11</v>
      </c>
      <c r="D1447">
        <v>72135</v>
      </c>
      <c r="E1447" s="2">
        <v>10112.6</v>
      </c>
      <c r="F1447" s="1">
        <v>42961</v>
      </c>
      <c r="G1447" t="str">
        <f>"9725-001-93673"</f>
        <v>9725-001-93673</v>
      </c>
      <c r="H1447" t="str">
        <f t="shared" ref="H1447:H1467" si="28">"ACCT#9725-001/REC BASE/PCT#2"</f>
        <v>ACCT#9725-001/REC BASE/PCT#2</v>
      </c>
      <c r="I1447" s="2">
        <v>410.82</v>
      </c>
      <c r="J1447" t="str">
        <f t="shared" ref="J1447:J1465" si="29">"ACCT#9725-001/REC BASE/PCT#2"</f>
        <v>ACCT#9725-001/REC BASE/PCT#2</v>
      </c>
    </row>
    <row r="1448" spans="1:10" x14ac:dyDescent="0.3">
      <c r="A1448" t="str">
        <f>""</f>
        <v/>
      </c>
      <c r="B1448" t="str">
        <f>""</f>
        <v/>
      </c>
      <c r="G1448" t="str">
        <f>"9725-001-93709"</f>
        <v>9725-001-93709</v>
      </c>
      <c r="H1448" t="str">
        <f t="shared" si="28"/>
        <v>ACCT#9725-001/REC BASE/PCT#2</v>
      </c>
      <c r="I1448" s="2">
        <v>834.75</v>
      </c>
      <c r="J1448" t="str">
        <f t="shared" si="29"/>
        <v>ACCT#9725-001/REC BASE/PCT#2</v>
      </c>
    </row>
    <row r="1449" spans="1:10" x14ac:dyDescent="0.3">
      <c r="A1449" t="str">
        <f>""</f>
        <v/>
      </c>
      <c r="B1449" t="str">
        <f>""</f>
        <v/>
      </c>
      <c r="G1449" t="str">
        <f>"9725-001-93745"</f>
        <v>9725-001-93745</v>
      </c>
      <c r="H1449" t="str">
        <f t="shared" si="28"/>
        <v>ACCT#9725-001/REC BASE/PCT#2</v>
      </c>
      <c r="I1449" s="2">
        <v>641.20000000000005</v>
      </c>
      <c r="J1449" t="str">
        <f t="shared" si="29"/>
        <v>ACCT#9725-001/REC BASE/PCT#2</v>
      </c>
    </row>
    <row r="1450" spans="1:10" x14ac:dyDescent="0.3">
      <c r="A1450" t="str">
        <f>""</f>
        <v/>
      </c>
      <c r="B1450" t="str">
        <f>""</f>
        <v/>
      </c>
      <c r="G1450" t="str">
        <f>"9725-001-93801"</f>
        <v>9725-001-93801</v>
      </c>
      <c r="H1450" t="str">
        <f t="shared" si="28"/>
        <v>ACCT#9725-001/REC BASE/PCT#2</v>
      </c>
      <c r="I1450" s="2">
        <v>632.63</v>
      </c>
      <c r="J1450" t="str">
        <f t="shared" si="29"/>
        <v>ACCT#9725-001/REC BASE/PCT#2</v>
      </c>
    </row>
    <row r="1451" spans="1:10" x14ac:dyDescent="0.3">
      <c r="A1451" t="str">
        <f>""</f>
        <v/>
      </c>
      <c r="B1451" t="str">
        <f>""</f>
        <v/>
      </c>
      <c r="G1451" t="str">
        <f>"9725-001-93828"</f>
        <v>9725-001-93828</v>
      </c>
      <c r="H1451" t="str">
        <f t="shared" si="28"/>
        <v>ACCT#9725-001/REC BASE/PCT#2</v>
      </c>
      <c r="I1451" s="2">
        <v>224.09</v>
      </c>
      <c r="J1451" t="str">
        <f t="shared" si="29"/>
        <v>ACCT#9725-001/REC BASE/PCT#2</v>
      </c>
    </row>
    <row r="1452" spans="1:10" x14ac:dyDescent="0.3">
      <c r="A1452" t="str">
        <f>""</f>
        <v/>
      </c>
      <c r="B1452" t="str">
        <f>""</f>
        <v/>
      </c>
      <c r="G1452" t="str">
        <f>"9725-001-93856"</f>
        <v>9725-001-93856</v>
      </c>
      <c r="H1452" t="str">
        <f t="shared" si="28"/>
        <v>ACCT#9725-001/REC BASE/PCT#2</v>
      </c>
      <c r="I1452" s="2">
        <v>572.70000000000005</v>
      </c>
      <c r="J1452" t="str">
        <f t="shared" si="29"/>
        <v>ACCT#9725-001/REC BASE/PCT#2</v>
      </c>
    </row>
    <row r="1453" spans="1:10" x14ac:dyDescent="0.3">
      <c r="A1453" t="str">
        <f>""</f>
        <v/>
      </c>
      <c r="B1453" t="str">
        <f>""</f>
        <v/>
      </c>
      <c r="G1453" t="str">
        <f>"9725-001-93890"</f>
        <v>9725-001-93890</v>
      </c>
      <c r="H1453" t="str">
        <f t="shared" si="28"/>
        <v>ACCT#9725-001/REC BASE/PCT#2</v>
      </c>
      <c r="I1453" s="2">
        <v>198.54</v>
      </c>
      <c r="J1453" t="str">
        <f t="shared" si="29"/>
        <v>ACCT#9725-001/REC BASE/PCT#2</v>
      </c>
    </row>
    <row r="1454" spans="1:10" x14ac:dyDescent="0.3">
      <c r="A1454" t="str">
        <f>""</f>
        <v/>
      </c>
      <c r="B1454" t="str">
        <f>""</f>
        <v/>
      </c>
      <c r="G1454" t="str">
        <f>"9725-001-93923"</f>
        <v>9725-001-93923</v>
      </c>
      <c r="H1454" t="str">
        <f t="shared" si="28"/>
        <v>ACCT#9725-001/REC BASE/PCT#2</v>
      </c>
      <c r="I1454" s="2">
        <v>595.87</v>
      </c>
      <c r="J1454" t="str">
        <f t="shared" si="29"/>
        <v>ACCT#9725-001/REC BASE/PCT#2</v>
      </c>
    </row>
    <row r="1455" spans="1:10" x14ac:dyDescent="0.3">
      <c r="A1455" t="str">
        <f>""</f>
        <v/>
      </c>
      <c r="B1455" t="str">
        <f>""</f>
        <v/>
      </c>
      <c r="G1455" t="str">
        <f>"9725-001-93958"</f>
        <v>9725-001-93958</v>
      </c>
      <c r="H1455" t="str">
        <f t="shared" si="28"/>
        <v>ACCT#9725-001/REC BASE/PCT#2</v>
      </c>
      <c r="I1455" s="2">
        <v>358.23</v>
      </c>
      <c r="J1455" t="str">
        <f t="shared" si="29"/>
        <v>ACCT#9725-001/REC BASE/PCT#2</v>
      </c>
    </row>
    <row r="1456" spans="1:10" x14ac:dyDescent="0.3">
      <c r="A1456" t="str">
        <f>""</f>
        <v/>
      </c>
      <c r="B1456" t="str">
        <f>""</f>
        <v/>
      </c>
      <c r="G1456" t="str">
        <f>"9725-001-93987"</f>
        <v>9725-001-93987</v>
      </c>
      <c r="H1456" t="str">
        <f t="shared" si="28"/>
        <v>ACCT#9725-001/REC BASE/PCT#2</v>
      </c>
      <c r="I1456" s="2">
        <v>589.84</v>
      </c>
      <c r="J1456" t="str">
        <f t="shared" si="29"/>
        <v>ACCT#9725-001/REC BASE/PCT#2</v>
      </c>
    </row>
    <row r="1457" spans="1:10" x14ac:dyDescent="0.3">
      <c r="A1457" t="str">
        <f>""</f>
        <v/>
      </c>
      <c r="B1457" t="str">
        <f>""</f>
        <v/>
      </c>
      <c r="G1457" t="str">
        <f>"9725-001-94018"</f>
        <v>9725-001-94018</v>
      </c>
      <c r="H1457" t="str">
        <f t="shared" si="28"/>
        <v>ACCT#9725-001/REC BASE/PCT#2</v>
      </c>
      <c r="I1457" s="2">
        <v>203.96</v>
      </c>
      <c r="J1457" t="str">
        <f t="shared" si="29"/>
        <v>ACCT#9725-001/REC BASE/PCT#2</v>
      </c>
    </row>
    <row r="1458" spans="1:10" x14ac:dyDescent="0.3">
      <c r="A1458" t="str">
        <f>""</f>
        <v/>
      </c>
      <c r="B1458" t="str">
        <f>""</f>
        <v/>
      </c>
      <c r="G1458" t="str">
        <f>"9725-001-94046"</f>
        <v>9725-001-94046</v>
      </c>
      <c r="H1458" t="str">
        <f t="shared" si="28"/>
        <v>ACCT#9725-001/REC BASE/PCT#2</v>
      </c>
      <c r="I1458" s="2">
        <v>219.98</v>
      </c>
      <c r="J1458" t="str">
        <f t="shared" si="29"/>
        <v>ACCT#9725-001/REC BASE/PCT#2</v>
      </c>
    </row>
    <row r="1459" spans="1:10" x14ac:dyDescent="0.3">
      <c r="A1459" t="str">
        <f>""</f>
        <v/>
      </c>
      <c r="B1459" t="str">
        <f>""</f>
        <v/>
      </c>
      <c r="G1459" t="str">
        <f>"9725-001-94047"</f>
        <v>9725-001-94047</v>
      </c>
      <c r="H1459" t="str">
        <f t="shared" si="28"/>
        <v>ACCT#9725-001/REC BASE/PCT#2</v>
      </c>
      <c r="I1459" s="2">
        <v>221.38</v>
      </c>
      <c r="J1459" t="str">
        <f t="shared" si="29"/>
        <v>ACCT#9725-001/REC BASE/PCT#2</v>
      </c>
    </row>
    <row r="1460" spans="1:10" x14ac:dyDescent="0.3">
      <c r="A1460" t="str">
        <f>""</f>
        <v/>
      </c>
      <c r="B1460" t="str">
        <f>""</f>
        <v/>
      </c>
      <c r="G1460" t="str">
        <f>"9725-001-94048"</f>
        <v>9725-001-94048</v>
      </c>
      <c r="H1460" t="str">
        <f t="shared" si="28"/>
        <v>ACCT#9725-001/REC BASE/PCT#2</v>
      </c>
      <c r="I1460" s="2">
        <v>215.08</v>
      </c>
      <c r="J1460" t="str">
        <f t="shared" si="29"/>
        <v>ACCT#9725-001/REC BASE/PCT#2</v>
      </c>
    </row>
    <row r="1461" spans="1:10" x14ac:dyDescent="0.3">
      <c r="A1461" t="str">
        <f>""</f>
        <v/>
      </c>
      <c r="B1461" t="str">
        <f>""</f>
        <v/>
      </c>
      <c r="G1461" t="str">
        <f>"9725-001-94049"</f>
        <v>9725-001-94049</v>
      </c>
      <c r="H1461" t="str">
        <f t="shared" si="28"/>
        <v>ACCT#9725-001/REC BASE/PCT#2</v>
      </c>
      <c r="I1461" s="2">
        <v>313.69</v>
      </c>
      <c r="J1461" t="str">
        <f t="shared" si="29"/>
        <v>ACCT#9725-001/REC BASE/PCT#2</v>
      </c>
    </row>
    <row r="1462" spans="1:10" x14ac:dyDescent="0.3">
      <c r="A1462" t="str">
        <f>""</f>
        <v/>
      </c>
      <c r="B1462" t="str">
        <f>""</f>
        <v/>
      </c>
      <c r="G1462" t="str">
        <f>"9725-001-94051"</f>
        <v>9725-001-94051</v>
      </c>
      <c r="H1462" t="str">
        <f t="shared" si="28"/>
        <v>ACCT#9725-001/REC BASE/PCT#2</v>
      </c>
      <c r="I1462" s="2">
        <v>826.09</v>
      </c>
      <c r="J1462" t="str">
        <f t="shared" si="29"/>
        <v>ACCT#9725-001/REC BASE/PCT#2</v>
      </c>
    </row>
    <row r="1463" spans="1:10" x14ac:dyDescent="0.3">
      <c r="A1463" t="str">
        <f>""</f>
        <v/>
      </c>
      <c r="B1463" t="str">
        <f>""</f>
        <v/>
      </c>
      <c r="G1463" t="str">
        <f>"9725-001-94084"</f>
        <v>9725-001-94084</v>
      </c>
      <c r="H1463" t="str">
        <f t="shared" si="28"/>
        <v>ACCT#9725-001/REC BASE/PCT#2</v>
      </c>
      <c r="I1463" s="2">
        <v>1153.08</v>
      </c>
      <c r="J1463" t="str">
        <f t="shared" si="29"/>
        <v>ACCT#9725-001/REC BASE/PCT#2</v>
      </c>
    </row>
    <row r="1464" spans="1:10" x14ac:dyDescent="0.3">
      <c r="A1464" t="str">
        <f>""</f>
        <v/>
      </c>
      <c r="B1464" t="str">
        <f>""</f>
        <v/>
      </c>
      <c r="G1464" t="str">
        <f>"9725-001-94121"</f>
        <v>9725-001-94121</v>
      </c>
      <c r="H1464" t="str">
        <f t="shared" si="28"/>
        <v>ACCT#9725-001/REC BASE/PCT#2</v>
      </c>
      <c r="I1464" s="2">
        <v>730.63</v>
      </c>
      <c r="J1464" t="str">
        <f t="shared" si="29"/>
        <v>ACCT#9725-001/REC BASE/PCT#2</v>
      </c>
    </row>
    <row r="1465" spans="1:10" x14ac:dyDescent="0.3">
      <c r="A1465" t="str">
        <f>""</f>
        <v/>
      </c>
      <c r="B1465" t="str">
        <f>""</f>
        <v/>
      </c>
      <c r="G1465" t="str">
        <f>"9725-001-94194"</f>
        <v>9725-001-94194</v>
      </c>
      <c r="H1465" t="str">
        <f t="shared" si="28"/>
        <v>ACCT#9725-001/REC BASE/PCT#2</v>
      </c>
      <c r="I1465" s="2">
        <v>382.11</v>
      </c>
      <c r="J1465" t="str">
        <f t="shared" si="29"/>
        <v>ACCT#9725-001/REC BASE/PCT#2</v>
      </c>
    </row>
    <row r="1466" spans="1:10" x14ac:dyDescent="0.3">
      <c r="A1466" t="str">
        <f>""</f>
        <v/>
      </c>
      <c r="B1466" t="str">
        <f>""</f>
        <v/>
      </c>
      <c r="G1466" t="str">
        <f>"9725-001-94231"</f>
        <v>9725-001-94231</v>
      </c>
      <c r="H1466" t="str">
        <f t="shared" si="28"/>
        <v>ACCT#9725-001/REC BASE/PCT#2</v>
      </c>
      <c r="I1466" s="2">
        <v>375.81</v>
      </c>
      <c r="J1466" t="str">
        <f>"ACCT#9725-001-94231/PCT#2"</f>
        <v>ACCT#9725-001-94231/PCT#2</v>
      </c>
    </row>
    <row r="1467" spans="1:10" x14ac:dyDescent="0.3">
      <c r="A1467" t="str">
        <f>""</f>
        <v/>
      </c>
      <c r="B1467" t="str">
        <f>""</f>
        <v/>
      </c>
      <c r="G1467" t="str">
        <f>"9725-001-94267"</f>
        <v>9725-001-94267</v>
      </c>
      <c r="H1467" t="str">
        <f t="shared" si="28"/>
        <v>ACCT#9725-001/REC BASE/PCT#2</v>
      </c>
      <c r="I1467" s="2">
        <v>412.12</v>
      </c>
      <c r="J1467" t="str">
        <f>"ACCT#9725-001/REC BASE/PCT#2"</f>
        <v>ACCT#9725-001/REC BASE/PCT#2</v>
      </c>
    </row>
    <row r="1468" spans="1:10" x14ac:dyDescent="0.3">
      <c r="A1468" t="str">
        <f>"01"</f>
        <v>01</v>
      </c>
      <c r="B1468" t="str">
        <f>"000598"</f>
        <v>000598</v>
      </c>
      <c r="C1468" t="s">
        <v>11</v>
      </c>
      <c r="D1468">
        <v>72369</v>
      </c>
      <c r="E1468" s="2">
        <v>5040</v>
      </c>
      <c r="F1468" s="1">
        <v>42976</v>
      </c>
      <c r="G1468" t="str">
        <f>"9725-001-94317"</f>
        <v>9725-001-94317</v>
      </c>
      <c r="H1468" t="str">
        <f>"ACCT#9725-001/PCT#2"</f>
        <v>ACCT#9725-001/PCT#2</v>
      </c>
      <c r="I1468" s="2">
        <v>370.91</v>
      </c>
      <c r="J1468" t="str">
        <f>"ACCT#9725-001"</f>
        <v>ACCT#9725-001</v>
      </c>
    </row>
    <row r="1469" spans="1:10" x14ac:dyDescent="0.3">
      <c r="A1469" t="str">
        <f>""</f>
        <v/>
      </c>
      <c r="B1469" t="str">
        <f>""</f>
        <v/>
      </c>
      <c r="G1469" t="str">
        <f>"9725-001-94346"</f>
        <v>9725-001-94346</v>
      </c>
      <c r="H1469" t="str">
        <f>"ACCT#9725-001/PCT#2"</f>
        <v>ACCT#9725-001/PCT#2</v>
      </c>
      <c r="I1469" s="2">
        <v>600.25</v>
      </c>
      <c r="J1469" t="str">
        <f>"ACCT#9725-001/PCT#2"</f>
        <v>ACCT#9725-001/PCT#2</v>
      </c>
    </row>
    <row r="1470" spans="1:10" x14ac:dyDescent="0.3">
      <c r="A1470" t="str">
        <f>""</f>
        <v/>
      </c>
      <c r="B1470" t="str">
        <f>""</f>
        <v/>
      </c>
      <c r="G1470" t="str">
        <f>"9725-001-94375"</f>
        <v>9725-001-94375</v>
      </c>
      <c r="H1470" t="str">
        <f>"ACCT#9725-001"</f>
        <v>ACCT#9725-001</v>
      </c>
      <c r="I1470" s="2">
        <v>622.13</v>
      </c>
      <c r="J1470" t="str">
        <f>"ACCT#9725-001"</f>
        <v>ACCT#9725-001</v>
      </c>
    </row>
    <row r="1471" spans="1:10" x14ac:dyDescent="0.3">
      <c r="A1471" t="str">
        <f>""</f>
        <v/>
      </c>
      <c r="B1471" t="str">
        <f>""</f>
        <v/>
      </c>
      <c r="G1471" t="str">
        <f>"9725-001-94396"</f>
        <v>9725-001-94396</v>
      </c>
      <c r="H1471" t="str">
        <f t="shared" ref="H1471:H1476" si="30">"ACCT#9725-001/PCT#2"</f>
        <v>ACCT#9725-001/PCT#2</v>
      </c>
      <c r="I1471" s="2">
        <v>402.68</v>
      </c>
      <c r="J1471" t="str">
        <f t="shared" ref="J1471:J1476" si="31">"ACCT#9725-001/PCT#2"</f>
        <v>ACCT#9725-001/PCT#2</v>
      </c>
    </row>
    <row r="1472" spans="1:10" x14ac:dyDescent="0.3">
      <c r="A1472" t="str">
        <f>""</f>
        <v/>
      </c>
      <c r="B1472" t="str">
        <f>""</f>
        <v/>
      </c>
      <c r="G1472" t="str">
        <f>"9725-001-94417"</f>
        <v>9725-001-94417</v>
      </c>
      <c r="H1472" t="str">
        <f t="shared" si="30"/>
        <v>ACCT#9725-001/PCT#2</v>
      </c>
      <c r="I1472" s="2">
        <v>521.24</v>
      </c>
      <c r="J1472" t="str">
        <f t="shared" si="31"/>
        <v>ACCT#9725-001/PCT#2</v>
      </c>
    </row>
    <row r="1473" spans="1:10" x14ac:dyDescent="0.3">
      <c r="A1473" t="str">
        <f>""</f>
        <v/>
      </c>
      <c r="B1473" t="str">
        <f>""</f>
        <v/>
      </c>
      <c r="G1473" t="str">
        <f>"9725-001-94434"</f>
        <v>9725-001-94434</v>
      </c>
      <c r="H1473" t="str">
        <f t="shared" si="30"/>
        <v>ACCT#9725-001/PCT#2</v>
      </c>
      <c r="I1473" s="2">
        <v>396.55</v>
      </c>
      <c r="J1473" t="str">
        <f t="shared" si="31"/>
        <v>ACCT#9725-001/PCT#2</v>
      </c>
    </row>
    <row r="1474" spans="1:10" x14ac:dyDescent="0.3">
      <c r="A1474" t="str">
        <f>""</f>
        <v/>
      </c>
      <c r="B1474" t="str">
        <f>""</f>
        <v/>
      </c>
      <c r="G1474" t="str">
        <f>"9725-001-94451"</f>
        <v>9725-001-94451</v>
      </c>
      <c r="H1474" t="str">
        <f t="shared" si="30"/>
        <v>ACCT#9725-001/PCT#2</v>
      </c>
      <c r="I1474" s="2">
        <v>768.16</v>
      </c>
      <c r="J1474" t="str">
        <f t="shared" si="31"/>
        <v>ACCT#9725-001/PCT#2</v>
      </c>
    </row>
    <row r="1475" spans="1:10" x14ac:dyDescent="0.3">
      <c r="A1475" t="str">
        <f>""</f>
        <v/>
      </c>
      <c r="B1475" t="str">
        <f>""</f>
        <v/>
      </c>
      <c r="G1475" t="str">
        <f>"9725-001-94471"</f>
        <v>9725-001-94471</v>
      </c>
      <c r="H1475" t="str">
        <f t="shared" si="30"/>
        <v>ACCT#9725-001/PCT#2</v>
      </c>
      <c r="I1475" s="2">
        <v>812.08</v>
      </c>
      <c r="J1475" t="str">
        <f t="shared" si="31"/>
        <v>ACCT#9725-001/PCT#2</v>
      </c>
    </row>
    <row r="1476" spans="1:10" x14ac:dyDescent="0.3">
      <c r="A1476" t="str">
        <f>""</f>
        <v/>
      </c>
      <c r="B1476" t="str">
        <f>""</f>
        <v/>
      </c>
      <c r="G1476" t="str">
        <f>"9725-001-94497"</f>
        <v>9725-001-94497</v>
      </c>
      <c r="H1476" t="str">
        <f t="shared" si="30"/>
        <v>ACCT#9725-001/PCT#2</v>
      </c>
      <c r="I1476" s="2">
        <v>546</v>
      </c>
      <c r="J1476" t="str">
        <f t="shared" si="31"/>
        <v>ACCT#9725-001/PCT#2</v>
      </c>
    </row>
    <row r="1477" spans="1:10" x14ac:dyDescent="0.3">
      <c r="A1477" t="str">
        <f>"01"</f>
        <v>01</v>
      </c>
      <c r="B1477" t="str">
        <f>"002048"</f>
        <v>002048</v>
      </c>
      <c r="C1477" t="s">
        <v>14</v>
      </c>
      <c r="D1477">
        <v>72136</v>
      </c>
      <c r="E1477" s="2">
        <v>11666.65</v>
      </c>
      <c r="F1477" s="1">
        <v>42961</v>
      </c>
      <c r="G1477" t="str">
        <f>"201708084147"</f>
        <v>201708084147</v>
      </c>
      <c r="H1477" t="str">
        <f>"7/19/17 TO 8/4/17 PCT#4"</f>
        <v>7/19/17 TO 8/4/17 PCT#4</v>
      </c>
      <c r="I1477" s="2">
        <v>11666.65</v>
      </c>
      <c r="J1477" t="str">
        <f>"7/19/17 TO 8/4/17 PCT#4"</f>
        <v>7/19/17 TO 8/4/17 PCT#4</v>
      </c>
    </row>
    <row r="1478" spans="1:10" x14ac:dyDescent="0.3">
      <c r="A1478" t="str">
        <f>"01"</f>
        <v>01</v>
      </c>
      <c r="B1478" t="str">
        <f>"002048"</f>
        <v>002048</v>
      </c>
      <c r="C1478" t="s">
        <v>14</v>
      </c>
      <c r="D1478">
        <v>72370</v>
      </c>
      <c r="E1478" s="2">
        <v>4220.58</v>
      </c>
      <c r="F1478" s="1">
        <v>42976</v>
      </c>
      <c r="G1478" t="str">
        <f>"201708224360"</f>
        <v>201708224360</v>
      </c>
      <c r="H1478" t="str">
        <f>"8/8/17 TO 8/21/17 PCT#4"</f>
        <v>8/8/17 TO 8/21/17 PCT#4</v>
      </c>
      <c r="I1478" s="2">
        <v>4220.58</v>
      </c>
      <c r="J1478" t="str">
        <f>"8/8/17 TO 8/21/17 PCT#4"</f>
        <v>8/8/17 TO 8/21/17 PCT#4</v>
      </c>
    </row>
    <row r="1479" spans="1:10" x14ac:dyDescent="0.3">
      <c r="A1479" t="str">
        <f>"01"</f>
        <v>01</v>
      </c>
      <c r="B1479" t="str">
        <f>"AAA"</f>
        <v>AAA</v>
      </c>
      <c r="C1479" t="s">
        <v>444</v>
      </c>
      <c r="D1479">
        <v>72371</v>
      </c>
      <c r="E1479" s="2">
        <v>212</v>
      </c>
      <c r="F1479" s="1">
        <v>42976</v>
      </c>
      <c r="G1479" t="str">
        <f>"292674"</f>
        <v>292674</v>
      </c>
      <c r="H1479" t="str">
        <f>"FIRE EXT MAIN SERV/OEM"</f>
        <v>FIRE EXT MAIN SERV/OEM</v>
      </c>
      <c r="I1479" s="2">
        <v>212</v>
      </c>
      <c r="J1479" t="str">
        <f>"FIRE EXT MAIN SERV/OEM"</f>
        <v>FIRE EXT MAIN SERV/OEM</v>
      </c>
    </row>
    <row r="1480" spans="1:10" x14ac:dyDescent="0.3">
      <c r="A1480" t="str">
        <f>"01"</f>
        <v>01</v>
      </c>
      <c r="B1480" t="str">
        <f>"AQUAB"</f>
        <v>AQUAB</v>
      </c>
      <c r="C1480" t="s">
        <v>32</v>
      </c>
      <c r="D1480">
        <v>72137</v>
      </c>
      <c r="E1480" s="2">
        <v>243.52</v>
      </c>
      <c r="F1480" s="1">
        <v>42961</v>
      </c>
      <c r="G1480" t="str">
        <f>"201708023977"</f>
        <v>201708023977</v>
      </c>
      <c r="H1480" t="str">
        <f>"ACCT#014877/OEM"</f>
        <v>ACCT#014877/OEM</v>
      </c>
      <c r="I1480" s="2">
        <v>180.68</v>
      </c>
      <c r="J1480" t="str">
        <f>"ACCT#014877/OEM"</f>
        <v>ACCT#014877/OEM</v>
      </c>
    </row>
    <row r="1481" spans="1:10" x14ac:dyDescent="0.3">
      <c r="A1481" t="str">
        <f>""</f>
        <v/>
      </c>
      <c r="B1481" t="str">
        <f>""</f>
        <v/>
      </c>
      <c r="G1481" t="str">
        <f>"201708023979"</f>
        <v>201708023979</v>
      </c>
      <c r="H1481" t="str">
        <f>"ACCT#015397/JUVENILE BOOT CAMP"</f>
        <v>ACCT#015397/JUVENILE BOOT CAMP</v>
      </c>
      <c r="I1481" s="2">
        <v>62.84</v>
      </c>
      <c r="J1481" t="str">
        <f>"ACCT#015397/JUVENILE BOOT CAMP"</f>
        <v>ACCT#015397/JUVENILE BOOT CAMP</v>
      </c>
    </row>
    <row r="1482" spans="1:10" x14ac:dyDescent="0.3">
      <c r="A1482" t="str">
        <f>"01"</f>
        <v>01</v>
      </c>
      <c r="B1482" t="str">
        <f>"AWS"</f>
        <v>AWS</v>
      </c>
      <c r="C1482" t="s">
        <v>33</v>
      </c>
      <c r="D1482">
        <v>72163</v>
      </c>
      <c r="E1482" s="2">
        <v>625.25</v>
      </c>
      <c r="F1482" s="1">
        <v>42962</v>
      </c>
      <c r="G1482" t="str">
        <f>"201708154290"</f>
        <v>201708154290</v>
      </c>
      <c r="H1482" t="str">
        <f>"ACCT#7700010025/PCT#2"</f>
        <v>ACCT#7700010025/PCT#2</v>
      </c>
      <c r="I1482" s="2">
        <v>625.25</v>
      </c>
      <c r="J1482" t="str">
        <f>"ACCT#7700010025/PCT#2"</f>
        <v>ACCT#7700010025/PCT#2</v>
      </c>
    </row>
    <row r="1483" spans="1:10" x14ac:dyDescent="0.3">
      <c r="A1483" t="str">
        <f>"01"</f>
        <v>01</v>
      </c>
      <c r="B1483" t="str">
        <f>"005160"</f>
        <v>005160</v>
      </c>
      <c r="C1483" t="s">
        <v>445</v>
      </c>
      <c r="D1483">
        <v>72138</v>
      </c>
      <c r="E1483" s="2">
        <v>768</v>
      </c>
      <c r="F1483" s="1">
        <v>42961</v>
      </c>
      <c r="G1483" t="str">
        <f>"1001"</f>
        <v>1001</v>
      </c>
      <c r="H1483" t="str">
        <f>"HRS WORKED FOR LPHPC"</f>
        <v>HRS WORKED FOR LPHPC</v>
      </c>
      <c r="I1483" s="2">
        <v>768</v>
      </c>
      <c r="J1483" t="str">
        <f>"HRS WORKED FOR LPHPC"</f>
        <v>HRS WORKED FOR LPHPC</v>
      </c>
    </row>
    <row r="1484" spans="1:10" x14ac:dyDescent="0.3">
      <c r="A1484" t="str">
        <f>"01"</f>
        <v>01</v>
      </c>
      <c r="B1484" t="str">
        <f>"005160"</f>
        <v>005160</v>
      </c>
      <c r="C1484" t="s">
        <v>445</v>
      </c>
      <c r="D1484">
        <v>72372</v>
      </c>
      <c r="E1484" s="2">
        <v>824</v>
      </c>
      <c r="F1484" s="1">
        <v>42976</v>
      </c>
      <c r="G1484" t="str">
        <f>"1002"</f>
        <v>1002</v>
      </c>
      <c r="H1484" t="str">
        <f>"8/9-8/19 HOURS WORKED-LPHPC"</f>
        <v>8/9-8/19 HOURS WORKED-LPHPC</v>
      </c>
      <c r="I1484" s="2">
        <v>824</v>
      </c>
      <c r="J1484" t="str">
        <f>"8/9-8/19 HOURS WORKED-LPHPC"</f>
        <v>8/9-8/19 HOURS WORKED-LPHPC</v>
      </c>
    </row>
    <row r="1485" spans="1:10" x14ac:dyDescent="0.3">
      <c r="A1485" t="str">
        <f>"01"</f>
        <v>01</v>
      </c>
      <c r="B1485" t="str">
        <f>"B&amp;B"</f>
        <v>B&amp;B</v>
      </c>
      <c r="C1485" t="s">
        <v>52</v>
      </c>
      <c r="D1485">
        <v>72139</v>
      </c>
      <c r="E1485" s="2">
        <v>422.4</v>
      </c>
      <c r="F1485" s="1">
        <v>42961</v>
      </c>
      <c r="G1485" t="str">
        <f>"201708094182"</f>
        <v>201708094182</v>
      </c>
      <c r="H1485" t="str">
        <f>"CUST#1645/OEM"</f>
        <v>CUST#1645/OEM</v>
      </c>
      <c r="I1485" s="2">
        <v>422.4</v>
      </c>
      <c r="J1485" t="str">
        <f>"CUST#1645/OEM"</f>
        <v>CUST#1645/OEM</v>
      </c>
    </row>
    <row r="1486" spans="1:10" x14ac:dyDescent="0.3">
      <c r="A1486" t="str">
        <f>"01"</f>
        <v>01</v>
      </c>
      <c r="B1486" t="str">
        <f>"B&amp;B"</f>
        <v>B&amp;B</v>
      </c>
      <c r="C1486" t="s">
        <v>52</v>
      </c>
      <c r="D1486">
        <v>72373</v>
      </c>
      <c r="E1486" s="2">
        <v>593.14</v>
      </c>
      <c r="F1486" s="1">
        <v>42976</v>
      </c>
      <c r="G1486" t="str">
        <f>"9205-533602"</f>
        <v>9205-533602</v>
      </c>
      <c r="H1486" t="str">
        <f>"Repair Skid Steer"</f>
        <v>Repair Skid Steer</v>
      </c>
      <c r="I1486" s="2">
        <v>593.14</v>
      </c>
      <c r="J1486" t="str">
        <f>"G20230-1616"</f>
        <v>G20230-1616</v>
      </c>
    </row>
    <row r="1487" spans="1:10" x14ac:dyDescent="0.3">
      <c r="A1487" t="str">
        <f>""</f>
        <v/>
      </c>
      <c r="B1487" t="str">
        <f>""</f>
        <v/>
      </c>
      <c r="G1487" t="str">
        <f>""</f>
        <v/>
      </c>
      <c r="H1487" t="str">
        <f>""</f>
        <v/>
      </c>
      <c r="J1487" t="str">
        <f>"G20995-0416"</f>
        <v>G20995-0416</v>
      </c>
    </row>
    <row r="1488" spans="1:10" x14ac:dyDescent="0.3">
      <c r="A1488" t="str">
        <f>""</f>
        <v/>
      </c>
      <c r="B1488" t="str">
        <f>""</f>
        <v/>
      </c>
      <c r="G1488" t="str">
        <f>""</f>
        <v/>
      </c>
      <c r="H1488" t="str">
        <f>""</f>
        <v/>
      </c>
      <c r="J1488" t="str">
        <f>"Hose"</f>
        <v>Hose</v>
      </c>
    </row>
    <row r="1489" spans="1:10" x14ac:dyDescent="0.3">
      <c r="A1489" t="str">
        <f>""</f>
        <v/>
      </c>
      <c r="B1489" t="str">
        <f>""</f>
        <v/>
      </c>
      <c r="G1489" t="str">
        <f>""</f>
        <v/>
      </c>
      <c r="H1489" t="str">
        <f>""</f>
        <v/>
      </c>
      <c r="J1489" t="str">
        <f>"Plug"</f>
        <v>Plug</v>
      </c>
    </row>
    <row r="1490" spans="1:10" x14ac:dyDescent="0.3">
      <c r="A1490" t="str">
        <f>""</f>
        <v/>
      </c>
      <c r="B1490" t="str">
        <f>""</f>
        <v/>
      </c>
      <c r="G1490" t="str">
        <f>""</f>
        <v/>
      </c>
      <c r="H1490" t="str">
        <f>""</f>
        <v/>
      </c>
      <c r="J1490" t="str">
        <f>"Chuck"</f>
        <v>Chuck</v>
      </c>
    </row>
    <row r="1491" spans="1:10" x14ac:dyDescent="0.3">
      <c r="A1491" t="str">
        <f>""</f>
        <v/>
      </c>
      <c r="B1491" t="str">
        <f>""</f>
        <v/>
      </c>
      <c r="G1491" t="str">
        <f>""</f>
        <v/>
      </c>
      <c r="H1491" t="str">
        <f>""</f>
        <v/>
      </c>
      <c r="J1491" t="str">
        <f>"Grease Plug"</f>
        <v>Grease Plug</v>
      </c>
    </row>
    <row r="1492" spans="1:10" x14ac:dyDescent="0.3">
      <c r="A1492" t="str">
        <f>"01"</f>
        <v>01</v>
      </c>
      <c r="B1492" t="str">
        <f>"BASCO"</f>
        <v>BASCO</v>
      </c>
      <c r="C1492" t="s">
        <v>69</v>
      </c>
      <c r="D1492">
        <v>72140</v>
      </c>
      <c r="E1492" s="2">
        <v>179.55</v>
      </c>
      <c r="F1492" s="1">
        <v>42961</v>
      </c>
      <c r="G1492" t="str">
        <f>"9658"</f>
        <v>9658</v>
      </c>
      <c r="H1492" t="str">
        <f>"ACCT#BC01/INK"</f>
        <v>ACCT#BC01/INK</v>
      </c>
      <c r="I1492" s="2">
        <v>179.55</v>
      </c>
      <c r="J1492" t="str">
        <f>"ACCT#BC01/INK"</f>
        <v>ACCT#BC01/INK</v>
      </c>
    </row>
    <row r="1493" spans="1:10" x14ac:dyDescent="0.3">
      <c r="A1493" t="str">
        <f>"01"</f>
        <v>01</v>
      </c>
      <c r="B1493" t="str">
        <f>"T3799"</f>
        <v>T3799</v>
      </c>
      <c r="C1493" t="s">
        <v>446</v>
      </c>
      <c r="D1493">
        <v>72141</v>
      </c>
      <c r="E1493" s="2">
        <v>37265.440000000002</v>
      </c>
      <c r="F1493" s="1">
        <v>42961</v>
      </c>
      <c r="G1493" t="str">
        <f>"1019"</f>
        <v>1019</v>
      </c>
      <c r="H1493" t="str">
        <f>"BOOT CAMP EXP-APRIL JUNE 2017"</f>
        <v>BOOT CAMP EXP-APRIL JUNE 2017</v>
      </c>
      <c r="I1493" s="2">
        <v>34049.39</v>
      </c>
      <c r="J1493" t="str">
        <f>"BOOT CAMP EXP-APRIL JUNE 2017"</f>
        <v>BOOT CAMP EXP-APRIL JUNE 2017</v>
      </c>
    </row>
    <row r="1494" spans="1:10" x14ac:dyDescent="0.3">
      <c r="A1494" t="str">
        <f>""</f>
        <v/>
      </c>
      <c r="B1494" t="str">
        <f>""</f>
        <v/>
      </c>
      <c r="G1494" t="str">
        <f>"156"</f>
        <v>156</v>
      </c>
      <c r="H1494" t="str">
        <f>"FUEL-EMERGENCY MGMT"</f>
        <v>FUEL-EMERGENCY MGMT</v>
      </c>
      <c r="I1494" s="2">
        <v>3216.05</v>
      </c>
      <c r="J1494" t="str">
        <f>"FUEL-EMERGENCY MGMT"</f>
        <v>FUEL-EMERGENCY MGMT</v>
      </c>
    </row>
    <row r="1495" spans="1:10" x14ac:dyDescent="0.3">
      <c r="A1495" t="str">
        <f t="shared" ref="A1495:A1501" si="32">"01"</f>
        <v>01</v>
      </c>
      <c r="B1495" t="str">
        <f>"T5228"</f>
        <v>T5228</v>
      </c>
      <c r="C1495" t="s">
        <v>447</v>
      </c>
      <c r="D1495">
        <v>72374</v>
      </c>
      <c r="E1495" s="2">
        <v>50</v>
      </c>
      <c r="F1495" s="1">
        <v>42976</v>
      </c>
      <c r="G1495" t="str">
        <f>"1-24825"</f>
        <v>1-24825</v>
      </c>
      <c r="H1495" t="str">
        <f>"FLAT REPAIR/OEM"</f>
        <v>FLAT REPAIR/OEM</v>
      </c>
      <c r="I1495" s="2">
        <v>50</v>
      </c>
      <c r="J1495" t="str">
        <f>"FLAT REPAIR/OEM"</f>
        <v>FLAT REPAIR/OEM</v>
      </c>
    </row>
    <row r="1496" spans="1:10" x14ac:dyDescent="0.3">
      <c r="A1496" t="str">
        <f t="shared" si="32"/>
        <v>01</v>
      </c>
      <c r="B1496" t="str">
        <f>"001112"</f>
        <v>001112</v>
      </c>
      <c r="C1496" t="s">
        <v>81</v>
      </c>
      <c r="D1496">
        <v>72375</v>
      </c>
      <c r="E1496" s="2">
        <v>259.97000000000003</v>
      </c>
      <c r="F1496" s="1">
        <v>42976</v>
      </c>
      <c r="G1496" t="str">
        <f>"2829111"</f>
        <v>2829111</v>
      </c>
      <c r="H1496" t="str">
        <f>"Stmt# 01465920170822"</f>
        <v>Stmt# 01465920170822</v>
      </c>
      <c r="I1496" s="2">
        <v>259.97000000000003</v>
      </c>
      <c r="J1496" t="str">
        <f>"Inv# 2829111"</f>
        <v>Inv# 2829111</v>
      </c>
    </row>
    <row r="1497" spans="1:10" x14ac:dyDescent="0.3">
      <c r="A1497" t="str">
        <f t="shared" si="32"/>
        <v>01</v>
      </c>
      <c r="B1497" t="str">
        <f>"BEC"</f>
        <v>BEC</v>
      </c>
      <c r="C1497" t="s">
        <v>88</v>
      </c>
      <c r="D1497">
        <v>72164</v>
      </c>
      <c r="E1497" s="2">
        <v>215.68</v>
      </c>
      <c r="F1497" s="1">
        <v>42962</v>
      </c>
      <c r="G1497" t="str">
        <f>"201708154287"</f>
        <v>201708154287</v>
      </c>
      <c r="H1497" t="str">
        <f>"ACCT#5000057374"</f>
        <v>ACCT#5000057374</v>
      </c>
      <c r="I1497" s="2">
        <v>215.68</v>
      </c>
      <c r="J1497" t="str">
        <f>"ACCT#5000057374"</f>
        <v>ACCT#5000057374</v>
      </c>
    </row>
    <row r="1498" spans="1:10" x14ac:dyDescent="0.3">
      <c r="A1498" t="str">
        <f t="shared" si="32"/>
        <v>01</v>
      </c>
      <c r="B1498" t="str">
        <f>"002469"</f>
        <v>002469</v>
      </c>
      <c r="C1498" t="s">
        <v>448</v>
      </c>
      <c r="D1498">
        <v>72142</v>
      </c>
      <c r="E1498" s="2">
        <v>5587.29</v>
      </c>
      <c r="F1498" s="1">
        <v>42961</v>
      </c>
      <c r="G1498" t="str">
        <f>"15901-20"</f>
        <v>15901-20</v>
      </c>
      <c r="H1498" t="str">
        <f>"PROJECT B15159.01"</f>
        <v>PROJECT B15159.01</v>
      </c>
      <c r="I1498" s="2">
        <v>5587.29</v>
      </c>
      <c r="J1498" t="str">
        <f>"PROJECT B15159.01"</f>
        <v>PROJECT B15159.01</v>
      </c>
    </row>
    <row r="1499" spans="1:10" x14ac:dyDescent="0.3">
      <c r="A1499" t="str">
        <f t="shared" si="32"/>
        <v>01</v>
      </c>
      <c r="B1499" t="str">
        <f>"002469"</f>
        <v>002469</v>
      </c>
      <c r="C1499" t="s">
        <v>448</v>
      </c>
      <c r="D1499">
        <v>72376</v>
      </c>
      <c r="E1499" s="2">
        <v>3797.38</v>
      </c>
      <c r="F1499" s="1">
        <v>42976</v>
      </c>
      <c r="G1499" t="str">
        <f>"15901-21"</f>
        <v>15901-21</v>
      </c>
      <c r="H1499" t="str">
        <f>"PROJ#B15159.01/OEM"</f>
        <v>PROJ#B15159.01/OEM</v>
      </c>
      <c r="I1499" s="2">
        <v>3797.38</v>
      </c>
      <c r="J1499" t="str">
        <f>"PROJ#B15159.01/OEM"</f>
        <v>PROJ#B15159.01/OEM</v>
      </c>
    </row>
    <row r="1500" spans="1:10" x14ac:dyDescent="0.3">
      <c r="A1500" t="str">
        <f t="shared" si="32"/>
        <v>01</v>
      </c>
      <c r="B1500" t="str">
        <f>"005138"</f>
        <v>005138</v>
      </c>
      <c r="C1500" t="s">
        <v>449</v>
      </c>
      <c r="D1500">
        <v>72377</v>
      </c>
      <c r="E1500" s="2">
        <v>150</v>
      </c>
      <c r="F1500" s="1">
        <v>42976</v>
      </c>
      <c r="G1500" t="str">
        <f>"103"</f>
        <v>103</v>
      </c>
      <c r="H1500" t="str">
        <f>"TRAINING"</f>
        <v>TRAINING</v>
      </c>
      <c r="I1500" s="2">
        <v>150</v>
      </c>
      <c r="J1500" t="str">
        <f>"TRAINING"</f>
        <v>TRAINING</v>
      </c>
    </row>
    <row r="1501" spans="1:10" x14ac:dyDescent="0.3">
      <c r="A1501" t="str">
        <f t="shared" si="32"/>
        <v>01</v>
      </c>
      <c r="B1501" t="str">
        <f>"CENTEX"</f>
        <v>CENTEX</v>
      </c>
      <c r="C1501" t="s">
        <v>109</v>
      </c>
      <c r="D1501">
        <v>72143</v>
      </c>
      <c r="E1501" s="2">
        <v>11814.66</v>
      </c>
      <c r="F1501" s="1">
        <v>42961</v>
      </c>
      <c r="G1501" t="str">
        <f>"30119948"</f>
        <v>30119948</v>
      </c>
      <c r="H1501" t="str">
        <f>"CUST#BASPCT4/ORD#37-19552/PCT4"</f>
        <v>CUST#BASPCT4/ORD#37-19552/PCT4</v>
      </c>
      <c r="I1501" s="2">
        <v>1006.02</v>
      </c>
      <c r="J1501" t="str">
        <f>"CUST#BASPCT4/ORD#37-19552/PCT4"</f>
        <v>CUST#BASPCT4/ORD#37-19552/PCT4</v>
      </c>
    </row>
    <row r="1502" spans="1:10" x14ac:dyDescent="0.3">
      <c r="A1502" t="str">
        <f>""</f>
        <v/>
      </c>
      <c r="B1502" t="str">
        <f>""</f>
        <v/>
      </c>
      <c r="G1502" t="str">
        <f>"30119985"</f>
        <v>30119985</v>
      </c>
      <c r="H1502" t="str">
        <f>"CUST#BASPCT4/ORD#37-19552/PCT4"</f>
        <v>CUST#BASPCT4/ORD#37-19552/PCT4</v>
      </c>
      <c r="I1502" s="2">
        <v>1195.6500000000001</v>
      </c>
      <c r="J1502" t="str">
        <f>"CUST#BASPCT4/ORD#37-19552/PCT4"</f>
        <v>CUST#BASPCT4/ORD#37-19552/PCT4</v>
      </c>
    </row>
    <row r="1503" spans="1:10" x14ac:dyDescent="0.3">
      <c r="A1503" t="str">
        <f>""</f>
        <v/>
      </c>
      <c r="B1503" t="str">
        <f>""</f>
        <v/>
      </c>
      <c r="G1503" t="str">
        <f>"30120036"</f>
        <v>30120036</v>
      </c>
      <c r="H1503" t="str">
        <f>"CUST#BASPCT4/ORD#37-19552/PCT4"</f>
        <v>CUST#BASPCT4/ORD#37-19552/PCT4</v>
      </c>
      <c r="I1503" s="2">
        <v>2872.98</v>
      </c>
      <c r="J1503" t="str">
        <f>"CUST#BASPCT4/ORD#37-19552/PCT4"</f>
        <v>CUST#BASPCT4/ORD#37-19552/PCT4</v>
      </c>
    </row>
    <row r="1504" spans="1:10" x14ac:dyDescent="0.3">
      <c r="A1504" t="str">
        <f>""</f>
        <v/>
      </c>
      <c r="B1504" t="str">
        <f>""</f>
        <v/>
      </c>
      <c r="G1504" t="str">
        <f>"30120060"</f>
        <v>30120060</v>
      </c>
      <c r="H1504" t="str">
        <f>"CUST#BASPCT4/ORD#37-19552/PCT4"</f>
        <v>CUST#BASPCT4/ORD#37-19552/PCT4</v>
      </c>
      <c r="I1504" s="2">
        <v>825.12</v>
      </c>
      <c r="J1504" t="str">
        <f>"CUST#BASPCT4/ORD#37-19552/PCT4"</f>
        <v>CUST#BASPCT4/ORD#37-19552/PCT4</v>
      </c>
    </row>
    <row r="1505" spans="1:10" x14ac:dyDescent="0.3">
      <c r="A1505" t="str">
        <f>""</f>
        <v/>
      </c>
      <c r="B1505" t="str">
        <f>""</f>
        <v/>
      </c>
      <c r="G1505" t="str">
        <f>"30120095"</f>
        <v>30120095</v>
      </c>
      <c r="H1505" t="str">
        <f>"CUST#BASPCT4/ORD#37-19552/PCT4"</f>
        <v>CUST#BASPCT4/ORD#37-19552/PCT4</v>
      </c>
      <c r="I1505" s="2">
        <v>1242.18</v>
      </c>
      <c r="J1505" t="str">
        <f>"CUST#BASPCT4/ORD#37-19552/PCT4"</f>
        <v>CUST#BASPCT4/ORD#37-19552/PCT4</v>
      </c>
    </row>
    <row r="1506" spans="1:10" x14ac:dyDescent="0.3">
      <c r="A1506" t="str">
        <f>""</f>
        <v/>
      </c>
      <c r="B1506" t="str">
        <f>""</f>
        <v/>
      </c>
      <c r="G1506" t="str">
        <f>"30120130"</f>
        <v>30120130</v>
      </c>
      <c r="H1506" t="str">
        <f>"CUST#BASPCT4/ORD#37-19552"</f>
        <v>CUST#BASPCT4/ORD#37-19552</v>
      </c>
      <c r="I1506" s="2">
        <v>1029.1500000000001</v>
      </c>
      <c r="J1506" t="str">
        <f>"CUST#BASPCT4/ORD#37-19552"</f>
        <v>CUST#BASPCT4/ORD#37-19552</v>
      </c>
    </row>
    <row r="1507" spans="1:10" x14ac:dyDescent="0.3">
      <c r="A1507" t="str">
        <f>""</f>
        <v/>
      </c>
      <c r="B1507" t="str">
        <f>""</f>
        <v/>
      </c>
      <c r="G1507" t="str">
        <f>"30120157"</f>
        <v>30120157</v>
      </c>
      <c r="H1507" t="str">
        <f>"CUST#BASPCT4/ORD#37-19552"</f>
        <v>CUST#BASPCT4/ORD#37-19552</v>
      </c>
      <c r="I1507" s="2">
        <v>402.03</v>
      </c>
      <c r="J1507" t="str">
        <f>"CUST#BASPCT4/ORD#37-19552"</f>
        <v>CUST#BASPCT4/ORD#37-19552</v>
      </c>
    </row>
    <row r="1508" spans="1:10" x14ac:dyDescent="0.3">
      <c r="A1508" t="str">
        <f>""</f>
        <v/>
      </c>
      <c r="B1508" t="str">
        <f>""</f>
        <v/>
      </c>
      <c r="G1508" t="str">
        <f>"30120200"</f>
        <v>30120200</v>
      </c>
      <c r="H1508" t="str">
        <f>"CUST#BASPCT4/ORD#37-19552"</f>
        <v>CUST#BASPCT4/ORD#37-19552</v>
      </c>
      <c r="I1508" s="2">
        <v>1241.82</v>
      </c>
      <c r="J1508" t="str">
        <f>"CUST#BASPCT4/ORD#37-19552"</f>
        <v>CUST#BASPCT4/ORD#37-19552</v>
      </c>
    </row>
    <row r="1509" spans="1:10" x14ac:dyDescent="0.3">
      <c r="A1509" t="str">
        <f>""</f>
        <v/>
      </c>
      <c r="B1509" t="str">
        <f>""</f>
        <v/>
      </c>
      <c r="G1509" t="str">
        <f>"30120233"</f>
        <v>30120233</v>
      </c>
      <c r="H1509" t="str">
        <f>"CUST#BASPCT4/ORD#37-19552"</f>
        <v>CUST#BASPCT4/ORD#37-19552</v>
      </c>
      <c r="I1509" s="2">
        <v>1999.71</v>
      </c>
      <c r="J1509" t="str">
        <f>"CUST#BASPCT4/ORD#37-19552"</f>
        <v>CUST#BASPCT4/ORD#37-19552</v>
      </c>
    </row>
    <row r="1510" spans="1:10" x14ac:dyDescent="0.3">
      <c r="A1510" t="str">
        <f>"01"</f>
        <v>01</v>
      </c>
      <c r="B1510" t="str">
        <f>"CENTEX"</f>
        <v>CENTEX</v>
      </c>
      <c r="C1510" t="s">
        <v>109</v>
      </c>
      <c r="D1510">
        <v>72378</v>
      </c>
      <c r="E1510" s="2">
        <v>3588.93</v>
      </c>
      <c r="F1510" s="1">
        <v>42976</v>
      </c>
      <c r="G1510" t="str">
        <f>"30120352"</f>
        <v>30120352</v>
      </c>
      <c r="H1510" t="str">
        <f>"CUST#BASPCT4/ORD#37-19552/PCT4"</f>
        <v>CUST#BASPCT4/ORD#37-19552/PCT4</v>
      </c>
      <c r="I1510" s="2">
        <v>1272.24</v>
      </c>
      <c r="J1510" t="str">
        <f>"CUST#BASPCT4/ORD#37-19552/PCT4"</f>
        <v>CUST#BASPCT4/ORD#37-19552/PCT4</v>
      </c>
    </row>
    <row r="1511" spans="1:10" x14ac:dyDescent="0.3">
      <c r="A1511" t="str">
        <f>""</f>
        <v/>
      </c>
      <c r="B1511" t="str">
        <f>""</f>
        <v/>
      </c>
      <c r="G1511" t="str">
        <f>"30120361"</f>
        <v>30120361</v>
      </c>
      <c r="H1511" t="str">
        <f>"CUST#BASPCT4/ORD#37-19552/PCT4"</f>
        <v>CUST#BASPCT4/ORD#37-19552/PCT4</v>
      </c>
      <c r="I1511" s="2">
        <v>648.45000000000005</v>
      </c>
      <c r="J1511" t="str">
        <f>"CUST#BASPCT4/ORD#37-19552/PCT4"</f>
        <v>CUST#BASPCT4/ORD#37-19552/PCT4</v>
      </c>
    </row>
    <row r="1512" spans="1:10" x14ac:dyDescent="0.3">
      <c r="A1512" t="str">
        <f>""</f>
        <v/>
      </c>
      <c r="B1512" t="str">
        <f>""</f>
        <v/>
      </c>
      <c r="G1512" t="str">
        <f>"30120384"</f>
        <v>30120384</v>
      </c>
      <c r="H1512" t="str">
        <f>"CUST#BASPCT4/ORD#37-19552/PCT4"</f>
        <v>CUST#BASPCT4/ORD#37-19552/PCT4</v>
      </c>
      <c r="I1512" s="2">
        <v>847.08</v>
      </c>
      <c r="J1512" t="str">
        <f>"CUST#BASPCT4/ORD#37-19552/PCT4"</f>
        <v>CUST#BASPCT4/ORD#37-19552/PCT4</v>
      </c>
    </row>
    <row r="1513" spans="1:10" x14ac:dyDescent="0.3">
      <c r="A1513" t="str">
        <f>""</f>
        <v/>
      </c>
      <c r="B1513" t="str">
        <f>""</f>
        <v/>
      </c>
      <c r="G1513" t="str">
        <f>"30120418"</f>
        <v>30120418</v>
      </c>
      <c r="H1513" t="str">
        <f>"CUST#BASPCT4/ORD#37-19552/PCT4"</f>
        <v>CUST#BASPCT4/ORD#37-19552/PCT4</v>
      </c>
      <c r="I1513" s="2">
        <v>821.16</v>
      </c>
      <c r="J1513" t="str">
        <f>"CUST#BASPCT4/ORD#37-19552/PCT4"</f>
        <v>CUST#BASPCT4/ORD#37-19552/PCT4</v>
      </c>
    </row>
    <row r="1514" spans="1:10" x14ac:dyDescent="0.3">
      <c r="A1514" t="str">
        <f>"01"</f>
        <v>01</v>
      </c>
      <c r="B1514" t="str">
        <f>"ECO"</f>
        <v>ECO</v>
      </c>
      <c r="C1514" t="s">
        <v>450</v>
      </c>
      <c r="D1514">
        <v>72379</v>
      </c>
      <c r="E1514" s="2">
        <v>578474.27</v>
      </c>
      <c r="F1514" s="1">
        <v>42976</v>
      </c>
      <c r="G1514" t="str">
        <f>"201708224355"</f>
        <v>201708224355</v>
      </c>
      <c r="H1514" t="str">
        <f>"ELGIN COMMUNITY CENTER"</f>
        <v>ELGIN COMMUNITY CENTER</v>
      </c>
      <c r="I1514" s="2">
        <v>578474.27</v>
      </c>
      <c r="J1514" t="str">
        <f>"ELGIN COMMUNITY CENTER"</f>
        <v>ELGIN COMMUNITY CENTER</v>
      </c>
    </row>
    <row r="1515" spans="1:10" x14ac:dyDescent="0.3">
      <c r="A1515" t="str">
        <f>"01"</f>
        <v>01</v>
      </c>
      <c r="B1515" t="str">
        <f>"SCO"</f>
        <v>SCO</v>
      </c>
      <c r="C1515" t="s">
        <v>121</v>
      </c>
      <c r="D1515">
        <v>72144</v>
      </c>
      <c r="E1515" s="2">
        <v>2540</v>
      </c>
      <c r="F1515" s="1">
        <v>42961</v>
      </c>
      <c r="G1515" t="str">
        <f>"201707263861"</f>
        <v>201707263861</v>
      </c>
      <c r="H1515" t="str">
        <f>"PROJECT#P06726-6 BLDG 7"</f>
        <v>PROJECT#P06726-6 BLDG 7</v>
      </c>
      <c r="I1515" s="2">
        <v>2540</v>
      </c>
      <c r="J1515" t="str">
        <f>"PROJECT#P06726-6 BLDG 7"</f>
        <v>PROJECT#P06726-6 BLDG 7</v>
      </c>
    </row>
    <row r="1516" spans="1:10" x14ac:dyDescent="0.3">
      <c r="A1516" t="str">
        <f>"01"</f>
        <v>01</v>
      </c>
      <c r="B1516" t="str">
        <f>"SCO"</f>
        <v>SCO</v>
      </c>
      <c r="C1516" t="s">
        <v>121</v>
      </c>
      <c r="D1516">
        <v>72380</v>
      </c>
      <c r="E1516" s="2">
        <v>236579.5</v>
      </c>
      <c r="F1516" s="1">
        <v>42976</v>
      </c>
      <c r="G1516" t="str">
        <f>"201708224353"</f>
        <v>201708224353</v>
      </c>
      <c r="H1516" t="str">
        <f>"SMITHVILLE REC CENTER"</f>
        <v>SMITHVILLE REC CENTER</v>
      </c>
      <c r="I1516" s="2">
        <v>141673.5</v>
      </c>
      <c r="J1516" t="str">
        <f>"SMITHVILLE REC CENTER"</f>
        <v>SMITHVILLE REC CENTER</v>
      </c>
    </row>
    <row r="1517" spans="1:10" x14ac:dyDescent="0.3">
      <c r="A1517" t="str">
        <f>""</f>
        <v/>
      </c>
      <c r="B1517" t="str">
        <f>""</f>
        <v/>
      </c>
      <c r="G1517" t="str">
        <f>"201708224354"</f>
        <v>201708224354</v>
      </c>
      <c r="H1517" t="str">
        <f>"SMITHVILLE REC CENTER"</f>
        <v>SMITHVILLE REC CENTER</v>
      </c>
      <c r="I1517" s="2">
        <v>83834.55</v>
      </c>
      <c r="J1517" t="str">
        <f>"SMITHVILLE REC CENTER"</f>
        <v>SMITHVILLE REC CENTER</v>
      </c>
    </row>
    <row r="1518" spans="1:10" x14ac:dyDescent="0.3">
      <c r="A1518" t="str">
        <f>""</f>
        <v/>
      </c>
      <c r="B1518" t="str">
        <f>""</f>
        <v/>
      </c>
      <c r="G1518" t="str">
        <f>"201708224356"</f>
        <v>201708224356</v>
      </c>
      <c r="H1518" t="str">
        <f>"PROJ#P06726-6  BLD 7"</f>
        <v>PROJ#P06726-6  BLD 7</v>
      </c>
      <c r="I1518" s="2">
        <v>11071.45</v>
      </c>
      <c r="J1518" t="str">
        <f>"PROJ#P06726-6  BLD 7"</f>
        <v>PROJ#P06726-6  BLD 7</v>
      </c>
    </row>
    <row r="1519" spans="1:10" x14ac:dyDescent="0.3">
      <c r="A1519" t="str">
        <f>"01"</f>
        <v>01</v>
      </c>
      <c r="B1519" t="str">
        <f>"T12717"</f>
        <v>T12717</v>
      </c>
      <c r="C1519" t="s">
        <v>451</v>
      </c>
      <c r="D1519">
        <v>72381</v>
      </c>
      <c r="E1519" s="2">
        <v>1162</v>
      </c>
      <c r="F1519" s="1">
        <v>42976</v>
      </c>
      <c r="G1519" t="str">
        <f>"393991-1541"</f>
        <v>393991-1541</v>
      </c>
      <c r="H1519" t="str">
        <f>"INSTALL 2 CAMERAS/BOOTCAMP"</f>
        <v>INSTALL 2 CAMERAS/BOOTCAMP</v>
      </c>
      <c r="I1519" s="2">
        <v>1162</v>
      </c>
      <c r="J1519" t="str">
        <f>"INSTALL 2 CAMERAS/BOOTCAMP"</f>
        <v>INSTALL 2 CAMERAS/BOOTCAMP</v>
      </c>
    </row>
    <row r="1520" spans="1:10" x14ac:dyDescent="0.3">
      <c r="A1520" t="str">
        <f>"01"</f>
        <v>01</v>
      </c>
      <c r="B1520" t="str">
        <f>"000589"</f>
        <v>000589</v>
      </c>
      <c r="C1520" t="s">
        <v>164</v>
      </c>
      <c r="D1520">
        <v>72145</v>
      </c>
      <c r="E1520" s="2">
        <v>34532.18</v>
      </c>
      <c r="F1520" s="1">
        <v>42961</v>
      </c>
      <c r="G1520" t="str">
        <f>"9401673367"</f>
        <v>9401673367</v>
      </c>
      <c r="H1520" t="str">
        <f>"CUST#912904/BASE/PCT#2"</f>
        <v>CUST#912904/BASE/PCT#2</v>
      </c>
      <c r="I1520" s="2">
        <v>11408.2</v>
      </c>
      <c r="J1520" t="str">
        <f>"CUST#912904/BASE/PCT#2"</f>
        <v>CUST#912904/BASE/PCT#2</v>
      </c>
    </row>
    <row r="1521" spans="1:10" x14ac:dyDescent="0.3">
      <c r="A1521" t="str">
        <f>""</f>
        <v/>
      </c>
      <c r="B1521" t="str">
        <f>""</f>
        <v/>
      </c>
      <c r="G1521" t="str">
        <f>"9401674183"</f>
        <v>9401674183</v>
      </c>
      <c r="H1521" t="str">
        <f>"CUST#912904/BASE/PCT#2"</f>
        <v>CUST#912904/BASE/PCT#2</v>
      </c>
      <c r="I1521" s="2">
        <v>10799.78</v>
      </c>
      <c r="J1521" t="str">
        <f>"CUST#912904/BASE/PCT#2"</f>
        <v>CUST#912904/BASE/PCT#2</v>
      </c>
    </row>
    <row r="1522" spans="1:10" x14ac:dyDescent="0.3">
      <c r="A1522" t="str">
        <f>""</f>
        <v/>
      </c>
      <c r="B1522" t="str">
        <f>""</f>
        <v/>
      </c>
      <c r="G1522" t="str">
        <f>"9401678223"</f>
        <v>9401678223</v>
      </c>
      <c r="H1522" t="str">
        <f>"ACCT#912904/BOL#20496/PCT#2"</f>
        <v>ACCT#912904/BOL#20496/PCT#2</v>
      </c>
      <c r="I1522" s="2">
        <v>49.6</v>
      </c>
      <c r="J1522" t="str">
        <f>"ACCT#912904/BOL#20496/PCT#2"</f>
        <v>ACCT#912904/BOL#20496/PCT#2</v>
      </c>
    </row>
    <row r="1523" spans="1:10" x14ac:dyDescent="0.3">
      <c r="A1523" t="str">
        <f>""</f>
        <v/>
      </c>
      <c r="B1523" t="str">
        <f>""</f>
        <v/>
      </c>
      <c r="G1523" t="str">
        <f>"9401679184"</f>
        <v>9401679184</v>
      </c>
      <c r="H1523" t="str">
        <f>"ACCT#912904/BOL#20558/PCT#2"</f>
        <v>ACCT#912904/BOL#20558/PCT#2</v>
      </c>
      <c r="I1523" s="2">
        <v>12274.6</v>
      </c>
      <c r="J1523" t="str">
        <f>"ACCT#912904/BOL#20558/PCT#2"</f>
        <v>ACCT#912904/BOL#20558/PCT#2</v>
      </c>
    </row>
    <row r="1524" spans="1:10" x14ac:dyDescent="0.3">
      <c r="A1524" t="str">
        <f>"01"</f>
        <v>01</v>
      </c>
      <c r="B1524" t="str">
        <f>"000589"</f>
        <v>000589</v>
      </c>
      <c r="C1524" t="s">
        <v>164</v>
      </c>
      <c r="D1524">
        <v>72382</v>
      </c>
      <c r="E1524" s="2">
        <v>51459.95</v>
      </c>
      <c r="F1524" s="1">
        <v>42976</v>
      </c>
      <c r="G1524" t="str">
        <f>"9401680160"</f>
        <v>9401680160</v>
      </c>
      <c r="H1524" t="str">
        <f>"ACCT#912904/DEMURRAGE/PCT#2"</f>
        <v>ACCT#912904/DEMURRAGE/PCT#2</v>
      </c>
      <c r="I1524" s="2">
        <v>80</v>
      </c>
      <c r="J1524" t="str">
        <f>"ACCT#912904/DEMURRAGE/PCT#2"</f>
        <v>ACCT#912904/DEMURRAGE/PCT#2</v>
      </c>
    </row>
    <row r="1525" spans="1:10" x14ac:dyDescent="0.3">
      <c r="A1525" t="str">
        <f>""</f>
        <v/>
      </c>
      <c r="B1525" t="str">
        <f>""</f>
        <v/>
      </c>
      <c r="G1525" t="str">
        <f>"9401682227"</f>
        <v>9401682227</v>
      </c>
      <c r="H1525" t="str">
        <f>"ACCT#912904/BOL#20588/PCT#2"</f>
        <v>ACCT#912904/BOL#20588/PCT#2</v>
      </c>
      <c r="I1525" s="2">
        <v>7925.45</v>
      </c>
      <c r="J1525" t="str">
        <f>"ACCT#912904/BOL#20588/PCT#2"</f>
        <v>ACCT#912904/BOL#20588/PCT#2</v>
      </c>
    </row>
    <row r="1526" spans="1:10" x14ac:dyDescent="0.3">
      <c r="A1526" t="str">
        <f>""</f>
        <v/>
      </c>
      <c r="B1526" t="str">
        <f>""</f>
        <v/>
      </c>
      <c r="G1526" t="str">
        <f>"9401685922"</f>
        <v>9401685922</v>
      </c>
      <c r="H1526" t="str">
        <f>"ACCT#912904/PCT#2"</f>
        <v>ACCT#912904/PCT#2</v>
      </c>
      <c r="I1526" s="2">
        <v>40</v>
      </c>
      <c r="J1526" t="str">
        <f>"ACCT#912904/PCT#2"</f>
        <v>ACCT#912904/PCT#2</v>
      </c>
    </row>
    <row r="1527" spans="1:10" x14ac:dyDescent="0.3">
      <c r="A1527" t="str">
        <f>""</f>
        <v/>
      </c>
      <c r="B1527" t="str">
        <f>""</f>
        <v/>
      </c>
      <c r="G1527" t="str">
        <f>"9401687156"</f>
        <v>9401687156</v>
      </c>
      <c r="H1527" t="str">
        <f>"ACCT#912904/PCT#2"</f>
        <v>ACCT#912904/PCT#2</v>
      </c>
      <c r="I1527" s="2">
        <v>7606.48</v>
      </c>
      <c r="J1527" t="str">
        <f>"ACCT#912904/PCT#2"</f>
        <v>ACCT#912904/PCT#2</v>
      </c>
    </row>
    <row r="1528" spans="1:10" x14ac:dyDescent="0.3">
      <c r="A1528" t="str">
        <f>""</f>
        <v/>
      </c>
      <c r="B1528" t="str">
        <f>""</f>
        <v/>
      </c>
      <c r="G1528" t="str">
        <f>"9401688059"</f>
        <v>9401688059</v>
      </c>
      <c r="H1528" t="str">
        <f>"ACCT#912904/PCT#2"</f>
        <v>ACCT#912904/PCT#2</v>
      </c>
      <c r="I1528" s="2">
        <v>11865.31</v>
      </c>
      <c r="J1528" t="str">
        <f>"ACCT#912904/PCT#2"</f>
        <v>ACCT#912904/PCT#2</v>
      </c>
    </row>
    <row r="1529" spans="1:10" x14ac:dyDescent="0.3">
      <c r="A1529" t="str">
        <f>""</f>
        <v/>
      </c>
      <c r="B1529" t="str">
        <f>""</f>
        <v/>
      </c>
      <c r="G1529" t="str">
        <f>"9401688590"</f>
        <v>9401688590</v>
      </c>
      <c r="H1529" t="str">
        <f>"ACCT#912904/PCT#2"</f>
        <v>ACCT#912904/PCT#2</v>
      </c>
      <c r="I1529" s="2">
        <v>12082.34</v>
      </c>
      <c r="J1529" t="str">
        <f>"ACCT#912904/PCT#2"</f>
        <v>ACCT#912904/PCT#2</v>
      </c>
    </row>
    <row r="1530" spans="1:10" x14ac:dyDescent="0.3">
      <c r="A1530" t="str">
        <f>""</f>
        <v/>
      </c>
      <c r="B1530" t="str">
        <f>""</f>
        <v/>
      </c>
      <c r="G1530" t="str">
        <f>"9401688591"</f>
        <v>9401688591</v>
      </c>
      <c r="H1530" t="str">
        <f>"ACCT#912904/PCT#2"</f>
        <v>ACCT#912904/PCT#2</v>
      </c>
      <c r="I1530" s="2">
        <v>11860.37</v>
      </c>
      <c r="J1530" t="str">
        <f>"ACCT#912904/PCT#2"</f>
        <v>ACCT#912904/PCT#2</v>
      </c>
    </row>
    <row r="1531" spans="1:10" x14ac:dyDescent="0.3">
      <c r="A1531" t="str">
        <f>"01"</f>
        <v>01</v>
      </c>
      <c r="B1531" t="str">
        <f>"004873"</f>
        <v>004873</v>
      </c>
      <c r="C1531" t="s">
        <v>452</v>
      </c>
      <c r="D1531">
        <v>72383</v>
      </c>
      <c r="E1531" s="2">
        <v>3300</v>
      </c>
      <c r="F1531" s="1">
        <v>42976</v>
      </c>
      <c r="G1531" t="str">
        <f>"132546"</f>
        <v>132546</v>
      </c>
      <c r="H1531" t="str">
        <f>"Inv# 132546"</f>
        <v>Inv# 132546</v>
      </c>
      <c r="I1531" s="2">
        <v>3300</v>
      </c>
      <c r="J1531" t="str">
        <f>"Labor"</f>
        <v>Labor</v>
      </c>
    </row>
    <row r="1532" spans="1:10" x14ac:dyDescent="0.3">
      <c r="A1532" t="str">
        <f>""</f>
        <v/>
      </c>
      <c r="B1532" t="str">
        <f>""</f>
        <v/>
      </c>
      <c r="G1532" t="str">
        <f>""</f>
        <v/>
      </c>
      <c r="H1532" t="str">
        <f>""</f>
        <v/>
      </c>
      <c r="J1532" t="str">
        <f>"Line/back plate"</f>
        <v>Line/back plate</v>
      </c>
    </row>
    <row r="1533" spans="1:10" x14ac:dyDescent="0.3">
      <c r="A1533" t="str">
        <f>""</f>
        <v/>
      </c>
      <c r="B1533" t="str">
        <f>""</f>
        <v/>
      </c>
      <c r="G1533" t="str">
        <f>""</f>
        <v/>
      </c>
      <c r="H1533" t="str">
        <f>""</f>
        <v/>
      </c>
      <c r="J1533" t="str">
        <f>"Misc. Supplies"</f>
        <v>Misc. Supplies</v>
      </c>
    </row>
    <row r="1534" spans="1:10" x14ac:dyDescent="0.3">
      <c r="A1534" t="str">
        <f>"01"</f>
        <v>01</v>
      </c>
      <c r="B1534" t="str">
        <f>"001987"</f>
        <v>001987</v>
      </c>
      <c r="C1534" t="s">
        <v>453</v>
      </c>
      <c r="D1534">
        <v>72384</v>
      </c>
      <c r="E1534" s="2">
        <v>55</v>
      </c>
      <c r="F1534" s="1">
        <v>42976</v>
      </c>
      <c r="G1534" t="str">
        <f>"201708224357"</f>
        <v>201708224357</v>
      </c>
      <c r="H1534" t="str">
        <f>"REIMBURSE-CPR/AED TRAINING"</f>
        <v>REIMBURSE-CPR/AED TRAINING</v>
      </c>
      <c r="I1534" s="2">
        <v>15</v>
      </c>
      <c r="J1534" t="str">
        <f>"REIMBURSE-CPR/AED TRAINING"</f>
        <v>REIMBURSE-CPR/AED TRAINING</v>
      </c>
    </row>
    <row r="1535" spans="1:10" x14ac:dyDescent="0.3">
      <c r="A1535" t="str">
        <f>""</f>
        <v/>
      </c>
      <c r="B1535" t="str">
        <f>""</f>
        <v/>
      </c>
      <c r="G1535" t="str">
        <f>"201708224358"</f>
        <v>201708224358</v>
      </c>
      <c r="H1535" t="str">
        <f>"REIMBURSE-MEDIA CART"</f>
        <v>REIMBURSE-MEDIA CART</v>
      </c>
      <c r="I1535" s="2">
        <v>40</v>
      </c>
      <c r="J1535" t="str">
        <f>"REIMBURSE-MEDIA CART"</f>
        <v>REIMBURSE-MEDIA CART</v>
      </c>
    </row>
    <row r="1536" spans="1:10" x14ac:dyDescent="0.3">
      <c r="A1536" t="str">
        <f>"01"</f>
        <v>01</v>
      </c>
      <c r="B1536" t="str">
        <f>"T13475"</f>
        <v>T13475</v>
      </c>
      <c r="C1536" t="s">
        <v>454</v>
      </c>
      <c r="D1536">
        <v>72385</v>
      </c>
      <c r="E1536" s="2">
        <v>31224.13</v>
      </c>
      <c r="F1536" s="1">
        <v>42976</v>
      </c>
      <c r="G1536" t="str">
        <f>"3344"</f>
        <v>3344</v>
      </c>
      <c r="H1536" t="str">
        <f>"ADMIN FEE-BASTROP CO WILDFIRE"</f>
        <v>ADMIN FEE-BASTROP CO WILDFIRE</v>
      </c>
      <c r="I1536" s="2">
        <v>31224.13</v>
      </c>
      <c r="J1536" t="str">
        <f>"ADMIN FEE-BASTROP CO WILDFIRE"</f>
        <v>ADMIN FEE-BASTROP CO WILDFIRE</v>
      </c>
    </row>
    <row r="1537" spans="1:10" x14ac:dyDescent="0.3">
      <c r="A1537" t="str">
        <f>"01"</f>
        <v>01</v>
      </c>
      <c r="B1537" t="str">
        <f>"002312"</f>
        <v>002312</v>
      </c>
      <c r="C1537" t="s">
        <v>455</v>
      </c>
      <c r="D1537">
        <v>72146</v>
      </c>
      <c r="E1537" s="2">
        <v>7554.51</v>
      </c>
      <c r="F1537" s="1">
        <v>42961</v>
      </c>
      <c r="G1537" t="str">
        <f>"14692"</f>
        <v>14692</v>
      </c>
      <c r="H1537" t="str">
        <f>"FREIGHT SALES/PCT#2"</f>
        <v>FREIGHT SALES/PCT#2</v>
      </c>
      <c r="I1537" s="2">
        <v>2444.1</v>
      </c>
      <c r="J1537" t="str">
        <f>"FREIGHT SALES/PCT#2"</f>
        <v>FREIGHT SALES/PCT#2</v>
      </c>
    </row>
    <row r="1538" spans="1:10" x14ac:dyDescent="0.3">
      <c r="A1538" t="str">
        <f>""</f>
        <v/>
      </c>
      <c r="B1538" t="str">
        <f>""</f>
        <v/>
      </c>
      <c r="G1538" t="str">
        <f>"14728"</f>
        <v>14728</v>
      </c>
      <c r="H1538" t="str">
        <f>"FREIGHT SALES/PCT#2"</f>
        <v>FREIGHT SALES/PCT#2</v>
      </c>
      <c r="I1538" s="2">
        <v>203.41</v>
      </c>
      <c r="J1538" t="str">
        <f>"FREIGHT SALES/PCT#2"</f>
        <v>FREIGHT SALES/PCT#2</v>
      </c>
    </row>
    <row r="1539" spans="1:10" x14ac:dyDescent="0.3">
      <c r="A1539" t="str">
        <f>""</f>
        <v/>
      </c>
      <c r="B1539" t="str">
        <f>""</f>
        <v/>
      </c>
      <c r="G1539" t="str">
        <f>"14756"</f>
        <v>14756</v>
      </c>
      <c r="H1539" t="str">
        <f>"FREIGHT SALES/PCT#2"</f>
        <v>FREIGHT SALES/PCT#2</v>
      </c>
      <c r="I1539" s="2">
        <v>2173.75</v>
      </c>
      <c r="J1539" t="str">
        <f>"FREIGHT SALES/PCT#2"</f>
        <v>FREIGHT SALES/PCT#2</v>
      </c>
    </row>
    <row r="1540" spans="1:10" x14ac:dyDescent="0.3">
      <c r="A1540" t="str">
        <f>""</f>
        <v/>
      </c>
      <c r="B1540" t="str">
        <f>""</f>
        <v/>
      </c>
      <c r="G1540" t="str">
        <f>"14769"</f>
        <v>14769</v>
      </c>
      <c r="H1540" t="str">
        <f>"TKT#527210 527270 527797/PCT#2"</f>
        <v>TKT#527210 527270 527797/PCT#2</v>
      </c>
      <c r="I1540" s="2">
        <v>375.1</v>
      </c>
      <c r="J1540" t="str">
        <f>"TKT#527210 527270 527797/PCT#2"</f>
        <v>TKT#527210 527270 527797/PCT#2</v>
      </c>
    </row>
    <row r="1541" spans="1:10" x14ac:dyDescent="0.3">
      <c r="A1541" t="str">
        <f>""</f>
        <v/>
      </c>
      <c r="B1541" t="str">
        <f>""</f>
        <v/>
      </c>
      <c r="G1541" t="str">
        <f>"14813"</f>
        <v>14813</v>
      </c>
      <c r="H1541" t="str">
        <f>"PCT#2"</f>
        <v>PCT#2</v>
      </c>
      <c r="I1541" s="2">
        <v>2178.9</v>
      </c>
      <c r="J1541" t="str">
        <f>"PCT#2"</f>
        <v>PCT#2</v>
      </c>
    </row>
    <row r="1542" spans="1:10" x14ac:dyDescent="0.3">
      <c r="A1542" t="str">
        <f>""</f>
        <v/>
      </c>
      <c r="B1542" t="str">
        <f>""</f>
        <v/>
      </c>
      <c r="G1542" t="str">
        <f>"14841"</f>
        <v>14841</v>
      </c>
      <c r="H1542" t="str">
        <f>"TICKET# 528004/528136 PCT#2"</f>
        <v>TICKET# 528004/528136 PCT#2</v>
      </c>
      <c r="I1542" s="2">
        <v>179.25</v>
      </c>
      <c r="J1542" t="str">
        <f>"TICKET# 528004/528136 PCT#2"</f>
        <v>TICKET# 528004/528136 PCT#2</v>
      </c>
    </row>
    <row r="1543" spans="1:10" x14ac:dyDescent="0.3">
      <c r="A1543" t="str">
        <f>"01"</f>
        <v>01</v>
      </c>
      <c r="B1543" t="str">
        <f>"002312"</f>
        <v>002312</v>
      </c>
      <c r="C1543" t="s">
        <v>455</v>
      </c>
      <c r="D1543">
        <v>72386</v>
      </c>
      <c r="E1543" s="2">
        <v>5413.17</v>
      </c>
      <c r="F1543" s="1">
        <v>42976</v>
      </c>
      <c r="G1543" t="str">
        <f>"14879"</f>
        <v>14879</v>
      </c>
      <c r="H1543" t="str">
        <f>"FREIGHT SALES/PCT#2"</f>
        <v>FREIGHT SALES/PCT#2</v>
      </c>
      <c r="I1543" s="2">
        <v>2623.7</v>
      </c>
      <c r="J1543" t="str">
        <f>"FREIGHT SALES/PCT#2"</f>
        <v>FREIGHT SALES/PCT#2</v>
      </c>
    </row>
    <row r="1544" spans="1:10" x14ac:dyDescent="0.3">
      <c r="A1544" t="str">
        <f>""</f>
        <v/>
      </c>
      <c r="B1544" t="str">
        <f>""</f>
        <v/>
      </c>
      <c r="G1544" t="str">
        <f>"14913"</f>
        <v>14913</v>
      </c>
      <c r="H1544" t="str">
        <f>"FREIGHT SALES/PCT#2"</f>
        <v>FREIGHT SALES/PCT#2</v>
      </c>
      <c r="I1544" s="2">
        <v>1072.0999999999999</v>
      </c>
      <c r="J1544" t="str">
        <f>"FREIGHT SALES/PCT#2"</f>
        <v>FREIGHT SALES/PCT#2</v>
      </c>
    </row>
    <row r="1545" spans="1:10" x14ac:dyDescent="0.3">
      <c r="A1545" t="str">
        <f>""</f>
        <v/>
      </c>
      <c r="B1545" t="str">
        <f>""</f>
        <v/>
      </c>
      <c r="G1545" t="str">
        <f>"14956"</f>
        <v>14956</v>
      </c>
      <c r="H1545" t="str">
        <f>"FREIGHT SALES/PCT#2"</f>
        <v>FREIGHT SALES/PCT#2</v>
      </c>
      <c r="I1545" s="2">
        <v>1717.37</v>
      </c>
      <c r="J1545" t="str">
        <f>"FREIGHT SALES/PCT#2"</f>
        <v>FREIGHT SALES/PCT#2</v>
      </c>
    </row>
    <row r="1546" spans="1:10" x14ac:dyDescent="0.3">
      <c r="A1546" t="str">
        <f>"01"</f>
        <v>01</v>
      </c>
      <c r="B1546" t="str">
        <f>"004401"</f>
        <v>004401</v>
      </c>
      <c r="C1546" t="s">
        <v>456</v>
      </c>
      <c r="D1546">
        <v>72147</v>
      </c>
      <c r="E1546" s="2">
        <v>7135.72</v>
      </c>
      <c r="F1546" s="1">
        <v>42961</v>
      </c>
      <c r="G1546" t="str">
        <f>"4466111/4467076"</f>
        <v>4466111/4467076</v>
      </c>
      <c r="H1546" t="str">
        <f>"Parts"</f>
        <v>Parts</v>
      </c>
      <c r="I1546" s="2">
        <v>5149.38</v>
      </c>
      <c r="J1546" t="str">
        <f>"Speed Sensors"</f>
        <v>Speed Sensors</v>
      </c>
    </row>
    <row r="1547" spans="1:10" x14ac:dyDescent="0.3">
      <c r="A1547" t="str">
        <f>""</f>
        <v/>
      </c>
      <c r="B1547" t="str">
        <f>""</f>
        <v/>
      </c>
      <c r="G1547" t="str">
        <f>""</f>
        <v/>
      </c>
      <c r="H1547" t="str">
        <f>""</f>
        <v/>
      </c>
      <c r="J1547" t="str">
        <f>"Tracks"</f>
        <v>Tracks</v>
      </c>
    </row>
    <row r="1548" spans="1:10" x14ac:dyDescent="0.3">
      <c r="A1548" t="str">
        <f>""</f>
        <v/>
      </c>
      <c r="B1548" t="str">
        <f>""</f>
        <v/>
      </c>
      <c r="G1548" t="str">
        <f>"PART4371983"</f>
        <v>PART4371983</v>
      </c>
      <c r="H1548" t="str">
        <f>"CUST#1006635/DOC#50C259694A"</f>
        <v>CUST#1006635/DOC#50C259694A</v>
      </c>
      <c r="I1548" s="2">
        <v>214.2</v>
      </c>
      <c r="J1548" t="str">
        <f>"CUST#1006635/DOC#50C259694A"</f>
        <v>CUST#1006635/DOC#50C259694A</v>
      </c>
    </row>
    <row r="1549" spans="1:10" x14ac:dyDescent="0.3">
      <c r="A1549" t="str">
        <f>""</f>
        <v/>
      </c>
      <c r="B1549" t="str">
        <f>""</f>
        <v/>
      </c>
      <c r="G1549" t="str">
        <f>"PART4386597"</f>
        <v>PART4386597</v>
      </c>
      <c r="H1549" t="str">
        <f>"CUST#1006635/DOC#50C260661"</f>
        <v>CUST#1006635/DOC#50C260661</v>
      </c>
      <c r="I1549" s="2">
        <v>37.200000000000003</v>
      </c>
      <c r="J1549" t="str">
        <f>"CUST#1006635/DOC#50C260661"</f>
        <v>CUST#1006635/DOC#50C260661</v>
      </c>
    </row>
    <row r="1550" spans="1:10" x14ac:dyDescent="0.3">
      <c r="A1550" t="str">
        <f>""</f>
        <v/>
      </c>
      <c r="B1550" t="str">
        <f>""</f>
        <v/>
      </c>
      <c r="G1550" t="str">
        <f>"PART4396920"</f>
        <v>PART4396920</v>
      </c>
      <c r="H1550" t="str">
        <f>"CUST#1006635/DOC#50C261332"</f>
        <v>CUST#1006635/DOC#50C261332</v>
      </c>
      <c r="I1550" s="2">
        <v>20.52</v>
      </c>
      <c r="J1550" t="str">
        <f>"CUST#1006635/DOC#50C261332"</f>
        <v>CUST#1006635/DOC#50C261332</v>
      </c>
    </row>
    <row r="1551" spans="1:10" x14ac:dyDescent="0.3">
      <c r="A1551" t="str">
        <f>""</f>
        <v/>
      </c>
      <c r="B1551" t="str">
        <f>""</f>
        <v/>
      </c>
      <c r="G1551" t="str">
        <f>"PART4396921"</f>
        <v>PART4396921</v>
      </c>
      <c r="H1551" t="str">
        <f>"CUST#1006635/DOC#50C261344"</f>
        <v>CUST#1006635/DOC#50C261344</v>
      </c>
      <c r="I1551" s="2">
        <v>13.08</v>
      </c>
      <c r="J1551" t="str">
        <f>"CUST#1006635/DOC#50C261344"</f>
        <v>CUST#1006635/DOC#50C261344</v>
      </c>
    </row>
    <row r="1552" spans="1:10" x14ac:dyDescent="0.3">
      <c r="A1552" t="str">
        <f>""</f>
        <v/>
      </c>
      <c r="B1552" t="str">
        <f>""</f>
        <v/>
      </c>
      <c r="G1552" t="str">
        <f>"PART4402474"</f>
        <v>PART4402474</v>
      </c>
      <c r="H1552" t="str">
        <f>"CUST#1006635/DOC#50C261658A"</f>
        <v>CUST#1006635/DOC#50C261658A</v>
      </c>
      <c r="I1552" s="2">
        <v>466.2</v>
      </c>
      <c r="J1552" t="str">
        <f>"CUST#1006635/DOC#50C261658A"</f>
        <v>CUST#1006635/DOC#50C261658A</v>
      </c>
    </row>
    <row r="1553" spans="1:10" x14ac:dyDescent="0.3">
      <c r="A1553" t="str">
        <f>""</f>
        <v/>
      </c>
      <c r="B1553" t="str">
        <f>""</f>
        <v/>
      </c>
      <c r="G1553" t="str">
        <f>"PART4405725"</f>
        <v>PART4405725</v>
      </c>
      <c r="H1553" t="str">
        <f>"CUST#1006635/DOC#50C261900A"</f>
        <v>CUST#1006635/DOC#50C261900A</v>
      </c>
      <c r="I1553" s="2">
        <v>175.33</v>
      </c>
      <c r="J1553" t="str">
        <f>"CUST#1006635/DOC#50C261900A"</f>
        <v>CUST#1006635/DOC#50C261900A</v>
      </c>
    </row>
    <row r="1554" spans="1:10" x14ac:dyDescent="0.3">
      <c r="A1554" t="str">
        <f>""</f>
        <v/>
      </c>
      <c r="B1554" t="str">
        <f>""</f>
        <v/>
      </c>
      <c r="G1554" t="str">
        <f>"PART4405726"</f>
        <v>PART4405726</v>
      </c>
      <c r="H1554" t="str">
        <f>"CUST#1006635/DOC#50C261906A"</f>
        <v>CUST#1006635/DOC#50C261906A</v>
      </c>
      <c r="I1554" s="2">
        <v>59.15</v>
      </c>
      <c r="J1554" t="str">
        <f>"CUST#1006635/DOC#50C261906A"</f>
        <v>CUST#1006635/DOC#50C261906A</v>
      </c>
    </row>
    <row r="1555" spans="1:10" x14ac:dyDescent="0.3">
      <c r="A1555" t="str">
        <f>""</f>
        <v/>
      </c>
      <c r="B1555" t="str">
        <f>""</f>
        <v/>
      </c>
      <c r="G1555" t="str">
        <f>"PART4453040"</f>
        <v>PART4453040</v>
      </c>
      <c r="H1555" t="str">
        <f>"CUST#1006635/DOC#50C265277"</f>
        <v>CUST#1006635/DOC#50C265277</v>
      </c>
      <c r="I1555" s="2">
        <v>360.68</v>
      </c>
      <c r="J1555" t="str">
        <f>"CUST#1006635/DOC#50C265277"</f>
        <v>CUST#1006635/DOC#50C265277</v>
      </c>
    </row>
    <row r="1556" spans="1:10" x14ac:dyDescent="0.3">
      <c r="A1556" t="str">
        <f>""</f>
        <v/>
      </c>
      <c r="B1556" t="str">
        <f>""</f>
        <v/>
      </c>
      <c r="G1556" t="str">
        <f>"PART4469235"</f>
        <v>PART4469235</v>
      </c>
      <c r="H1556" t="str">
        <f>"Inv# PART4469235"</f>
        <v>Inv# PART4469235</v>
      </c>
      <c r="I1556" s="2">
        <v>639.98</v>
      </c>
      <c r="J1556" t="str">
        <f>"Inv# PART4469235"</f>
        <v>Inv# PART4469235</v>
      </c>
    </row>
    <row r="1557" spans="1:10" x14ac:dyDescent="0.3">
      <c r="A1557" t="str">
        <f>""</f>
        <v/>
      </c>
      <c r="B1557" t="str">
        <f>""</f>
        <v/>
      </c>
      <c r="G1557" t="str">
        <f>""</f>
        <v/>
      </c>
      <c r="H1557" t="str">
        <f>""</f>
        <v/>
      </c>
      <c r="J1557" t="str">
        <f>"Shipping"</f>
        <v>Shipping</v>
      </c>
    </row>
    <row r="1558" spans="1:10" x14ac:dyDescent="0.3">
      <c r="A1558" t="str">
        <f>"01"</f>
        <v>01</v>
      </c>
      <c r="B1558" t="str">
        <f>"004401"</f>
        <v>004401</v>
      </c>
      <c r="C1558" t="s">
        <v>456</v>
      </c>
      <c r="D1558">
        <v>72387</v>
      </c>
      <c r="E1558" s="2">
        <v>953.33</v>
      </c>
      <c r="F1558" s="1">
        <v>42976</v>
      </c>
      <c r="G1558" t="str">
        <f>"PART4315765"</f>
        <v>PART4315765</v>
      </c>
      <c r="H1558" t="str">
        <f>"CUST#1006635/OEM"</f>
        <v>CUST#1006635/OEM</v>
      </c>
      <c r="I1558" s="2">
        <v>223.45</v>
      </c>
      <c r="J1558" t="str">
        <f>"CUST#1006635/OEM"</f>
        <v>CUST#1006635/OEM</v>
      </c>
    </row>
    <row r="1559" spans="1:10" x14ac:dyDescent="0.3">
      <c r="A1559" t="str">
        <f>""</f>
        <v/>
      </c>
      <c r="B1559" t="str">
        <f>""</f>
        <v/>
      </c>
      <c r="G1559" t="str">
        <f>"PART4361182"</f>
        <v>PART4361182</v>
      </c>
      <c r="H1559" t="str">
        <f>"CUST#1006635/OEM"</f>
        <v>CUST#1006635/OEM</v>
      </c>
      <c r="I1559" s="2">
        <v>193.79</v>
      </c>
      <c r="J1559" t="str">
        <f>"CUST#1006635/OEM"</f>
        <v>CUST#1006635/OEM</v>
      </c>
    </row>
    <row r="1560" spans="1:10" x14ac:dyDescent="0.3">
      <c r="A1560" t="str">
        <f>""</f>
        <v/>
      </c>
      <c r="B1560" t="str">
        <f>""</f>
        <v/>
      </c>
      <c r="G1560" t="str">
        <f>"PART4424681"</f>
        <v>PART4424681</v>
      </c>
      <c r="H1560" t="str">
        <f>"CUST#1006635/OEM"</f>
        <v>CUST#1006635/OEM</v>
      </c>
      <c r="I1560" s="2">
        <v>43.23</v>
      </c>
      <c r="J1560" t="str">
        <f>"CUST#1006635/OEM"</f>
        <v>CUST#1006635/OEM</v>
      </c>
    </row>
    <row r="1561" spans="1:10" x14ac:dyDescent="0.3">
      <c r="A1561" t="str">
        <f>""</f>
        <v/>
      </c>
      <c r="B1561" t="str">
        <f>""</f>
        <v/>
      </c>
      <c r="G1561" t="str">
        <f>"WORK0902509"</f>
        <v>WORK0902509</v>
      </c>
      <c r="H1561" t="str">
        <f>"CUST#1006635/OEM"</f>
        <v>CUST#1006635/OEM</v>
      </c>
      <c r="I1561" s="2">
        <v>492.86</v>
      </c>
      <c r="J1561" t="str">
        <f>"CUST#1006635/OEM"</f>
        <v>CUST#1006635/OEM</v>
      </c>
    </row>
    <row r="1562" spans="1:10" x14ac:dyDescent="0.3">
      <c r="A1562" t="str">
        <f>"01"</f>
        <v>01</v>
      </c>
      <c r="B1562" t="str">
        <f>"004879"</f>
        <v>004879</v>
      </c>
      <c r="C1562" t="s">
        <v>457</v>
      </c>
      <c r="D1562">
        <v>72148</v>
      </c>
      <c r="E1562" s="2">
        <v>18861.7</v>
      </c>
      <c r="F1562" s="1">
        <v>42961</v>
      </c>
      <c r="G1562" t="str">
        <f>"200598392"</f>
        <v>200598392</v>
      </c>
      <c r="H1562" t="str">
        <f>"CUST#255120/COLD MIX/PCT#2"</f>
        <v>CUST#255120/COLD MIX/PCT#2</v>
      </c>
      <c r="I1562" s="2">
        <v>7336.45</v>
      </c>
      <c r="J1562" t="str">
        <f>"CUST#255120/COLD MIX/PCT#2"</f>
        <v>CUST#255120/COLD MIX/PCT#2</v>
      </c>
    </row>
    <row r="1563" spans="1:10" x14ac:dyDescent="0.3">
      <c r="A1563" t="str">
        <f>""</f>
        <v/>
      </c>
      <c r="B1563" t="str">
        <f>""</f>
        <v/>
      </c>
      <c r="G1563" t="str">
        <f>"200598550"</f>
        <v>200598550</v>
      </c>
      <c r="H1563" t="str">
        <f>"CUST#255120/PCT#2"</f>
        <v>CUST#255120/PCT#2</v>
      </c>
      <c r="I1563" s="2">
        <v>5831.65</v>
      </c>
      <c r="J1563" t="str">
        <f>"CUST#255120/PCT#2"</f>
        <v>CUST#255120/PCT#2</v>
      </c>
    </row>
    <row r="1564" spans="1:10" x14ac:dyDescent="0.3">
      <c r="A1564" t="str">
        <f>""</f>
        <v/>
      </c>
      <c r="B1564" t="str">
        <f>""</f>
        <v/>
      </c>
      <c r="G1564" t="str">
        <f>"200600247"</f>
        <v>200600247</v>
      </c>
      <c r="H1564" t="str">
        <f>"CUST#255120/PCT#2"</f>
        <v>CUST#255120/PCT#2</v>
      </c>
      <c r="I1564" s="2">
        <v>5693.6</v>
      </c>
      <c r="J1564" t="str">
        <f>"CUST#255120/PCT#2"</f>
        <v>CUST#255120/PCT#2</v>
      </c>
    </row>
    <row r="1565" spans="1:10" x14ac:dyDescent="0.3">
      <c r="A1565" t="str">
        <f>"01"</f>
        <v>01</v>
      </c>
      <c r="B1565" t="str">
        <f>"004879"</f>
        <v>004879</v>
      </c>
      <c r="C1565" t="s">
        <v>457</v>
      </c>
      <c r="D1565">
        <v>72388</v>
      </c>
      <c r="E1565" s="2">
        <v>31488.05</v>
      </c>
      <c r="F1565" s="1">
        <v>42976</v>
      </c>
      <c r="G1565" t="str">
        <f>"200600338"</f>
        <v>200600338</v>
      </c>
      <c r="H1565" t="str">
        <f>"CUST#255120/COLD MIX/PCT#2"</f>
        <v>CUST#255120/COLD MIX/PCT#2</v>
      </c>
      <c r="I1565" s="2">
        <v>15797.1</v>
      </c>
      <c r="J1565" t="str">
        <f>"CUST#255120/COLD MIX/PCT#2"</f>
        <v>CUST#255120/COLD MIX/PCT#2</v>
      </c>
    </row>
    <row r="1566" spans="1:10" x14ac:dyDescent="0.3">
      <c r="A1566" t="str">
        <f>""</f>
        <v/>
      </c>
      <c r="B1566" t="str">
        <f>""</f>
        <v/>
      </c>
      <c r="G1566" t="str">
        <f>"200602084"</f>
        <v>200602084</v>
      </c>
      <c r="H1566" t="str">
        <f>"CUST#255120/COLD MIX/PCT#2"</f>
        <v>CUST#255120/COLD MIX/PCT#2</v>
      </c>
      <c r="I1566" s="2">
        <v>6884.35</v>
      </c>
      <c r="J1566" t="str">
        <f>"CUST#255120/COLD MIX/PCT#2"</f>
        <v>CUST#255120/COLD MIX/PCT#2</v>
      </c>
    </row>
    <row r="1567" spans="1:10" x14ac:dyDescent="0.3">
      <c r="A1567" t="str">
        <f>""</f>
        <v/>
      </c>
      <c r="B1567" t="str">
        <f>""</f>
        <v/>
      </c>
      <c r="G1567" t="str">
        <f>"200602390"</f>
        <v>200602390</v>
      </c>
      <c r="H1567" t="str">
        <f>"CUST#255120/COLD MIX/PCT#2"</f>
        <v>CUST#255120/COLD MIX/PCT#2</v>
      </c>
      <c r="I1567" s="2">
        <v>8806.6</v>
      </c>
      <c r="J1567" t="str">
        <f>"CUST#255120/COLD MIX/PCT#2"</f>
        <v>CUST#255120/COLD MIX/PCT#2</v>
      </c>
    </row>
    <row r="1568" spans="1:10" x14ac:dyDescent="0.3">
      <c r="A1568" t="str">
        <f>"01"</f>
        <v>01</v>
      </c>
      <c r="B1568" t="str">
        <f>"000877"</f>
        <v>000877</v>
      </c>
      <c r="C1568" t="s">
        <v>295</v>
      </c>
      <c r="D1568">
        <v>72149</v>
      </c>
      <c r="E1568" s="2">
        <v>165</v>
      </c>
      <c r="F1568" s="1">
        <v>42961</v>
      </c>
      <c r="G1568" t="str">
        <f>"283368-5"</f>
        <v>283368-5</v>
      </c>
      <c r="H1568" t="str">
        <f>"CUST#BASCOU/DRUG TESTING/OEM"</f>
        <v>CUST#BASCOU/DRUG TESTING/OEM</v>
      </c>
      <c r="I1568" s="2">
        <v>165</v>
      </c>
      <c r="J1568" t="str">
        <f>"CUST#BASCOU/DRUG TESTING/OEM"</f>
        <v>CUST#BASCOU/DRUG TESTING/OEM</v>
      </c>
    </row>
    <row r="1569" spans="1:10" x14ac:dyDescent="0.3">
      <c r="A1569" t="str">
        <f>"01"</f>
        <v>01</v>
      </c>
      <c r="B1569" t="str">
        <f>"004766"</f>
        <v>004766</v>
      </c>
      <c r="C1569" t="s">
        <v>458</v>
      </c>
      <c r="D1569">
        <v>72150</v>
      </c>
      <c r="E1569" s="2">
        <v>9445</v>
      </c>
      <c r="F1569" s="1">
        <v>42961</v>
      </c>
      <c r="G1569" t="str">
        <f>"201708084148"</f>
        <v>201708084148</v>
      </c>
      <c r="H1569" t="str">
        <f>"PAVING S. OLD POTATO RD/PCT#2"</f>
        <v>PAVING S. OLD POTATO RD/PCT#2</v>
      </c>
      <c r="I1569" s="2">
        <v>9445</v>
      </c>
      <c r="J1569" t="str">
        <f>"PAVING S. OLD POTATO RD/PCT#2"</f>
        <v>PAVING S. OLD POTATO RD/PCT#2</v>
      </c>
    </row>
    <row r="1570" spans="1:10" x14ac:dyDescent="0.3">
      <c r="A1570" t="str">
        <f>"01"</f>
        <v>01</v>
      </c>
      <c r="B1570" t="str">
        <f>"004766"</f>
        <v>004766</v>
      </c>
      <c r="C1570" t="s">
        <v>458</v>
      </c>
      <c r="D1570">
        <v>72389</v>
      </c>
      <c r="E1570" s="2">
        <v>16686</v>
      </c>
      <c r="F1570" s="1">
        <v>42976</v>
      </c>
      <c r="G1570" t="str">
        <f>"201708224359"</f>
        <v>201708224359</v>
      </c>
      <c r="H1570" t="str">
        <f>"REPAIR ROAD ON ANTIOCH"</f>
        <v>REPAIR ROAD ON ANTIOCH</v>
      </c>
      <c r="I1570" s="2">
        <v>16686</v>
      </c>
      <c r="J1570" t="str">
        <f>"REPAIR ROAD ON ANTIOCH"</f>
        <v>REPAIR ROAD ON ANTIOCH</v>
      </c>
    </row>
    <row r="1571" spans="1:10" x14ac:dyDescent="0.3">
      <c r="A1571" t="str">
        <f>"01"</f>
        <v>01</v>
      </c>
      <c r="B1571" t="str">
        <f>"000374"</f>
        <v>000374</v>
      </c>
      <c r="C1571" t="s">
        <v>328</v>
      </c>
      <c r="D1571">
        <v>72151</v>
      </c>
      <c r="E1571" s="2">
        <v>29.99</v>
      </c>
      <c r="F1571" s="1">
        <v>42961</v>
      </c>
      <c r="G1571" t="str">
        <f>"I019137"</f>
        <v>I019137</v>
      </c>
      <c r="H1571" t="str">
        <f>"NATURAL MULTIFOLD TOWELS"</f>
        <v>NATURAL MULTIFOLD TOWELS</v>
      </c>
      <c r="I1571" s="2">
        <v>29.99</v>
      </c>
      <c r="J1571" t="str">
        <f>"NATURAL MULTIFOLD TOWELS"</f>
        <v>NATURAL MULTIFOLD TOWELS</v>
      </c>
    </row>
    <row r="1572" spans="1:10" x14ac:dyDescent="0.3">
      <c r="A1572" t="str">
        <f>"01"</f>
        <v>01</v>
      </c>
      <c r="B1572" t="str">
        <f>"T10195"</f>
        <v>T10195</v>
      </c>
      <c r="C1572" t="s">
        <v>356</v>
      </c>
      <c r="D1572">
        <v>72152</v>
      </c>
      <c r="E1572" s="2">
        <v>527786.56999999995</v>
      </c>
      <c r="F1572" s="1">
        <v>42961</v>
      </c>
      <c r="G1572" t="str">
        <f>"GB00239088"</f>
        <v>GB00239088</v>
      </c>
      <c r="H1572" t="str">
        <f>"Quote# 13529739"</f>
        <v>Quote# 13529739</v>
      </c>
      <c r="I1572" s="2">
        <v>200764.82</v>
      </c>
      <c r="J1572" t="str">
        <f>"Part# C1K-QP-210T-F"</f>
        <v>Part# C1K-QP-210T-F</v>
      </c>
    </row>
    <row r="1573" spans="1:10" x14ac:dyDescent="0.3">
      <c r="A1573" t="str">
        <f>""</f>
        <v/>
      </c>
      <c r="B1573" t="str">
        <f>""</f>
        <v/>
      </c>
      <c r="G1573" t="str">
        <f>""</f>
        <v/>
      </c>
      <c r="H1573" t="str">
        <f>""</f>
        <v/>
      </c>
      <c r="J1573" t="str">
        <f>"Part# SLA-4HR"</f>
        <v>Part# SLA-4HR</v>
      </c>
    </row>
    <row r="1574" spans="1:10" x14ac:dyDescent="0.3">
      <c r="A1574" t="str">
        <f>""</f>
        <v/>
      </c>
      <c r="B1574" t="str">
        <f>""</f>
        <v/>
      </c>
      <c r="G1574" t="str">
        <f>"GB00241972"</f>
        <v>GB00241972</v>
      </c>
      <c r="H1574" t="str">
        <f>"Quote# 13490719"</f>
        <v>Quote# 13490719</v>
      </c>
      <c r="I1574" s="2">
        <v>18284.3</v>
      </c>
      <c r="J1574" t="str">
        <f>"MS350-48LP-HW"</f>
        <v>MS350-48LP-HW</v>
      </c>
    </row>
    <row r="1575" spans="1:10" x14ac:dyDescent="0.3">
      <c r="A1575" t="str">
        <f>""</f>
        <v/>
      </c>
      <c r="B1575" t="str">
        <f>""</f>
        <v/>
      </c>
      <c r="G1575" t="str">
        <f>""</f>
        <v/>
      </c>
      <c r="H1575" t="str">
        <f>""</f>
        <v/>
      </c>
      <c r="J1575" t="str">
        <f>"Z1-HW-US"</f>
        <v>Z1-HW-US</v>
      </c>
    </row>
    <row r="1576" spans="1:10" x14ac:dyDescent="0.3">
      <c r="A1576" t="str">
        <f>""</f>
        <v/>
      </c>
      <c r="B1576" t="str">
        <f>""</f>
        <v/>
      </c>
      <c r="G1576" t="str">
        <f>""</f>
        <v/>
      </c>
      <c r="H1576" t="str">
        <f>""</f>
        <v/>
      </c>
      <c r="J1576" t="str">
        <f>"MA-ANT-20"</f>
        <v>MA-ANT-20</v>
      </c>
    </row>
    <row r="1577" spans="1:10" x14ac:dyDescent="0.3">
      <c r="A1577" t="str">
        <f>""</f>
        <v/>
      </c>
      <c r="B1577" t="str">
        <f>""</f>
        <v/>
      </c>
      <c r="G1577" t="str">
        <f>""</f>
        <v/>
      </c>
      <c r="H1577" t="str">
        <f>""</f>
        <v/>
      </c>
      <c r="J1577" t="str">
        <f>"MA-ANT-21"</f>
        <v>MA-ANT-21</v>
      </c>
    </row>
    <row r="1578" spans="1:10" x14ac:dyDescent="0.3">
      <c r="A1578" t="str">
        <f>""</f>
        <v/>
      </c>
      <c r="B1578" t="str">
        <f>""</f>
        <v/>
      </c>
      <c r="G1578" t="str">
        <f>""</f>
        <v/>
      </c>
      <c r="H1578" t="str">
        <f>""</f>
        <v/>
      </c>
      <c r="J1578" t="str">
        <f>"MS225-48LP-HW"</f>
        <v>MS225-48LP-HW</v>
      </c>
    </row>
    <row r="1579" spans="1:10" x14ac:dyDescent="0.3">
      <c r="A1579" t="str">
        <f>""</f>
        <v/>
      </c>
      <c r="B1579" t="str">
        <f>""</f>
        <v/>
      </c>
      <c r="G1579" t="str">
        <f>""</f>
        <v/>
      </c>
      <c r="H1579" t="str">
        <f>""</f>
        <v/>
      </c>
      <c r="J1579" t="str">
        <f>"MS220-8P-HW"</f>
        <v>MS220-8P-HW</v>
      </c>
    </row>
    <row r="1580" spans="1:10" x14ac:dyDescent="0.3">
      <c r="A1580" t="str">
        <f>""</f>
        <v/>
      </c>
      <c r="B1580" t="str">
        <f>""</f>
        <v/>
      </c>
      <c r="G1580" t="str">
        <f>"GB00246045"</f>
        <v>GB00246045</v>
      </c>
      <c r="H1580" t="str">
        <f>"Quote# 13520102"</f>
        <v>Quote# 13520102</v>
      </c>
      <c r="I1580" s="2">
        <v>285964.73</v>
      </c>
      <c r="J1580" t="str">
        <f>"MX400-HW"</f>
        <v>MX400-HW</v>
      </c>
    </row>
    <row r="1581" spans="1:10" x14ac:dyDescent="0.3">
      <c r="A1581" t="str">
        <f>""</f>
        <v/>
      </c>
      <c r="B1581" t="str">
        <f>""</f>
        <v/>
      </c>
      <c r="G1581" t="str">
        <f>""</f>
        <v/>
      </c>
      <c r="H1581" t="str">
        <f>""</f>
        <v/>
      </c>
      <c r="J1581" t="str">
        <f>"LIC-MX400-SEC-5YR"</f>
        <v>LIC-MX400-SEC-5YR</v>
      </c>
    </row>
    <row r="1582" spans="1:10" x14ac:dyDescent="0.3">
      <c r="A1582" t="str">
        <f>""</f>
        <v/>
      </c>
      <c r="B1582" t="str">
        <f>""</f>
        <v/>
      </c>
      <c r="G1582" t="str">
        <f>""</f>
        <v/>
      </c>
      <c r="H1582" t="str">
        <f>""</f>
        <v/>
      </c>
      <c r="J1582" t="str">
        <f>"IM-8-CU-1GB"</f>
        <v>IM-8-CU-1GB</v>
      </c>
    </row>
    <row r="1583" spans="1:10" x14ac:dyDescent="0.3">
      <c r="A1583" t="str">
        <f>""</f>
        <v/>
      </c>
      <c r="B1583" t="str">
        <f>""</f>
        <v/>
      </c>
      <c r="G1583" t="str">
        <f>""</f>
        <v/>
      </c>
      <c r="H1583" t="str">
        <f>""</f>
        <v/>
      </c>
      <c r="J1583" t="str">
        <f>"IM-2-SFP-10GB"</f>
        <v>IM-2-SFP-10GB</v>
      </c>
    </row>
    <row r="1584" spans="1:10" x14ac:dyDescent="0.3">
      <c r="A1584" t="str">
        <f>""</f>
        <v/>
      </c>
      <c r="B1584" t="str">
        <f>""</f>
        <v/>
      </c>
      <c r="G1584" t="str">
        <f>""</f>
        <v/>
      </c>
      <c r="H1584" t="str">
        <f>""</f>
        <v/>
      </c>
      <c r="J1584" t="str">
        <f>"MX84-HW"</f>
        <v>MX84-HW</v>
      </c>
    </row>
    <row r="1585" spans="1:10" x14ac:dyDescent="0.3">
      <c r="A1585" t="str">
        <f>""</f>
        <v/>
      </c>
      <c r="B1585" t="str">
        <f>""</f>
        <v/>
      </c>
      <c r="G1585" t="str">
        <f>""</f>
        <v/>
      </c>
      <c r="H1585" t="str">
        <f>""</f>
        <v/>
      </c>
      <c r="J1585" t="str">
        <f>"LIC-MX84-SEC-5YR"</f>
        <v>LIC-MX84-SEC-5YR</v>
      </c>
    </row>
    <row r="1586" spans="1:10" x14ac:dyDescent="0.3">
      <c r="A1586" t="str">
        <f>""</f>
        <v/>
      </c>
      <c r="B1586" t="str">
        <f>""</f>
        <v/>
      </c>
      <c r="G1586" t="str">
        <f>""</f>
        <v/>
      </c>
      <c r="H1586" t="str">
        <f>""</f>
        <v/>
      </c>
      <c r="J1586" t="str">
        <f>"MX64-HW"</f>
        <v>MX64-HW</v>
      </c>
    </row>
    <row r="1587" spans="1:10" x14ac:dyDescent="0.3">
      <c r="A1587" t="str">
        <f>""</f>
        <v/>
      </c>
      <c r="B1587" t="str">
        <f>""</f>
        <v/>
      </c>
      <c r="G1587" t="str">
        <f>""</f>
        <v/>
      </c>
      <c r="H1587" t="str">
        <f>""</f>
        <v/>
      </c>
      <c r="J1587" t="str">
        <f>"LIC-MX64-SEC-5YR"</f>
        <v>LIC-MX64-SEC-5YR</v>
      </c>
    </row>
    <row r="1588" spans="1:10" x14ac:dyDescent="0.3">
      <c r="A1588" t="str">
        <f>""</f>
        <v/>
      </c>
      <c r="B1588" t="str">
        <f>""</f>
        <v/>
      </c>
      <c r="G1588" t="str">
        <f>""</f>
        <v/>
      </c>
      <c r="H1588" t="str">
        <f>""</f>
        <v/>
      </c>
      <c r="J1588" t="str">
        <f>"MS425-16-HW"</f>
        <v>MS425-16-HW</v>
      </c>
    </row>
    <row r="1589" spans="1:10" x14ac:dyDescent="0.3">
      <c r="A1589" t="str">
        <f>""</f>
        <v/>
      </c>
      <c r="B1589" t="str">
        <f>""</f>
        <v/>
      </c>
      <c r="G1589" t="str">
        <f>""</f>
        <v/>
      </c>
      <c r="H1589" t="str">
        <f>""</f>
        <v/>
      </c>
      <c r="J1589" t="str">
        <f>"LIC-MS425-16-5YR"</f>
        <v>LIC-MS425-16-5YR</v>
      </c>
    </row>
    <row r="1590" spans="1:10" x14ac:dyDescent="0.3">
      <c r="A1590" t="str">
        <f>""</f>
        <v/>
      </c>
      <c r="B1590" t="str">
        <f>""</f>
        <v/>
      </c>
      <c r="G1590" t="str">
        <f>""</f>
        <v/>
      </c>
      <c r="H1590" t="str">
        <f>""</f>
        <v/>
      </c>
      <c r="J1590" t="str">
        <f>"MS225-48LP-HW"</f>
        <v>MS225-48LP-HW</v>
      </c>
    </row>
    <row r="1591" spans="1:10" x14ac:dyDescent="0.3">
      <c r="A1591" t="str">
        <f>""</f>
        <v/>
      </c>
      <c r="B1591" t="str">
        <f>""</f>
        <v/>
      </c>
      <c r="G1591" t="str">
        <f>""</f>
        <v/>
      </c>
      <c r="H1591" t="str">
        <f>""</f>
        <v/>
      </c>
      <c r="J1591" t="str">
        <f>"LIC-MS250-48LP-5YR"</f>
        <v>LIC-MS250-48LP-5YR</v>
      </c>
    </row>
    <row r="1592" spans="1:10" x14ac:dyDescent="0.3">
      <c r="A1592" t="str">
        <f>""</f>
        <v/>
      </c>
      <c r="B1592" t="str">
        <f>""</f>
        <v/>
      </c>
      <c r="G1592" t="str">
        <f>""</f>
        <v/>
      </c>
      <c r="H1592" t="str">
        <f>""</f>
        <v/>
      </c>
      <c r="J1592" t="str">
        <f>"MS225-48LP-HW"</f>
        <v>MS225-48LP-HW</v>
      </c>
    </row>
    <row r="1593" spans="1:10" x14ac:dyDescent="0.3">
      <c r="A1593" t="str">
        <f>""</f>
        <v/>
      </c>
      <c r="B1593" t="str">
        <f>""</f>
        <v/>
      </c>
      <c r="G1593" t="str">
        <f>""</f>
        <v/>
      </c>
      <c r="H1593" t="str">
        <f>""</f>
        <v/>
      </c>
      <c r="J1593" t="str">
        <f>"LIC-MS225-48LP-5YR"</f>
        <v>LIC-MS225-48LP-5YR</v>
      </c>
    </row>
    <row r="1594" spans="1:10" x14ac:dyDescent="0.3">
      <c r="A1594" t="str">
        <f>""</f>
        <v/>
      </c>
      <c r="B1594" t="str">
        <f>""</f>
        <v/>
      </c>
      <c r="G1594" t="str">
        <f>""</f>
        <v/>
      </c>
      <c r="H1594" t="str">
        <f>""</f>
        <v/>
      </c>
      <c r="J1594" t="str">
        <f>"MS225-24P-HW"</f>
        <v>MS225-24P-HW</v>
      </c>
    </row>
    <row r="1595" spans="1:10" x14ac:dyDescent="0.3">
      <c r="A1595" t="str">
        <f>""</f>
        <v/>
      </c>
      <c r="B1595" t="str">
        <f>""</f>
        <v/>
      </c>
      <c r="G1595" t="str">
        <f>""</f>
        <v/>
      </c>
      <c r="H1595" t="str">
        <f>""</f>
        <v/>
      </c>
      <c r="J1595" t="str">
        <f>"LIC-MS225-24P-5YR"</f>
        <v>LIC-MS225-24P-5YR</v>
      </c>
    </row>
    <row r="1596" spans="1:10" x14ac:dyDescent="0.3">
      <c r="A1596" t="str">
        <f>""</f>
        <v/>
      </c>
      <c r="B1596" t="str">
        <f>""</f>
        <v/>
      </c>
      <c r="G1596" t="str">
        <f>""</f>
        <v/>
      </c>
      <c r="H1596" t="str">
        <f>""</f>
        <v/>
      </c>
      <c r="J1596" t="str">
        <f>"MR33-HW"</f>
        <v>MR33-HW</v>
      </c>
    </row>
    <row r="1597" spans="1:10" x14ac:dyDescent="0.3">
      <c r="A1597" t="str">
        <f>""</f>
        <v/>
      </c>
      <c r="B1597" t="str">
        <f>""</f>
        <v/>
      </c>
      <c r="G1597" t="str">
        <f>""</f>
        <v/>
      </c>
      <c r="H1597" t="str">
        <f>""</f>
        <v/>
      </c>
      <c r="J1597" t="str">
        <f>"MR74-HW"</f>
        <v>MR74-HW</v>
      </c>
    </row>
    <row r="1598" spans="1:10" x14ac:dyDescent="0.3">
      <c r="A1598" t="str">
        <f>""</f>
        <v/>
      </c>
      <c r="B1598" t="str">
        <f>""</f>
        <v/>
      </c>
      <c r="G1598" t="str">
        <f>""</f>
        <v/>
      </c>
      <c r="H1598" t="str">
        <f>""</f>
        <v/>
      </c>
      <c r="J1598" t="str">
        <f>"LIC-ENT-5YR"</f>
        <v>LIC-ENT-5YR</v>
      </c>
    </row>
    <row r="1599" spans="1:10" x14ac:dyDescent="0.3">
      <c r="A1599" t="str">
        <f>""</f>
        <v/>
      </c>
      <c r="B1599" t="str">
        <f>""</f>
        <v/>
      </c>
      <c r="G1599" t="str">
        <f>""</f>
        <v/>
      </c>
      <c r="H1599" t="str">
        <f>""</f>
        <v/>
      </c>
      <c r="J1599" t="str">
        <f>"MA-ANT-20"</f>
        <v>MA-ANT-20</v>
      </c>
    </row>
    <row r="1600" spans="1:10" x14ac:dyDescent="0.3">
      <c r="A1600" t="str">
        <f>""</f>
        <v/>
      </c>
      <c r="B1600" t="str">
        <f>""</f>
        <v/>
      </c>
      <c r="G1600" t="str">
        <f>""</f>
        <v/>
      </c>
      <c r="H1600" t="str">
        <f>""</f>
        <v/>
      </c>
      <c r="J1600" t="str">
        <f>"MA-ANT-21"</f>
        <v>MA-ANT-21</v>
      </c>
    </row>
    <row r="1601" spans="1:10" x14ac:dyDescent="0.3">
      <c r="A1601" t="str">
        <f>""</f>
        <v/>
      </c>
      <c r="B1601" t="str">
        <f>""</f>
        <v/>
      </c>
      <c r="G1601" t="str">
        <f>""</f>
        <v/>
      </c>
      <c r="H1601" t="str">
        <f>""</f>
        <v/>
      </c>
      <c r="J1601" t="str">
        <f>"MA-CBL-TA-1M"</f>
        <v>MA-CBL-TA-1M</v>
      </c>
    </row>
    <row r="1602" spans="1:10" x14ac:dyDescent="0.3">
      <c r="A1602" t="str">
        <f>""</f>
        <v/>
      </c>
      <c r="B1602" t="str">
        <f>""</f>
        <v/>
      </c>
      <c r="G1602" t="str">
        <f>""</f>
        <v/>
      </c>
      <c r="H1602" t="str">
        <f>""</f>
        <v/>
      </c>
      <c r="J1602" t="str">
        <f>"MA-PWR-250WAC"</f>
        <v>MA-PWR-250WAC</v>
      </c>
    </row>
    <row r="1603" spans="1:10" x14ac:dyDescent="0.3">
      <c r="A1603" t="str">
        <f>""</f>
        <v/>
      </c>
      <c r="B1603" t="str">
        <f>""</f>
        <v/>
      </c>
      <c r="G1603" t="str">
        <f>""</f>
        <v/>
      </c>
      <c r="H1603" t="str">
        <f>""</f>
        <v/>
      </c>
      <c r="J1603" t="str">
        <f>"LIC-MS220-8P-5YR"</f>
        <v>LIC-MS220-8P-5YR</v>
      </c>
    </row>
    <row r="1604" spans="1:10" x14ac:dyDescent="0.3">
      <c r="A1604" t="str">
        <f>""</f>
        <v/>
      </c>
      <c r="B1604" t="str">
        <f>""</f>
        <v/>
      </c>
      <c r="G1604" t="str">
        <f>""</f>
        <v/>
      </c>
      <c r="H1604" t="str">
        <f>""</f>
        <v/>
      </c>
      <c r="J1604" t="str">
        <f>"LIC-MS350-48LP-5YR"</f>
        <v>LIC-MS350-48LP-5YR</v>
      </c>
    </row>
    <row r="1605" spans="1:10" x14ac:dyDescent="0.3">
      <c r="A1605" t="str">
        <f>""</f>
        <v/>
      </c>
      <c r="B1605" t="str">
        <f>""</f>
        <v/>
      </c>
      <c r="G1605" t="str">
        <f>""</f>
        <v/>
      </c>
      <c r="H1605" t="str">
        <f>""</f>
        <v/>
      </c>
      <c r="J1605" t="str">
        <f>"LIC-Z1-ENT-5YR"</f>
        <v>LIC-Z1-ENT-5YR</v>
      </c>
    </row>
    <row r="1606" spans="1:10" x14ac:dyDescent="0.3">
      <c r="A1606" t="str">
        <f>""</f>
        <v/>
      </c>
      <c r="B1606" t="str">
        <f>""</f>
        <v/>
      </c>
      <c r="G1606" t="str">
        <f>"GB00246100"</f>
        <v>GB00246100</v>
      </c>
      <c r="H1606" t="str">
        <f>"Quote# 13789225"</f>
        <v>Quote# 13789225</v>
      </c>
      <c r="I1606" s="2">
        <v>22772.720000000001</v>
      </c>
      <c r="J1606" t="str">
        <f>"Part#MA-SFP-10GB-SR"</f>
        <v>Part#MA-SFP-10GB-SR</v>
      </c>
    </row>
    <row r="1607" spans="1:10" x14ac:dyDescent="0.3">
      <c r="A1607" t="str">
        <f>""</f>
        <v/>
      </c>
      <c r="B1607" t="str">
        <f>""</f>
        <v/>
      </c>
      <c r="G1607" t="str">
        <f>""</f>
        <v/>
      </c>
      <c r="H1607" t="str">
        <f>""</f>
        <v/>
      </c>
      <c r="J1607" t="str">
        <f>"Part#MA-CBL-TA-1M"</f>
        <v>Part#MA-CBL-TA-1M</v>
      </c>
    </row>
    <row r="1608" spans="1:10" x14ac:dyDescent="0.3">
      <c r="A1608" t="str">
        <f>""</f>
        <v/>
      </c>
      <c r="B1608" t="str">
        <f>""</f>
        <v/>
      </c>
      <c r="G1608" t="str">
        <f>""</f>
        <v/>
      </c>
      <c r="H1608" t="str">
        <f>""</f>
        <v/>
      </c>
      <c r="J1608" t="str">
        <f>"Part#MA-CBL-TA-3M"</f>
        <v>Part#MA-CBL-TA-3M</v>
      </c>
    </row>
    <row r="1609" spans="1:10" x14ac:dyDescent="0.3">
      <c r="A1609" t="str">
        <f>""</f>
        <v/>
      </c>
      <c r="B1609" t="str">
        <f>""</f>
        <v/>
      </c>
      <c r="G1609" t="str">
        <f>""</f>
        <v/>
      </c>
      <c r="H1609" t="str">
        <f>""</f>
        <v/>
      </c>
      <c r="J1609" t="str">
        <f>"Part#MA-CBL-40G-50CM"</f>
        <v>Part#MA-CBL-40G-50CM</v>
      </c>
    </row>
    <row r="1610" spans="1:10" x14ac:dyDescent="0.3">
      <c r="A1610" t="str">
        <f>"01"</f>
        <v>01</v>
      </c>
      <c r="B1610" t="str">
        <f>"T10195"</f>
        <v>T10195</v>
      </c>
      <c r="C1610" t="s">
        <v>356</v>
      </c>
      <c r="D1610">
        <v>72390</v>
      </c>
      <c r="E1610" s="2">
        <v>418.24</v>
      </c>
      <c r="F1610" s="1">
        <v>42976</v>
      </c>
      <c r="G1610" t="str">
        <f>"GB00239292"</f>
        <v>GB00239292</v>
      </c>
      <c r="H1610" t="str">
        <f>"CUST#3000414"</f>
        <v>CUST#3000414</v>
      </c>
      <c r="I1610" s="2">
        <v>418.24</v>
      </c>
      <c r="J1610" t="str">
        <f>"CUST#3000414"</f>
        <v>CUST#3000414</v>
      </c>
    </row>
    <row r="1611" spans="1:10" x14ac:dyDescent="0.3">
      <c r="A1611" t="str">
        <f>"01"</f>
        <v>01</v>
      </c>
      <c r="B1611" t="str">
        <f>"004539"</f>
        <v>004539</v>
      </c>
      <c r="C1611" t="s">
        <v>459</v>
      </c>
      <c r="D1611">
        <v>72153</v>
      </c>
      <c r="E1611" s="2">
        <v>463156.45</v>
      </c>
      <c r="F1611" s="1">
        <v>42961</v>
      </c>
      <c r="G1611" t="str">
        <f>"16030510"</f>
        <v>16030510</v>
      </c>
      <c r="H1611" t="str">
        <f>"PROJECT#160305 FIRE STATION #4"</f>
        <v>PROJECT#160305 FIRE STATION #4</v>
      </c>
      <c r="I1611" s="2">
        <v>463156.45</v>
      </c>
      <c r="J1611" t="str">
        <f>"PROJECT#160305 FIRE STATION #4"</f>
        <v>PROJECT#160305 FIRE STATION #4</v>
      </c>
    </row>
    <row r="1612" spans="1:10" x14ac:dyDescent="0.3">
      <c r="A1612" t="str">
        <f>"01"</f>
        <v>01</v>
      </c>
      <c r="B1612" t="str">
        <f>"T6855"</f>
        <v>T6855</v>
      </c>
      <c r="C1612" t="s">
        <v>385</v>
      </c>
      <c r="D1612">
        <v>72154</v>
      </c>
      <c r="E1612" s="2">
        <v>190.74</v>
      </c>
      <c r="F1612" s="1">
        <v>42961</v>
      </c>
      <c r="G1612" t="str">
        <f>"0665236-IN"</f>
        <v>0665236-IN</v>
      </c>
      <c r="H1612" t="str">
        <f>"ACCT#01-0112917/EMER MGMT"</f>
        <v>ACCT#01-0112917/EMER MGMT</v>
      </c>
      <c r="I1612" s="2">
        <v>190.74</v>
      </c>
      <c r="J1612" t="str">
        <f>"ACCT#01-0112917/EMER MGMT"</f>
        <v>ACCT#01-0112917/EMER MGMT</v>
      </c>
    </row>
    <row r="1613" spans="1:10" x14ac:dyDescent="0.3">
      <c r="A1613" t="str">
        <f>"01"</f>
        <v>01</v>
      </c>
      <c r="B1613" t="str">
        <f>"004134"</f>
        <v>004134</v>
      </c>
      <c r="C1613" t="s">
        <v>388</v>
      </c>
      <c r="D1613">
        <v>71893</v>
      </c>
      <c r="E1613" s="2">
        <v>2009620.05</v>
      </c>
      <c r="F1613" s="1">
        <v>42950</v>
      </c>
      <c r="G1613" t="str">
        <f>"1712513-BAS"</f>
        <v>1712513-BAS</v>
      </c>
      <c r="H1613" t="str">
        <f>"1501 BUSINESS PARK DR"</f>
        <v>1501 BUSINESS PARK DR</v>
      </c>
      <c r="I1613" s="2">
        <v>2009620.05</v>
      </c>
      <c r="J1613" t="str">
        <f>"1501 BUSINESS PARK DR"</f>
        <v>1501 BUSINESS PARK DR</v>
      </c>
    </row>
    <row r="1614" spans="1:10" x14ac:dyDescent="0.3">
      <c r="A1614" t="str">
        <f>"01"</f>
        <v>01</v>
      </c>
      <c r="B1614" t="str">
        <f>"TCSC"</f>
        <v>TCSC</v>
      </c>
      <c r="C1614" t="s">
        <v>391</v>
      </c>
      <c r="D1614">
        <v>0</v>
      </c>
      <c r="E1614" s="2">
        <v>0</v>
      </c>
      <c r="F1614" s="1">
        <v>42976</v>
      </c>
      <c r="G1614" t="str">
        <f>"201708314472"</f>
        <v>201708314472</v>
      </c>
      <c r="H1614" t="str">
        <f>"TCSC  APTF-&gt;APCA CORRECTION"</f>
        <v>TCSC  APTF-&gt;APCA CORRECTION</v>
      </c>
      <c r="I1614" s="2">
        <v>-5595.98</v>
      </c>
      <c r="J1614" t="str">
        <f>"TCSC  APTF-&gt;APCA CORRECTION"</f>
        <v>TCSC  APTF-&gt;APCA CORRECTION</v>
      </c>
    </row>
    <row r="1615" spans="1:10" x14ac:dyDescent="0.3">
      <c r="A1615" t="str">
        <f>""</f>
        <v/>
      </c>
      <c r="B1615" t="str">
        <f>""</f>
        <v/>
      </c>
      <c r="G1615" t="str">
        <f>"34211"</f>
        <v>34211</v>
      </c>
      <c r="H1615" t="str">
        <f>"CUST#1571/PCT#2"</f>
        <v>CUST#1571/PCT#2</v>
      </c>
      <c r="I1615" s="2">
        <v>1876.35</v>
      </c>
      <c r="J1615" t="str">
        <f>"CUST#1571/PCT#2"</f>
        <v>CUST#1571/PCT#2</v>
      </c>
    </row>
    <row r="1616" spans="1:10" x14ac:dyDescent="0.3">
      <c r="A1616" t="str">
        <f>""</f>
        <v/>
      </c>
      <c r="B1616" t="str">
        <f>""</f>
        <v/>
      </c>
      <c r="G1616" t="str">
        <f>"34212"</f>
        <v>34212</v>
      </c>
      <c r="H1616" t="str">
        <f>"CUST#1571/PCT#2"</f>
        <v>CUST#1571/PCT#2</v>
      </c>
      <c r="I1616" s="2">
        <v>911.11</v>
      </c>
      <c r="J1616" t="str">
        <f>"CUST#1571/PCT#2"</f>
        <v>CUST#1571/PCT#2</v>
      </c>
    </row>
    <row r="1617" spans="1:10" x14ac:dyDescent="0.3">
      <c r="A1617" t="str">
        <f>""</f>
        <v/>
      </c>
      <c r="B1617" t="str">
        <f>""</f>
        <v/>
      </c>
      <c r="G1617" t="str">
        <f>"34412"</f>
        <v>34412</v>
      </c>
      <c r="H1617" t="str">
        <f>"CUST#1571/T#229909/230677/PCT2"</f>
        <v>CUST#1571/T#229909/230677/PCT2</v>
      </c>
      <c r="I1617" s="2">
        <v>1888.9</v>
      </c>
      <c r="J1617" t="str">
        <f>"CUST#1571/T#229909/230677/PCT2"</f>
        <v>CUST#1571/T#229909/230677/PCT2</v>
      </c>
    </row>
    <row r="1618" spans="1:10" x14ac:dyDescent="0.3">
      <c r="A1618" t="str">
        <f>""</f>
        <v/>
      </c>
      <c r="B1618" t="str">
        <f>""</f>
        <v/>
      </c>
      <c r="G1618" t="str">
        <f>"34413"</f>
        <v>34413</v>
      </c>
      <c r="H1618" t="str">
        <f>"CUST#1571/TICKET#229950/PCT#2"</f>
        <v>CUST#1571/TICKET#229950/PCT#2</v>
      </c>
      <c r="I1618" s="2">
        <v>919.62</v>
      </c>
      <c r="J1618" t="str">
        <f>"CUST#1571/TICKET#229950/PCT#2"</f>
        <v>CUST#1571/TICKET#229950/PCT#2</v>
      </c>
    </row>
    <row r="1619" spans="1:10" x14ac:dyDescent="0.3">
      <c r="A1619" t="str">
        <f>"01"</f>
        <v>01</v>
      </c>
      <c r="B1619" t="str">
        <f>"TCSC"</f>
        <v>TCSC</v>
      </c>
      <c r="C1619" t="s">
        <v>391</v>
      </c>
      <c r="D1619">
        <v>71887</v>
      </c>
      <c r="E1619" s="2">
        <v>1797.57</v>
      </c>
      <c r="F1619" s="1">
        <v>42948</v>
      </c>
      <c r="G1619" t="str">
        <f>"28864"</f>
        <v>28864</v>
      </c>
      <c r="H1619" t="str">
        <f>"CUST#1574/BASE/PCT#4"</f>
        <v>CUST#1574/BASE/PCT#4</v>
      </c>
      <c r="I1619" s="2">
        <v>841.43</v>
      </c>
      <c r="J1619" t="str">
        <f>"CUST#1574/BASE/PCT#4"</f>
        <v>CUST#1574/BASE/PCT#4</v>
      </c>
    </row>
    <row r="1620" spans="1:10" x14ac:dyDescent="0.3">
      <c r="A1620" t="str">
        <f>""</f>
        <v/>
      </c>
      <c r="B1620" t="str">
        <f>""</f>
        <v/>
      </c>
      <c r="G1620" t="str">
        <f>"29046"</f>
        <v>29046</v>
      </c>
      <c r="H1620" t="str">
        <f>"CUST#1574/BASE/PCT#4"</f>
        <v>CUST#1574/BASE/PCT#4</v>
      </c>
      <c r="I1620" s="2">
        <v>956.14</v>
      </c>
      <c r="J1620" t="str">
        <f>"CUST#1574/BASE/PCT#4"</f>
        <v>CUST#1574/BASE/PCT#4</v>
      </c>
    </row>
    <row r="1621" spans="1:10" x14ac:dyDescent="0.3">
      <c r="A1621" t="str">
        <f>"01"</f>
        <v>01</v>
      </c>
      <c r="B1621" t="str">
        <f>"TCSC"</f>
        <v>TCSC</v>
      </c>
      <c r="C1621" t="s">
        <v>391</v>
      </c>
      <c r="D1621">
        <v>72391</v>
      </c>
      <c r="E1621" s="2">
        <v>5595.98</v>
      </c>
      <c r="F1621" s="1">
        <v>42976</v>
      </c>
      <c r="G1621" t="str">
        <f>"34211"</f>
        <v>34211</v>
      </c>
      <c r="H1621" t="str">
        <f>"CUST#1571/PCT#2"</f>
        <v>CUST#1571/PCT#2</v>
      </c>
      <c r="I1621" s="2">
        <v>1876.35</v>
      </c>
    </row>
    <row r="1622" spans="1:10" x14ac:dyDescent="0.3">
      <c r="A1622" t="str">
        <f>""</f>
        <v/>
      </c>
      <c r="B1622" t="str">
        <f>""</f>
        <v/>
      </c>
      <c r="G1622" t="str">
        <f>"34212"</f>
        <v>34212</v>
      </c>
      <c r="H1622" t="str">
        <f>"CUST#1571/PCT#2"</f>
        <v>CUST#1571/PCT#2</v>
      </c>
      <c r="I1622" s="2">
        <v>911.11</v>
      </c>
    </row>
    <row r="1623" spans="1:10" x14ac:dyDescent="0.3">
      <c r="A1623" t="str">
        <f>""</f>
        <v/>
      </c>
      <c r="B1623" t="str">
        <f>""</f>
        <v/>
      </c>
      <c r="G1623" t="str">
        <f>"34412"</f>
        <v>34412</v>
      </c>
      <c r="H1623" t="str">
        <f>"CUST#1571/T#229909/230677/PCT2"</f>
        <v>CUST#1571/T#229909/230677/PCT2</v>
      </c>
      <c r="I1623" s="2">
        <v>1888.9</v>
      </c>
    </row>
    <row r="1624" spans="1:10" x14ac:dyDescent="0.3">
      <c r="A1624" t="str">
        <f>""</f>
        <v/>
      </c>
      <c r="B1624" t="str">
        <f>""</f>
        <v/>
      </c>
      <c r="G1624" t="str">
        <f>"34413"</f>
        <v>34413</v>
      </c>
      <c r="H1624" t="str">
        <f>"CUST#1571/TICKET#229950/PCT#2"</f>
        <v>CUST#1571/TICKET#229950/PCT#2</v>
      </c>
      <c r="I1624" s="2">
        <v>919.62</v>
      </c>
    </row>
    <row r="1625" spans="1:10" x14ac:dyDescent="0.3">
      <c r="A1625" t="str">
        <f>"01"</f>
        <v>01</v>
      </c>
      <c r="B1625" t="str">
        <f>"TCSC"</f>
        <v>TCSC</v>
      </c>
      <c r="C1625" t="s">
        <v>391</v>
      </c>
      <c r="D1625">
        <v>72391</v>
      </c>
      <c r="E1625" s="2">
        <v>5595.98</v>
      </c>
      <c r="F1625" s="1">
        <v>42976</v>
      </c>
      <c r="G1625" t="str">
        <f>"CHECK"</f>
        <v>CHECK</v>
      </c>
      <c r="H1625" t="str">
        <f>""</f>
        <v/>
      </c>
      <c r="I1625" s="2">
        <v>5595.98</v>
      </c>
    </row>
    <row r="1626" spans="1:10" x14ac:dyDescent="0.3">
      <c r="A1626" t="str">
        <f>"01"</f>
        <v>01</v>
      </c>
      <c r="B1626" t="str">
        <f>"003484"</f>
        <v>003484</v>
      </c>
      <c r="C1626" t="s">
        <v>460</v>
      </c>
      <c r="D1626">
        <v>72392</v>
      </c>
      <c r="E1626" s="2">
        <v>20357.29</v>
      </c>
      <c r="F1626" s="1">
        <v>42976</v>
      </c>
      <c r="G1626" t="str">
        <f>"90001529"</f>
        <v>90001529</v>
      </c>
      <c r="H1626" t="str">
        <f>"GRANT#8000002361/MAY 1-31 2017"</f>
        <v>GRANT#8000002361/MAY 1-31 2017</v>
      </c>
      <c r="I1626" s="2">
        <v>8080.58</v>
      </c>
      <c r="J1626" t="str">
        <f>"GRANT#8000002361/MAY 1-31 2017"</f>
        <v>GRANT#8000002361/MAY 1-31 2017</v>
      </c>
    </row>
    <row r="1627" spans="1:10" x14ac:dyDescent="0.3">
      <c r="A1627" t="str">
        <f>""</f>
        <v/>
      </c>
      <c r="B1627" t="str">
        <f>""</f>
        <v/>
      </c>
      <c r="G1627" t="str">
        <f>"90001713"</f>
        <v>90001713</v>
      </c>
      <c r="H1627" t="str">
        <f>"GRANT#8000002361"</f>
        <v>GRANT#8000002361</v>
      </c>
      <c r="I1627" s="2">
        <v>12276.71</v>
      </c>
      <c r="J1627" t="str">
        <f>"GRANT#8000002361"</f>
        <v>GRANT#8000002361</v>
      </c>
    </row>
    <row r="1628" spans="1:10" x14ac:dyDescent="0.3">
      <c r="A1628" t="str">
        <f>"01"</f>
        <v>01</v>
      </c>
      <c r="B1628" t="str">
        <f>"T14022"</f>
        <v>T14022</v>
      </c>
      <c r="C1628" t="s">
        <v>461</v>
      </c>
      <c r="D1628">
        <v>0</v>
      </c>
      <c r="E1628" s="2">
        <v>750</v>
      </c>
      <c r="F1628" s="1">
        <v>42961</v>
      </c>
      <c r="G1628" t="str">
        <f>"252-2035553"</f>
        <v>252-2035553</v>
      </c>
      <c r="H1628" t="str">
        <f>"BASREF15/SERIES 2015"</f>
        <v>BASREF15/SERIES 2015</v>
      </c>
      <c r="I1628" s="2">
        <v>750</v>
      </c>
      <c r="J1628" t="str">
        <f>"BASREF15/SERIES 2015"</f>
        <v>BASREF15/SERIES 2015</v>
      </c>
    </row>
    <row r="1629" spans="1:10" x14ac:dyDescent="0.3">
      <c r="A1629" t="str">
        <f>""</f>
        <v/>
      </c>
      <c r="B1629" t="str">
        <f>""</f>
        <v/>
      </c>
      <c r="G1629" t="str">
        <f>""</f>
        <v/>
      </c>
      <c r="H1629" t="str">
        <f>""</f>
        <v/>
      </c>
      <c r="J1629" t="str">
        <f>"BASREF15/SERIES 2015"</f>
        <v>BASREF15/SERIES 2015</v>
      </c>
    </row>
    <row r="1630" spans="1:10" x14ac:dyDescent="0.3">
      <c r="A1630" t="str">
        <f>"01"</f>
        <v>01</v>
      </c>
      <c r="B1630" t="str">
        <f>"TRACTO"</f>
        <v>TRACTO</v>
      </c>
      <c r="C1630" t="s">
        <v>416</v>
      </c>
      <c r="D1630">
        <v>72155</v>
      </c>
      <c r="E1630" s="2">
        <v>18.95</v>
      </c>
      <c r="F1630" s="1">
        <v>42961</v>
      </c>
      <c r="G1630" t="str">
        <f>"100513651"</f>
        <v>100513651</v>
      </c>
      <c r="H1630" t="str">
        <f>"ACCT# 6035301200160982"</f>
        <v>ACCT# 6035301200160982</v>
      </c>
      <c r="I1630" s="2">
        <v>18.95</v>
      </c>
      <c r="J1630" t="str">
        <f>"INV# 100513651"</f>
        <v>INV# 100513651</v>
      </c>
    </row>
    <row r="1631" spans="1:10" x14ac:dyDescent="0.3">
      <c r="A1631" t="str">
        <f>"01"</f>
        <v>01</v>
      </c>
      <c r="B1631" t="str">
        <f>"WALMAR"</f>
        <v>WALMAR</v>
      </c>
      <c r="C1631" t="s">
        <v>431</v>
      </c>
      <c r="D1631">
        <v>72156</v>
      </c>
      <c r="E1631" s="2">
        <v>357.49</v>
      </c>
      <c r="F1631" s="1">
        <v>42961</v>
      </c>
      <c r="G1631" t="str">
        <f>"STMT 7/22/17"</f>
        <v>STMT 7/22/17</v>
      </c>
      <c r="H1631" t="str">
        <f>"ACCT# 6032202005312476"</f>
        <v>ACCT# 6032202005312476</v>
      </c>
      <c r="I1631" s="2">
        <v>357.49</v>
      </c>
      <c r="J1631" t="str">
        <f>"INV# 005428"</f>
        <v>INV# 005428</v>
      </c>
    </row>
    <row r="1632" spans="1:10" x14ac:dyDescent="0.3">
      <c r="A1632" t="str">
        <f>""</f>
        <v/>
      </c>
      <c r="B1632" t="str">
        <f>""</f>
        <v/>
      </c>
      <c r="G1632" t="str">
        <f>""</f>
        <v/>
      </c>
      <c r="H1632" t="str">
        <f>""</f>
        <v/>
      </c>
      <c r="J1632" t="str">
        <f>"INV# 009875"</f>
        <v>INV# 009875</v>
      </c>
    </row>
    <row r="1633" spans="1:10" x14ac:dyDescent="0.3">
      <c r="A1633" t="str">
        <f>""</f>
        <v/>
      </c>
      <c r="B1633" t="str">
        <f>""</f>
        <v/>
      </c>
      <c r="G1633" t="str">
        <f>""</f>
        <v/>
      </c>
      <c r="H1633" t="str">
        <f>""</f>
        <v/>
      </c>
      <c r="J1633" t="str">
        <f>"INV# 002749"</f>
        <v>INV# 002749</v>
      </c>
    </row>
    <row r="1634" spans="1:10" x14ac:dyDescent="0.3">
      <c r="A1634" t="str">
        <f>"01"</f>
        <v>01</v>
      </c>
      <c r="B1634" t="str">
        <f>"004240"</f>
        <v>004240</v>
      </c>
      <c r="C1634" t="s">
        <v>462</v>
      </c>
      <c r="D1634">
        <v>72393</v>
      </c>
      <c r="E1634" s="2">
        <v>110684.6</v>
      </c>
      <c r="F1634" s="1">
        <v>42976</v>
      </c>
      <c r="G1634" t="str">
        <f>"1227"</f>
        <v>1227</v>
      </c>
      <c r="H1634" t="str">
        <f>"JOB#WFR010001   8/5/17-8/16/17"</f>
        <v>JOB#WFR010001   8/5/17-8/16/17</v>
      </c>
      <c r="I1634" s="2">
        <v>110684.6</v>
      </c>
      <c r="J1634" t="str">
        <f>"JOB#WFR010001   8/5/17-8/16/17"</f>
        <v>JOB#WFR010001   8/5/17-8/16/17</v>
      </c>
    </row>
    <row r="1635" spans="1:10" x14ac:dyDescent="0.3">
      <c r="A1635" t="str">
        <f>"01"</f>
        <v>01</v>
      </c>
      <c r="B1635" t="str">
        <f>"ALLSTA"</f>
        <v>ALLSTA</v>
      </c>
      <c r="C1635" t="s">
        <v>463</v>
      </c>
      <c r="D1635">
        <v>0</v>
      </c>
      <c r="E1635" s="2">
        <v>9994.5400000000009</v>
      </c>
      <c r="F1635" s="1">
        <v>42978</v>
      </c>
      <c r="G1635" t="str">
        <f>"201708314485"</f>
        <v>201708314485</v>
      </c>
      <c r="H1635" t="str">
        <f>"ALLSTATE-AMERICAN HERITAGE LIF"</f>
        <v>ALLSTATE-AMERICAN HERITAGE LIF</v>
      </c>
      <c r="I1635" s="2">
        <v>0.06</v>
      </c>
      <c r="J1635" t="str">
        <f>"ALLSTATE-AMERICAN HERITAGE LIF"</f>
        <v>ALLSTATE-AMERICAN HERITAGE LIF</v>
      </c>
    </row>
    <row r="1636" spans="1:10" x14ac:dyDescent="0.3">
      <c r="A1636" t="str">
        <f>""</f>
        <v/>
      </c>
      <c r="B1636" t="str">
        <f>""</f>
        <v/>
      </c>
      <c r="G1636" t="str">
        <f>"AS 201708094186"</f>
        <v>AS 201708094186</v>
      </c>
      <c r="H1636" t="str">
        <f t="shared" ref="H1636:H1649" si="33">"ALLSTATE"</f>
        <v>ALLSTATE</v>
      </c>
      <c r="I1636" s="2">
        <v>1096.6300000000001</v>
      </c>
      <c r="J1636" t="str">
        <f t="shared" ref="J1636:J1649" si="34">"ALLSTATE"</f>
        <v>ALLSTATE</v>
      </c>
    </row>
    <row r="1637" spans="1:10" x14ac:dyDescent="0.3">
      <c r="A1637" t="str">
        <f>""</f>
        <v/>
      </c>
      <c r="B1637" t="str">
        <f>""</f>
        <v/>
      </c>
      <c r="G1637" t="str">
        <f>"AS 201708094187"</f>
        <v>AS 201708094187</v>
      </c>
      <c r="H1637" t="str">
        <f t="shared" si="33"/>
        <v>ALLSTATE</v>
      </c>
      <c r="I1637" s="2">
        <v>36.14</v>
      </c>
      <c r="J1637" t="str">
        <f t="shared" si="34"/>
        <v>ALLSTATE</v>
      </c>
    </row>
    <row r="1638" spans="1:10" x14ac:dyDescent="0.3">
      <c r="A1638" t="str">
        <f>""</f>
        <v/>
      </c>
      <c r="B1638" t="str">
        <f>""</f>
        <v/>
      </c>
      <c r="G1638" t="str">
        <f>"AS 201708234445"</f>
        <v>AS 201708234445</v>
      </c>
      <c r="H1638" t="str">
        <f t="shared" si="33"/>
        <v>ALLSTATE</v>
      </c>
      <c r="I1638" s="2">
        <v>1078.6300000000001</v>
      </c>
      <c r="J1638" t="str">
        <f t="shared" si="34"/>
        <v>ALLSTATE</v>
      </c>
    </row>
    <row r="1639" spans="1:10" x14ac:dyDescent="0.3">
      <c r="A1639" t="str">
        <f>""</f>
        <v/>
      </c>
      <c r="B1639" t="str">
        <f>""</f>
        <v/>
      </c>
      <c r="G1639" t="str">
        <f>"AS 201708244446"</f>
        <v>AS 201708244446</v>
      </c>
      <c r="H1639" t="str">
        <f t="shared" si="33"/>
        <v>ALLSTATE</v>
      </c>
      <c r="I1639" s="2">
        <v>36.14</v>
      </c>
      <c r="J1639" t="str">
        <f t="shared" si="34"/>
        <v>ALLSTATE</v>
      </c>
    </row>
    <row r="1640" spans="1:10" x14ac:dyDescent="0.3">
      <c r="A1640" t="str">
        <f>""</f>
        <v/>
      </c>
      <c r="B1640" t="str">
        <f>""</f>
        <v/>
      </c>
      <c r="G1640" t="str">
        <f>"ASD201708094186"</f>
        <v>ASD201708094186</v>
      </c>
      <c r="H1640" t="str">
        <f t="shared" si="33"/>
        <v>ALLSTATE</v>
      </c>
      <c r="I1640" s="2">
        <v>402.91</v>
      </c>
      <c r="J1640" t="str">
        <f t="shared" si="34"/>
        <v>ALLSTATE</v>
      </c>
    </row>
    <row r="1641" spans="1:10" x14ac:dyDescent="0.3">
      <c r="A1641" t="str">
        <f>""</f>
        <v/>
      </c>
      <c r="B1641" t="str">
        <f>""</f>
        <v/>
      </c>
      <c r="G1641" t="str">
        <f>"ASD201708234445"</f>
        <v>ASD201708234445</v>
      </c>
      <c r="H1641" t="str">
        <f t="shared" si="33"/>
        <v>ALLSTATE</v>
      </c>
      <c r="I1641" s="2">
        <v>378.87</v>
      </c>
      <c r="J1641" t="str">
        <f t="shared" si="34"/>
        <v>ALLSTATE</v>
      </c>
    </row>
    <row r="1642" spans="1:10" x14ac:dyDescent="0.3">
      <c r="A1642" t="str">
        <f>""</f>
        <v/>
      </c>
      <c r="B1642" t="str">
        <f>""</f>
        <v/>
      </c>
      <c r="G1642" t="str">
        <f>"ASI201708094186"</f>
        <v>ASI201708094186</v>
      </c>
      <c r="H1642" t="str">
        <f t="shared" si="33"/>
        <v>ALLSTATE</v>
      </c>
      <c r="I1642" s="2">
        <v>1286.6300000000001</v>
      </c>
      <c r="J1642" t="str">
        <f t="shared" si="34"/>
        <v>ALLSTATE</v>
      </c>
    </row>
    <row r="1643" spans="1:10" x14ac:dyDescent="0.3">
      <c r="A1643" t="str">
        <f>""</f>
        <v/>
      </c>
      <c r="B1643" t="str">
        <f>""</f>
        <v/>
      </c>
      <c r="G1643" t="str">
        <f>"ASI201708094187"</f>
        <v>ASI201708094187</v>
      </c>
      <c r="H1643" t="str">
        <f t="shared" si="33"/>
        <v>ALLSTATE</v>
      </c>
      <c r="I1643" s="2">
        <v>100.63</v>
      </c>
      <c r="J1643" t="str">
        <f t="shared" si="34"/>
        <v>ALLSTATE</v>
      </c>
    </row>
    <row r="1644" spans="1:10" x14ac:dyDescent="0.3">
      <c r="A1644" t="str">
        <f>""</f>
        <v/>
      </c>
      <c r="B1644" t="str">
        <f>""</f>
        <v/>
      </c>
      <c r="G1644" t="str">
        <f>"ASI201708234445"</f>
        <v>ASI201708234445</v>
      </c>
      <c r="H1644" t="str">
        <f t="shared" si="33"/>
        <v>ALLSTATE</v>
      </c>
      <c r="I1644" s="2">
        <v>1286.6300000000001</v>
      </c>
      <c r="J1644" t="str">
        <f t="shared" si="34"/>
        <v>ALLSTATE</v>
      </c>
    </row>
    <row r="1645" spans="1:10" x14ac:dyDescent="0.3">
      <c r="A1645" t="str">
        <f>""</f>
        <v/>
      </c>
      <c r="B1645" t="str">
        <f>""</f>
        <v/>
      </c>
      <c r="G1645" t="str">
        <f>"ASI201708244446"</f>
        <v>ASI201708244446</v>
      </c>
      <c r="H1645" t="str">
        <f t="shared" si="33"/>
        <v>ALLSTATE</v>
      </c>
      <c r="I1645" s="2">
        <v>100.63</v>
      </c>
      <c r="J1645" t="str">
        <f t="shared" si="34"/>
        <v>ALLSTATE</v>
      </c>
    </row>
    <row r="1646" spans="1:10" x14ac:dyDescent="0.3">
      <c r="A1646" t="str">
        <f>""</f>
        <v/>
      </c>
      <c r="B1646" t="str">
        <f>""</f>
        <v/>
      </c>
      <c r="G1646" t="str">
        <f>"AST201708094186"</f>
        <v>AST201708094186</v>
      </c>
      <c r="H1646" t="str">
        <f t="shared" si="33"/>
        <v>ALLSTATE</v>
      </c>
      <c r="I1646" s="2">
        <v>1975.85</v>
      </c>
      <c r="J1646" t="str">
        <f t="shared" si="34"/>
        <v>ALLSTATE</v>
      </c>
    </row>
    <row r="1647" spans="1:10" x14ac:dyDescent="0.3">
      <c r="A1647" t="str">
        <f>""</f>
        <v/>
      </c>
      <c r="B1647" t="str">
        <f>""</f>
        <v/>
      </c>
      <c r="G1647" t="str">
        <f>"AST201708094187"</f>
        <v>AST201708094187</v>
      </c>
      <c r="H1647" t="str">
        <f t="shared" si="33"/>
        <v>ALLSTATE</v>
      </c>
      <c r="I1647" s="2">
        <v>119.47</v>
      </c>
      <c r="J1647" t="str">
        <f t="shared" si="34"/>
        <v>ALLSTATE</v>
      </c>
    </row>
    <row r="1648" spans="1:10" x14ac:dyDescent="0.3">
      <c r="A1648" t="str">
        <f>""</f>
        <v/>
      </c>
      <c r="B1648" t="str">
        <f>""</f>
        <v/>
      </c>
      <c r="G1648" t="str">
        <f>"AST201708234445"</f>
        <v>AST201708234445</v>
      </c>
      <c r="H1648" t="str">
        <f t="shared" si="33"/>
        <v>ALLSTATE</v>
      </c>
      <c r="I1648" s="2">
        <v>1975.85</v>
      </c>
      <c r="J1648" t="str">
        <f t="shared" si="34"/>
        <v>ALLSTATE</v>
      </c>
    </row>
    <row r="1649" spans="1:10" x14ac:dyDescent="0.3">
      <c r="A1649" t="str">
        <f>""</f>
        <v/>
      </c>
      <c r="B1649" t="str">
        <f>""</f>
        <v/>
      </c>
      <c r="G1649" t="str">
        <f>"AST201708244446"</f>
        <v>AST201708244446</v>
      </c>
      <c r="H1649" t="str">
        <f t="shared" si="33"/>
        <v>ALLSTATE</v>
      </c>
      <c r="I1649" s="2">
        <v>119.47</v>
      </c>
      <c r="J1649" t="str">
        <f t="shared" si="34"/>
        <v>ALLSTATE</v>
      </c>
    </row>
    <row r="1650" spans="1:10" x14ac:dyDescent="0.3">
      <c r="A1650" t="str">
        <f>"01"</f>
        <v>01</v>
      </c>
      <c r="B1650" t="str">
        <f>"002234"</f>
        <v>002234</v>
      </c>
      <c r="C1650" t="s">
        <v>464</v>
      </c>
      <c r="D1650">
        <v>0</v>
      </c>
      <c r="E1650" s="2">
        <v>1494</v>
      </c>
      <c r="F1650" s="1">
        <v>42978</v>
      </c>
      <c r="G1650" t="str">
        <f>"BAS201708094186"</f>
        <v>BAS201708094186</v>
      </c>
      <c r="H1650" t="str">
        <f>"B.A.S.E."</f>
        <v>B.A.S.E.</v>
      </c>
      <c r="I1650" s="2">
        <v>750</v>
      </c>
      <c r="J1650" t="str">
        <f>"B.A.S.E."</f>
        <v>B.A.S.E.</v>
      </c>
    </row>
    <row r="1651" spans="1:10" x14ac:dyDescent="0.3">
      <c r="A1651" t="str">
        <f>""</f>
        <v/>
      </c>
      <c r="B1651" t="str">
        <f>""</f>
        <v/>
      </c>
      <c r="G1651" t="str">
        <f>"BAS201708234445"</f>
        <v>BAS201708234445</v>
      </c>
      <c r="H1651" t="str">
        <f>"B.A.S.E."</f>
        <v>B.A.S.E.</v>
      </c>
      <c r="I1651" s="2">
        <v>744</v>
      </c>
      <c r="J1651" t="str">
        <f>"B.A.S.E."</f>
        <v>B.A.S.E.</v>
      </c>
    </row>
    <row r="1652" spans="1:10" x14ac:dyDescent="0.3">
      <c r="A1652" t="str">
        <f>"01"</f>
        <v>01</v>
      </c>
      <c r="B1652" t="str">
        <f>"T12180"</f>
        <v>T12180</v>
      </c>
      <c r="C1652" t="s">
        <v>465</v>
      </c>
      <c r="D1652">
        <v>0</v>
      </c>
      <c r="E1652" s="2">
        <v>3347.12</v>
      </c>
      <c r="F1652" s="1">
        <v>42958</v>
      </c>
      <c r="G1652" t="str">
        <f>"DDP201708094188"</f>
        <v>DDP201708094188</v>
      </c>
      <c r="H1652" t="str">
        <f>"AP - TEXAS DISCOUNT DENTAL"</f>
        <v>AP - TEXAS DISCOUNT DENTAL</v>
      </c>
      <c r="I1652" s="2">
        <v>6.53</v>
      </c>
      <c r="J1652" t="str">
        <f>"AP - TEXAS DISCOUNT DENTAL"</f>
        <v>AP - TEXAS DISCOUNT DENTAL</v>
      </c>
    </row>
    <row r="1653" spans="1:10" x14ac:dyDescent="0.3">
      <c r="A1653" t="str">
        <f>""</f>
        <v/>
      </c>
      <c r="B1653" t="str">
        <f>""</f>
        <v/>
      </c>
      <c r="G1653" t="str">
        <f>"DHM201708094188"</f>
        <v>DHM201708094188</v>
      </c>
      <c r="H1653" t="str">
        <f>"AP - DENTAL HMO"</f>
        <v>AP - DENTAL HMO</v>
      </c>
      <c r="I1653" s="2">
        <v>35.49</v>
      </c>
      <c r="J1653" t="str">
        <f>"AP - DENTAL HMO"</f>
        <v>AP - DENTAL HMO</v>
      </c>
    </row>
    <row r="1654" spans="1:10" x14ac:dyDescent="0.3">
      <c r="A1654" t="str">
        <f>""</f>
        <v/>
      </c>
      <c r="B1654" t="str">
        <f>""</f>
        <v/>
      </c>
      <c r="G1654" t="str">
        <f>"DTX201708094188"</f>
        <v>DTX201708094188</v>
      </c>
      <c r="H1654" t="str">
        <f>"AP - TEXAS DENTAL"</f>
        <v>AP - TEXAS DENTAL</v>
      </c>
      <c r="I1654" s="2">
        <v>390.47</v>
      </c>
      <c r="J1654" t="str">
        <f>"AP - TEXAS DENTAL"</f>
        <v>AP - TEXAS DENTAL</v>
      </c>
    </row>
    <row r="1655" spans="1:10" x14ac:dyDescent="0.3">
      <c r="A1655" t="str">
        <f>""</f>
        <v/>
      </c>
      <c r="B1655" t="str">
        <f>""</f>
        <v/>
      </c>
      <c r="G1655" t="str">
        <f>"FD 201708094188"</f>
        <v>FD 201708094188</v>
      </c>
      <c r="H1655" t="str">
        <f>"AP - FT DEARBORN PRE-TAX"</f>
        <v>AP - FT DEARBORN PRE-TAX</v>
      </c>
      <c r="I1655" s="2">
        <v>206.34</v>
      </c>
      <c r="J1655" t="str">
        <f>"AP - FT DEARBORN PRE-TAX"</f>
        <v>AP - FT DEARBORN PRE-TAX</v>
      </c>
    </row>
    <row r="1656" spans="1:10" x14ac:dyDescent="0.3">
      <c r="A1656" t="str">
        <f>""</f>
        <v/>
      </c>
      <c r="B1656" t="str">
        <f>""</f>
        <v/>
      </c>
      <c r="G1656" t="str">
        <f>"FDT201708094188"</f>
        <v>FDT201708094188</v>
      </c>
      <c r="H1656" t="str">
        <f>"AP - FT DEARBORN AFTER TAX"</f>
        <v>AP - FT DEARBORN AFTER TAX</v>
      </c>
      <c r="I1656" s="2">
        <v>87.75</v>
      </c>
      <c r="J1656" t="str">
        <f>"AP - FT DEARBORN AFTER TAX"</f>
        <v>AP - FT DEARBORN AFTER TAX</v>
      </c>
    </row>
    <row r="1657" spans="1:10" x14ac:dyDescent="0.3">
      <c r="A1657" t="str">
        <f>""</f>
        <v/>
      </c>
      <c r="B1657" t="str">
        <f>""</f>
        <v/>
      </c>
      <c r="G1657" t="str">
        <f>"FLX201708094188"</f>
        <v>FLX201708094188</v>
      </c>
      <c r="H1657" t="str">
        <f>"AP - TEX FLEX"</f>
        <v>AP - TEX FLEX</v>
      </c>
      <c r="I1657" s="2">
        <v>364</v>
      </c>
      <c r="J1657" t="str">
        <f>"AP - TEX FLEX"</f>
        <v>AP - TEX FLEX</v>
      </c>
    </row>
    <row r="1658" spans="1:10" x14ac:dyDescent="0.3">
      <c r="A1658" t="str">
        <f>""</f>
        <v/>
      </c>
      <c r="B1658" t="str">
        <f>""</f>
        <v/>
      </c>
      <c r="G1658" t="str">
        <f>"MHS201708094188"</f>
        <v>MHS201708094188</v>
      </c>
      <c r="H1658" t="str">
        <f>"AP - HEALTH SELECT MEDICAL"</f>
        <v>AP - HEALTH SELECT MEDICAL</v>
      </c>
      <c r="I1658" s="2">
        <v>1951.32</v>
      </c>
      <c r="J1658" t="str">
        <f>"AP - HEALTH SELECT MEDICAL"</f>
        <v>AP - HEALTH SELECT MEDICAL</v>
      </c>
    </row>
    <row r="1659" spans="1:10" x14ac:dyDescent="0.3">
      <c r="A1659" t="str">
        <f>""</f>
        <v/>
      </c>
      <c r="B1659" t="str">
        <f>""</f>
        <v/>
      </c>
      <c r="G1659" t="str">
        <f>"MSW201708094188"</f>
        <v>MSW201708094188</v>
      </c>
      <c r="H1659" t="str">
        <f>"AP - SCOTT &amp; WHITE MEDICAL"</f>
        <v>AP - SCOTT &amp; WHITE MEDICAL</v>
      </c>
      <c r="I1659" s="2">
        <v>291.82</v>
      </c>
      <c r="J1659" t="str">
        <f>"AP - SCOTT &amp; WHITE MEDICAL"</f>
        <v>AP - SCOTT &amp; WHITE MEDICAL</v>
      </c>
    </row>
    <row r="1660" spans="1:10" x14ac:dyDescent="0.3">
      <c r="A1660" t="str">
        <f>""</f>
        <v/>
      </c>
      <c r="B1660" t="str">
        <f>""</f>
        <v/>
      </c>
      <c r="G1660" t="str">
        <f>"SPE201708094188"</f>
        <v>SPE201708094188</v>
      </c>
      <c r="H1660" t="str">
        <f>"AP - STATE VISION"</f>
        <v>AP - STATE VISION</v>
      </c>
      <c r="I1660" s="2">
        <v>13.4</v>
      </c>
      <c r="J1660" t="str">
        <f>"AP - STATE VISION"</f>
        <v>AP - STATE VISION</v>
      </c>
    </row>
    <row r="1661" spans="1:10" x14ac:dyDescent="0.3">
      <c r="A1661" t="str">
        <f>"01"</f>
        <v>01</v>
      </c>
      <c r="B1661" t="str">
        <f>"T12180"</f>
        <v>T12180</v>
      </c>
      <c r="C1661" t="s">
        <v>465</v>
      </c>
      <c r="D1661">
        <v>0</v>
      </c>
      <c r="E1661" s="2">
        <v>3347.12</v>
      </c>
      <c r="F1661" s="1">
        <v>42972</v>
      </c>
      <c r="G1661" t="str">
        <f>"DDP201708244447"</f>
        <v>DDP201708244447</v>
      </c>
      <c r="H1661" t="str">
        <f>"AP - TEXAS DISCOUNT DENTAL"</f>
        <v>AP - TEXAS DISCOUNT DENTAL</v>
      </c>
      <c r="I1661" s="2">
        <v>6.53</v>
      </c>
      <c r="J1661" t="str">
        <f>"AP - TEXAS DISCOUNT DENTAL"</f>
        <v>AP - TEXAS DISCOUNT DENTAL</v>
      </c>
    </row>
    <row r="1662" spans="1:10" x14ac:dyDescent="0.3">
      <c r="A1662" t="str">
        <f>""</f>
        <v/>
      </c>
      <c r="B1662" t="str">
        <f>""</f>
        <v/>
      </c>
      <c r="G1662" t="str">
        <f>"DHM201708244447"</f>
        <v>DHM201708244447</v>
      </c>
      <c r="H1662" t="str">
        <f>"AP - DENTAL HMO"</f>
        <v>AP - DENTAL HMO</v>
      </c>
      <c r="I1662" s="2">
        <v>35.49</v>
      </c>
      <c r="J1662" t="str">
        <f>"AP - DENTAL HMO"</f>
        <v>AP - DENTAL HMO</v>
      </c>
    </row>
    <row r="1663" spans="1:10" x14ac:dyDescent="0.3">
      <c r="A1663" t="str">
        <f>""</f>
        <v/>
      </c>
      <c r="B1663" t="str">
        <f>""</f>
        <v/>
      </c>
      <c r="G1663" t="str">
        <f>"DTX201708244447"</f>
        <v>DTX201708244447</v>
      </c>
      <c r="H1663" t="str">
        <f>"AP - TEXAS DENTAL"</f>
        <v>AP - TEXAS DENTAL</v>
      </c>
      <c r="I1663" s="2">
        <v>390.47</v>
      </c>
      <c r="J1663" t="str">
        <f>"AP - TEXAS DENTAL"</f>
        <v>AP - TEXAS DENTAL</v>
      </c>
    </row>
    <row r="1664" spans="1:10" x14ac:dyDescent="0.3">
      <c r="A1664" t="str">
        <f>""</f>
        <v/>
      </c>
      <c r="B1664" t="str">
        <f>""</f>
        <v/>
      </c>
      <c r="G1664" t="str">
        <f>"FD 201708244447"</f>
        <v>FD 201708244447</v>
      </c>
      <c r="H1664" t="str">
        <f>"AP - FT DEARBORN PRE-TAX"</f>
        <v>AP - FT DEARBORN PRE-TAX</v>
      </c>
      <c r="I1664" s="2">
        <v>206.34</v>
      </c>
      <c r="J1664" t="str">
        <f>"AP - FT DEARBORN PRE-TAX"</f>
        <v>AP - FT DEARBORN PRE-TAX</v>
      </c>
    </row>
    <row r="1665" spans="1:10" x14ac:dyDescent="0.3">
      <c r="A1665" t="str">
        <f>""</f>
        <v/>
      </c>
      <c r="B1665" t="str">
        <f>""</f>
        <v/>
      </c>
      <c r="G1665" t="str">
        <f>"FDT201708244447"</f>
        <v>FDT201708244447</v>
      </c>
      <c r="H1665" t="str">
        <f>"AP - FT DEARBORN AFTER TAX"</f>
        <v>AP - FT DEARBORN AFTER TAX</v>
      </c>
      <c r="I1665" s="2">
        <v>87.75</v>
      </c>
      <c r="J1665" t="str">
        <f>"AP - FT DEARBORN AFTER TAX"</f>
        <v>AP - FT DEARBORN AFTER TAX</v>
      </c>
    </row>
    <row r="1666" spans="1:10" x14ac:dyDescent="0.3">
      <c r="A1666" t="str">
        <f>""</f>
        <v/>
      </c>
      <c r="B1666" t="str">
        <f>""</f>
        <v/>
      </c>
      <c r="G1666" t="str">
        <f>"FLX201708244447"</f>
        <v>FLX201708244447</v>
      </c>
      <c r="H1666" t="str">
        <f>"AP - TEX FLEX"</f>
        <v>AP - TEX FLEX</v>
      </c>
      <c r="I1666" s="2">
        <v>364</v>
      </c>
      <c r="J1666" t="str">
        <f>"AP - TEX FLEX"</f>
        <v>AP - TEX FLEX</v>
      </c>
    </row>
    <row r="1667" spans="1:10" x14ac:dyDescent="0.3">
      <c r="A1667" t="str">
        <f>""</f>
        <v/>
      </c>
      <c r="B1667" t="str">
        <f>""</f>
        <v/>
      </c>
      <c r="G1667" t="str">
        <f>"MHS201708244447"</f>
        <v>MHS201708244447</v>
      </c>
      <c r="H1667" t="str">
        <f>"AP - HEALTH SELECT MEDICAL"</f>
        <v>AP - HEALTH SELECT MEDICAL</v>
      </c>
      <c r="I1667" s="2">
        <v>1951.32</v>
      </c>
      <c r="J1667" t="str">
        <f>"AP - HEALTH SELECT MEDICAL"</f>
        <v>AP - HEALTH SELECT MEDICAL</v>
      </c>
    </row>
    <row r="1668" spans="1:10" x14ac:dyDescent="0.3">
      <c r="A1668" t="str">
        <f>""</f>
        <v/>
      </c>
      <c r="B1668" t="str">
        <f>""</f>
        <v/>
      </c>
      <c r="G1668" t="str">
        <f>"MSW201708244447"</f>
        <v>MSW201708244447</v>
      </c>
      <c r="H1668" t="str">
        <f>"AP - SCOTT &amp; WHITE MEDICAL"</f>
        <v>AP - SCOTT &amp; WHITE MEDICAL</v>
      </c>
      <c r="I1668" s="2">
        <v>291.82</v>
      </c>
      <c r="J1668" t="str">
        <f>"AP - SCOTT &amp; WHITE MEDICAL"</f>
        <v>AP - SCOTT &amp; WHITE MEDICAL</v>
      </c>
    </row>
    <row r="1669" spans="1:10" x14ac:dyDescent="0.3">
      <c r="A1669" t="str">
        <f>""</f>
        <v/>
      </c>
      <c r="B1669" t="str">
        <f>""</f>
        <v/>
      </c>
      <c r="G1669" t="str">
        <f>"SPE201708244447"</f>
        <v>SPE201708244447</v>
      </c>
      <c r="H1669" t="str">
        <f>"AP - STATE VISION"</f>
        <v>AP - STATE VISION</v>
      </c>
      <c r="I1669" s="2">
        <v>13.4</v>
      </c>
      <c r="J1669" t="str">
        <f>"AP - STATE VISION"</f>
        <v>AP - STATE VISION</v>
      </c>
    </row>
    <row r="1670" spans="1:10" x14ac:dyDescent="0.3">
      <c r="A1670" t="str">
        <f>"01"</f>
        <v>01</v>
      </c>
      <c r="B1670" t="str">
        <f>"COLONI"</f>
        <v>COLONI</v>
      </c>
      <c r="C1670" t="s">
        <v>466</v>
      </c>
      <c r="D1670">
        <v>0</v>
      </c>
      <c r="E1670" s="2">
        <v>4844.76</v>
      </c>
      <c r="F1670" s="1">
        <v>42978</v>
      </c>
      <c r="G1670" t="str">
        <f>"CL 201708094186"</f>
        <v>CL 201708094186</v>
      </c>
      <c r="H1670" t="str">
        <f t="shared" ref="H1670:H1689" si="35">"COLONIAL"</f>
        <v>COLONIAL</v>
      </c>
      <c r="I1670" s="2">
        <v>743.39</v>
      </c>
      <c r="J1670" t="str">
        <f t="shared" ref="J1670:J1689" si="36">"COLONIAL"</f>
        <v>COLONIAL</v>
      </c>
    </row>
    <row r="1671" spans="1:10" x14ac:dyDescent="0.3">
      <c r="A1671" t="str">
        <f>""</f>
        <v/>
      </c>
      <c r="B1671" t="str">
        <f>""</f>
        <v/>
      </c>
      <c r="G1671" t="str">
        <f>"CL 201708094187"</f>
        <v>CL 201708094187</v>
      </c>
      <c r="H1671" t="str">
        <f t="shared" si="35"/>
        <v>COLONIAL</v>
      </c>
      <c r="I1671" s="2">
        <v>14.49</v>
      </c>
      <c r="J1671" t="str">
        <f t="shared" si="36"/>
        <v>COLONIAL</v>
      </c>
    </row>
    <row r="1672" spans="1:10" x14ac:dyDescent="0.3">
      <c r="A1672" t="str">
        <f>""</f>
        <v/>
      </c>
      <c r="B1672" t="str">
        <f>""</f>
        <v/>
      </c>
      <c r="G1672" t="str">
        <f>"CL 201708234445"</f>
        <v>CL 201708234445</v>
      </c>
      <c r="H1672" t="str">
        <f t="shared" si="35"/>
        <v>COLONIAL</v>
      </c>
      <c r="I1672" s="2">
        <v>743.39</v>
      </c>
      <c r="J1672" t="str">
        <f t="shared" si="36"/>
        <v>COLONIAL</v>
      </c>
    </row>
    <row r="1673" spans="1:10" x14ac:dyDescent="0.3">
      <c r="A1673" t="str">
        <f>""</f>
        <v/>
      </c>
      <c r="B1673" t="str">
        <f>""</f>
        <v/>
      </c>
      <c r="G1673" t="str">
        <f>"CL 201708244446"</f>
        <v>CL 201708244446</v>
      </c>
      <c r="H1673" t="str">
        <f t="shared" si="35"/>
        <v>COLONIAL</v>
      </c>
      <c r="I1673" s="2">
        <v>14.49</v>
      </c>
      <c r="J1673" t="str">
        <f t="shared" si="36"/>
        <v>COLONIAL</v>
      </c>
    </row>
    <row r="1674" spans="1:10" x14ac:dyDescent="0.3">
      <c r="A1674" t="str">
        <f>""</f>
        <v/>
      </c>
      <c r="B1674" t="str">
        <f>""</f>
        <v/>
      </c>
      <c r="G1674" t="str">
        <f>"CLC201708094186"</f>
        <v>CLC201708094186</v>
      </c>
      <c r="H1674" t="str">
        <f t="shared" si="35"/>
        <v>COLONIAL</v>
      </c>
      <c r="I1674" s="2">
        <v>100.6</v>
      </c>
      <c r="J1674" t="str">
        <f t="shared" si="36"/>
        <v>COLONIAL</v>
      </c>
    </row>
    <row r="1675" spans="1:10" x14ac:dyDescent="0.3">
      <c r="A1675" t="str">
        <f>""</f>
        <v/>
      </c>
      <c r="B1675" t="str">
        <f>""</f>
        <v/>
      </c>
      <c r="G1675" t="str">
        <f>"CLC201708234445"</f>
        <v>CLC201708234445</v>
      </c>
      <c r="H1675" t="str">
        <f t="shared" si="35"/>
        <v>COLONIAL</v>
      </c>
      <c r="I1675" s="2">
        <v>100.6</v>
      </c>
      <c r="J1675" t="str">
        <f t="shared" si="36"/>
        <v>COLONIAL</v>
      </c>
    </row>
    <row r="1676" spans="1:10" x14ac:dyDescent="0.3">
      <c r="A1676" t="str">
        <f>""</f>
        <v/>
      </c>
      <c r="B1676" t="str">
        <f>""</f>
        <v/>
      </c>
      <c r="G1676" t="str">
        <f>"CLI201708094186"</f>
        <v>CLI201708094186</v>
      </c>
      <c r="H1676" t="str">
        <f t="shared" si="35"/>
        <v>COLONIAL</v>
      </c>
      <c r="I1676" s="2">
        <v>491.71</v>
      </c>
      <c r="J1676" t="str">
        <f t="shared" si="36"/>
        <v>COLONIAL</v>
      </c>
    </row>
    <row r="1677" spans="1:10" x14ac:dyDescent="0.3">
      <c r="A1677" t="str">
        <f>""</f>
        <v/>
      </c>
      <c r="B1677" t="str">
        <f>""</f>
        <v/>
      </c>
      <c r="G1677" t="str">
        <f>"CLI201708234445"</f>
        <v>CLI201708234445</v>
      </c>
      <c r="H1677" t="str">
        <f t="shared" si="35"/>
        <v>COLONIAL</v>
      </c>
      <c r="I1677" s="2">
        <v>491.71</v>
      </c>
      <c r="J1677" t="str">
        <f t="shared" si="36"/>
        <v>COLONIAL</v>
      </c>
    </row>
    <row r="1678" spans="1:10" x14ac:dyDescent="0.3">
      <c r="A1678" t="str">
        <f>""</f>
        <v/>
      </c>
      <c r="B1678" t="str">
        <f>""</f>
        <v/>
      </c>
      <c r="G1678" t="str">
        <f>"CLK201708094186"</f>
        <v>CLK201708094186</v>
      </c>
      <c r="H1678" t="str">
        <f t="shared" si="35"/>
        <v>COLONIAL</v>
      </c>
      <c r="I1678" s="2">
        <v>27.09</v>
      </c>
      <c r="J1678" t="str">
        <f t="shared" si="36"/>
        <v>COLONIAL</v>
      </c>
    </row>
    <row r="1679" spans="1:10" x14ac:dyDescent="0.3">
      <c r="A1679" t="str">
        <f>""</f>
        <v/>
      </c>
      <c r="B1679" t="str">
        <f>""</f>
        <v/>
      </c>
      <c r="G1679" t="str">
        <f>"CLK201708234445"</f>
        <v>CLK201708234445</v>
      </c>
      <c r="H1679" t="str">
        <f t="shared" si="35"/>
        <v>COLONIAL</v>
      </c>
      <c r="I1679" s="2">
        <v>27.09</v>
      </c>
      <c r="J1679" t="str">
        <f t="shared" si="36"/>
        <v>COLONIAL</v>
      </c>
    </row>
    <row r="1680" spans="1:10" x14ac:dyDescent="0.3">
      <c r="A1680" t="str">
        <f>""</f>
        <v/>
      </c>
      <c r="B1680" t="str">
        <f>""</f>
        <v/>
      </c>
      <c r="G1680" t="str">
        <f>"CLS201708094186"</f>
        <v>CLS201708094186</v>
      </c>
      <c r="H1680" t="str">
        <f t="shared" si="35"/>
        <v>COLONIAL</v>
      </c>
      <c r="I1680" s="2">
        <v>340.22</v>
      </c>
      <c r="J1680" t="str">
        <f t="shared" si="36"/>
        <v>COLONIAL</v>
      </c>
    </row>
    <row r="1681" spans="1:10" x14ac:dyDescent="0.3">
      <c r="A1681" t="str">
        <f>""</f>
        <v/>
      </c>
      <c r="B1681" t="str">
        <f>""</f>
        <v/>
      </c>
      <c r="G1681" t="str">
        <f>"CLS201708094187"</f>
        <v>CLS201708094187</v>
      </c>
      <c r="H1681" t="str">
        <f t="shared" si="35"/>
        <v>COLONIAL</v>
      </c>
      <c r="I1681" s="2">
        <v>22.47</v>
      </c>
      <c r="J1681" t="str">
        <f t="shared" si="36"/>
        <v>COLONIAL</v>
      </c>
    </row>
    <row r="1682" spans="1:10" x14ac:dyDescent="0.3">
      <c r="A1682" t="str">
        <f>""</f>
        <v/>
      </c>
      <c r="B1682" t="str">
        <f>""</f>
        <v/>
      </c>
      <c r="G1682" t="str">
        <f>"CLS201708234445"</f>
        <v>CLS201708234445</v>
      </c>
      <c r="H1682" t="str">
        <f t="shared" si="35"/>
        <v>COLONIAL</v>
      </c>
      <c r="I1682" s="2">
        <v>340.22</v>
      </c>
      <c r="J1682" t="str">
        <f t="shared" si="36"/>
        <v>COLONIAL</v>
      </c>
    </row>
    <row r="1683" spans="1:10" x14ac:dyDescent="0.3">
      <c r="A1683" t="str">
        <f>""</f>
        <v/>
      </c>
      <c r="B1683" t="str">
        <f>""</f>
        <v/>
      </c>
      <c r="G1683" t="str">
        <f>"CLS201708244446"</f>
        <v>CLS201708244446</v>
      </c>
      <c r="H1683" t="str">
        <f t="shared" si="35"/>
        <v>COLONIAL</v>
      </c>
      <c r="I1683" s="2">
        <v>22.47</v>
      </c>
      <c r="J1683" t="str">
        <f t="shared" si="36"/>
        <v>COLONIAL</v>
      </c>
    </row>
    <row r="1684" spans="1:10" x14ac:dyDescent="0.3">
      <c r="A1684" t="str">
        <f>""</f>
        <v/>
      </c>
      <c r="B1684" t="str">
        <f>""</f>
        <v/>
      </c>
      <c r="G1684" t="str">
        <f>"CLT201708094186"</f>
        <v>CLT201708094186</v>
      </c>
      <c r="H1684" t="str">
        <f t="shared" si="35"/>
        <v>COLONIAL</v>
      </c>
      <c r="I1684" s="2">
        <v>402.75</v>
      </c>
      <c r="J1684" t="str">
        <f t="shared" si="36"/>
        <v>COLONIAL</v>
      </c>
    </row>
    <row r="1685" spans="1:10" x14ac:dyDescent="0.3">
      <c r="A1685" t="str">
        <f>""</f>
        <v/>
      </c>
      <c r="B1685" t="str">
        <f>""</f>
        <v/>
      </c>
      <c r="G1685" t="str">
        <f>"CLT201708234445"</f>
        <v>CLT201708234445</v>
      </c>
      <c r="H1685" t="str">
        <f t="shared" si="35"/>
        <v>COLONIAL</v>
      </c>
      <c r="I1685" s="2">
        <v>402.75</v>
      </c>
      <c r="J1685" t="str">
        <f t="shared" si="36"/>
        <v>COLONIAL</v>
      </c>
    </row>
    <row r="1686" spans="1:10" x14ac:dyDescent="0.3">
      <c r="A1686" t="str">
        <f>""</f>
        <v/>
      </c>
      <c r="B1686" t="str">
        <f>""</f>
        <v/>
      </c>
      <c r="G1686" t="str">
        <f>"CLU201708094186"</f>
        <v>CLU201708094186</v>
      </c>
      <c r="H1686" t="str">
        <f t="shared" si="35"/>
        <v>COLONIAL</v>
      </c>
      <c r="I1686" s="2">
        <v>236.1</v>
      </c>
      <c r="J1686" t="str">
        <f t="shared" si="36"/>
        <v>COLONIAL</v>
      </c>
    </row>
    <row r="1687" spans="1:10" x14ac:dyDescent="0.3">
      <c r="A1687" t="str">
        <f>""</f>
        <v/>
      </c>
      <c r="B1687" t="str">
        <f>""</f>
        <v/>
      </c>
      <c r="G1687" t="str">
        <f>"CLU201708234445"</f>
        <v>CLU201708234445</v>
      </c>
      <c r="H1687" t="str">
        <f t="shared" si="35"/>
        <v>COLONIAL</v>
      </c>
      <c r="I1687" s="2">
        <v>236.1</v>
      </c>
      <c r="J1687" t="str">
        <f t="shared" si="36"/>
        <v>COLONIAL</v>
      </c>
    </row>
    <row r="1688" spans="1:10" x14ac:dyDescent="0.3">
      <c r="A1688" t="str">
        <f>""</f>
        <v/>
      </c>
      <c r="B1688" t="str">
        <f>""</f>
        <v/>
      </c>
      <c r="G1688" t="str">
        <f>"CLW201708094186"</f>
        <v>CLW201708094186</v>
      </c>
      <c r="H1688" t="str">
        <f t="shared" si="35"/>
        <v>COLONIAL</v>
      </c>
      <c r="I1688" s="2">
        <v>43.56</v>
      </c>
      <c r="J1688" t="str">
        <f t="shared" si="36"/>
        <v>COLONIAL</v>
      </c>
    </row>
    <row r="1689" spans="1:10" x14ac:dyDescent="0.3">
      <c r="A1689" t="str">
        <f>""</f>
        <v/>
      </c>
      <c r="B1689" t="str">
        <f>""</f>
        <v/>
      </c>
      <c r="G1689" t="str">
        <f>"CLW201708234445"</f>
        <v>CLW201708234445</v>
      </c>
      <c r="H1689" t="str">
        <f t="shared" si="35"/>
        <v>COLONIAL</v>
      </c>
      <c r="I1689" s="2">
        <v>43.56</v>
      </c>
      <c r="J1689" t="str">
        <f t="shared" si="36"/>
        <v>COLONIAL</v>
      </c>
    </row>
    <row r="1690" spans="1:10" x14ac:dyDescent="0.3">
      <c r="A1690" t="str">
        <f>"01"</f>
        <v>01</v>
      </c>
      <c r="B1690" t="str">
        <f>"T14390"</f>
        <v>T14390</v>
      </c>
      <c r="C1690" t="s">
        <v>138</v>
      </c>
      <c r="D1690">
        <v>0</v>
      </c>
      <c r="E1690" s="2">
        <v>7057.99</v>
      </c>
      <c r="F1690" s="1">
        <v>42958</v>
      </c>
      <c r="G1690" t="str">
        <f>"CPI201708094186"</f>
        <v>CPI201708094186</v>
      </c>
      <c r="H1690" t="str">
        <f>"DEFERRED COMP 457B PAYABLE"</f>
        <v>DEFERRED COMP 457B PAYABLE</v>
      </c>
      <c r="I1690" s="2">
        <v>6950.49</v>
      </c>
      <c r="J1690" t="str">
        <f>"DEFERRED COMP 457B PAYABLE"</f>
        <v>DEFERRED COMP 457B PAYABLE</v>
      </c>
    </row>
    <row r="1691" spans="1:10" x14ac:dyDescent="0.3">
      <c r="A1691" t="str">
        <f>""</f>
        <v/>
      </c>
      <c r="B1691" t="str">
        <f>""</f>
        <v/>
      </c>
      <c r="G1691" t="str">
        <f>"CPI201708094187"</f>
        <v>CPI201708094187</v>
      </c>
      <c r="H1691" t="str">
        <f>"DEFERRED COMP 457B PAYABLE"</f>
        <v>DEFERRED COMP 457B PAYABLE</v>
      </c>
      <c r="I1691" s="2">
        <v>107.5</v>
      </c>
      <c r="J1691" t="str">
        <f>"DEFERRED COMP 457B PAYABLE"</f>
        <v>DEFERRED COMP 457B PAYABLE</v>
      </c>
    </row>
    <row r="1692" spans="1:10" x14ac:dyDescent="0.3">
      <c r="A1692" t="str">
        <f>"01"</f>
        <v>01</v>
      </c>
      <c r="B1692" t="str">
        <f>"T14390"</f>
        <v>T14390</v>
      </c>
      <c r="C1692" t="s">
        <v>138</v>
      </c>
      <c r="D1692">
        <v>0</v>
      </c>
      <c r="E1692" s="2">
        <v>7057.99</v>
      </c>
      <c r="F1692" s="1">
        <v>42972</v>
      </c>
      <c r="G1692" t="str">
        <f>"CPI201708234445"</f>
        <v>CPI201708234445</v>
      </c>
      <c r="H1692" t="str">
        <f>"DEFERRED COMP 457B PAYABLE"</f>
        <v>DEFERRED COMP 457B PAYABLE</v>
      </c>
      <c r="I1692" s="2">
        <v>6950.49</v>
      </c>
      <c r="J1692" t="str">
        <f>"DEFERRED COMP 457B PAYABLE"</f>
        <v>DEFERRED COMP 457B PAYABLE</v>
      </c>
    </row>
    <row r="1693" spans="1:10" x14ac:dyDescent="0.3">
      <c r="A1693" t="str">
        <f>""</f>
        <v/>
      </c>
      <c r="B1693" t="str">
        <f>""</f>
        <v/>
      </c>
      <c r="G1693" t="str">
        <f>"CPI201708244446"</f>
        <v>CPI201708244446</v>
      </c>
      <c r="H1693" t="str">
        <f>"DEFERRED COMP 457B PAYABLE"</f>
        <v>DEFERRED COMP 457B PAYABLE</v>
      </c>
      <c r="I1693" s="2">
        <v>107.5</v>
      </c>
      <c r="J1693" t="str">
        <f>"DEFERRED COMP 457B PAYABLE"</f>
        <v>DEFERRED COMP 457B PAYABLE</v>
      </c>
    </row>
    <row r="1694" spans="1:10" x14ac:dyDescent="0.3">
      <c r="A1694" t="str">
        <f>"01"</f>
        <v>01</v>
      </c>
      <c r="B1694" t="str">
        <f>"T10761"</f>
        <v>T10761</v>
      </c>
      <c r="C1694" t="s">
        <v>467</v>
      </c>
      <c r="D1694">
        <v>45782</v>
      </c>
      <c r="E1694" s="2">
        <v>1345.62</v>
      </c>
      <c r="F1694" s="1">
        <v>42958</v>
      </c>
      <c r="G1694" t="str">
        <f>"B13201708094186"</f>
        <v>B13201708094186</v>
      </c>
      <c r="H1694" t="str">
        <f>"Rosa Warren 15-10357-TMD"</f>
        <v>Rosa Warren 15-10357-TMD</v>
      </c>
      <c r="I1694" s="2">
        <v>853.85</v>
      </c>
      <c r="J1694" t="str">
        <f>"Rosa Warren 15-10357-TMD"</f>
        <v>Rosa Warren 15-10357-TMD</v>
      </c>
    </row>
    <row r="1695" spans="1:10" x14ac:dyDescent="0.3">
      <c r="A1695" t="str">
        <f>""</f>
        <v/>
      </c>
      <c r="B1695" t="str">
        <f>""</f>
        <v/>
      </c>
      <c r="G1695" t="str">
        <f>"BJL201708094186"</f>
        <v>BJL201708094186</v>
      </c>
      <c r="H1695" t="str">
        <f>"Julian Luna 14-10230-TMD"</f>
        <v>Julian Luna 14-10230-TMD</v>
      </c>
      <c r="I1695" s="2">
        <v>491.77</v>
      </c>
      <c r="J1695" t="str">
        <f>"Julian Luna 14-10230-TMD"</f>
        <v>Julian Luna 14-10230-TMD</v>
      </c>
    </row>
    <row r="1696" spans="1:10" x14ac:dyDescent="0.3">
      <c r="A1696" t="str">
        <f>"01"</f>
        <v>01</v>
      </c>
      <c r="B1696" t="str">
        <f>"T10761"</f>
        <v>T10761</v>
      </c>
      <c r="C1696" t="s">
        <v>467</v>
      </c>
      <c r="D1696">
        <v>45808</v>
      </c>
      <c r="E1696" s="2">
        <v>1345.62</v>
      </c>
      <c r="F1696" s="1">
        <v>42972</v>
      </c>
      <c r="G1696" t="str">
        <f>"B13201708234445"</f>
        <v>B13201708234445</v>
      </c>
      <c r="H1696" t="str">
        <f>"Rosa Warren 15-10357-TMD"</f>
        <v>Rosa Warren 15-10357-TMD</v>
      </c>
      <c r="I1696" s="2">
        <v>853.85</v>
      </c>
      <c r="J1696" t="str">
        <f>"Rosa Warren 15-10357-TMD"</f>
        <v>Rosa Warren 15-10357-TMD</v>
      </c>
    </row>
    <row r="1697" spans="1:10" x14ac:dyDescent="0.3">
      <c r="A1697" t="str">
        <f>""</f>
        <v/>
      </c>
      <c r="B1697" t="str">
        <f>""</f>
        <v/>
      </c>
      <c r="G1697" t="str">
        <f>"BJL201708234445"</f>
        <v>BJL201708234445</v>
      </c>
      <c r="H1697" t="str">
        <f>"Julian Luna 14-10230-TMD"</f>
        <v>Julian Luna 14-10230-TMD</v>
      </c>
      <c r="I1697" s="2">
        <v>491.77</v>
      </c>
      <c r="J1697" t="str">
        <f>"Julian Luna 14-10230-TMD"</f>
        <v>Julian Luna 14-10230-TMD</v>
      </c>
    </row>
    <row r="1698" spans="1:10" x14ac:dyDescent="0.3">
      <c r="A1698" t="str">
        <f>"01"</f>
        <v>01</v>
      </c>
      <c r="B1698" t="str">
        <f>"GUARD"</f>
        <v>GUARD</v>
      </c>
      <c r="C1698" t="s">
        <v>468</v>
      </c>
      <c r="D1698">
        <v>0</v>
      </c>
      <c r="E1698" s="2">
        <v>36746.97</v>
      </c>
      <c r="F1698" s="1">
        <v>42978</v>
      </c>
      <c r="G1698" t="str">
        <f>"201708294469"</f>
        <v>201708294469</v>
      </c>
      <c r="H1698" t="str">
        <f>"GUARDIAN Dental Rounding"</f>
        <v>GUARDIAN Dental Rounding</v>
      </c>
      <c r="I1698" s="2">
        <v>-5.8</v>
      </c>
      <c r="J1698" t="str">
        <f>"GUARDIAN Dental Rounding"</f>
        <v>GUARDIAN Dental Rounding</v>
      </c>
    </row>
    <row r="1699" spans="1:10" x14ac:dyDescent="0.3">
      <c r="A1699" t="str">
        <f>""</f>
        <v/>
      </c>
      <c r="B1699" t="str">
        <f>""</f>
        <v/>
      </c>
      <c r="G1699" t="str">
        <f>"201708294470"</f>
        <v>201708294470</v>
      </c>
      <c r="H1699" t="str">
        <f>"GUARDIAN Life Ins Rounding"</f>
        <v>GUARDIAN Life Ins Rounding</v>
      </c>
      <c r="I1699" s="2">
        <v>-0.32</v>
      </c>
      <c r="J1699" t="str">
        <f>"GUARDIAN Life Ins Rounding"</f>
        <v>GUARDIAN Life Ins Rounding</v>
      </c>
    </row>
    <row r="1700" spans="1:10" x14ac:dyDescent="0.3">
      <c r="A1700" t="str">
        <f>""</f>
        <v/>
      </c>
      <c r="B1700" t="str">
        <f>""</f>
        <v/>
      </c>
      <c r="G1700" t="str">
        <f>"201708294471"</f>
        <v>201708294471</v>
      </c>
      <c r="H1700" t="str">
        <f>"GUARDIAN LTD Rounding"</f>
        <v>GUARDIAN LTD Rounding</v>
      </c>
      <c r="I1700" s="2">
        <v>-7.0000000000000007E-2</v>
      </c>
      <c r="J1700" t="str">
        <f>"GUARDIAN LTD Rounding"</f>
        <v>GUARDIAN LTD Rounding</v>
      </c>
    </row>
    <row r="1701" spans="1:10" x14ac:dyDescent="0.3">
      <c r="A1701" t="str">
        <f>""</f>
        <v/>
      </c>
      <c r="B1701" t="str">
        <f>""</f>
        <v/>
      </c>
      <c r="G1701" t="str">
        <f>"201708294467"</f>
        <v>201708294467</v>
      </c>
      <c r="H1701" t="str">
        <f>"Retiree Dental/Vision"</f>
        <v>Retiree Dental/Vision</v>
      </c>
      <c r="I1701" s="2">
        <v>2851.35</v>
      </c>
      <c r="J1701" t="str">
        <f>"Retiree Dental/Vision"</f>
        <v>Retiree Dental/Vision</v>
      </c>
    </row>
    <row r="1702" spans="1:10" x14ac:dyDescent="0.3">
      <c r="A1702" t="str">
        <f>""</f>
        <v/>
      </c>
      <c r="B1702" t="str">
        <f>""</f>
        <v/>
      </c>
      <c r="G1702" t="str">
        <f>"201708294468"</f>
        <v>201708294468</v>
      </c>
      <c r="H1702" t="str">
        <f>"Retiree Life Coverage"</f>
        <v>Retiree Life Coverage</v>
      </c>
      <c r="I1702" s="2">
        <v>132.19</v>
      </c>
      <c r="J1702" t="str">
        <f>"Retiree Life Coverage"</f>
        <v>Retiree Life Coverage</v>
      </c>
    </row>
    <row r="1703" spans="1:10" x14ac:dyDescent="0.3">
      <c r="A1703" t="str">
        <f>""</f>
        <v/>
      </c>
      <c r="B1703" t="str">
        <f>""</f>
        <v/>
      </c>
      <c r="G1703" t="str">
        <f>"ADC201708094186"</f>
        <v>ADC201708094186</v>
      </c>
      <c r="H1703" t="str">
        <f t="shared" ref="H1703:H1715" si="37">"GUARDIAN"</f>
        <v>GUARDIAN</v>
      </c>
      <c r="I1703" s="2">
        <v>5.83</v>
      </c>
      <c r="J1703" t="str">
        <f t="shared" ref="J1703:J1766" si="38">"GUARDIAN"</f>
        <v>GUARDIAN</v>
      </c>
    </row>
    <row r="1704" spans="1:10" x14ac:dyDescent="0.3">
      <c r="A1704" t="str">
        <f>""</f>
        <v/>
      </c>
      <c r="B1704" t="str">
        <f>""</f>
        <v/>
      </c>
      <c r="G1704" t="str">
        <f>"ADC201708094187"</f>
        <v>ADC201708094187</v>
      </c>
      <c r="H1704" t="str">
        <f t="shared" si="37"/>
        <v>GUARDIAN</v>
      </c>
      <c r="I1704" s="2">
        <v>0.16</v>
      </c>
      <c r="J1704" t="str">
        <f t="shared" si="38"/>
        <v>GUARDIAN</v>
      </c>
    </row>
    <row r="1705" spans="1:10" x14ac:dyDescent="0.3">
      <c r="A1705" t="str">
        <f>""</f>
        <v/>
      </c>
      <c r="B1705" t="str">
        <f>""</f>
        <v/>
      </c>
      <c r="G1705" t="str">
        <f>"ADC201708234445"</f>
        <v>ADC201708234445</v>
      </c>
      <c r="H1705" t="str">
        <f t="shared" si="37"/>
        <v>GUARDIAN</v>
      </c>
      <c r="I1705" s="2">
        <v>5.23</v>
      </c>
      <c r="J1705" t="str">
        <f t="shared" si="38"/>
        <v>GUARDIAN</v>
      </c>
    </row>
    <row r="1706" spans="1:10" x14ac:dyDescent="0.3">
      <c r="A1706" t="str">
        <f>""</f>
        <v/>
      </c>
      <c r="B1706" t="str">
        <f>""</f>
        <v/>
      </c>
      <c r="G1706" t="str">
        <f>"ADC201708244446"</f>
        <v>ADC201708244446</v>
      </c>
      <c r="H1706" t="str">
        <f t="shared" si="37"/>
        <v>GUARDIAN</v>
      </c>
      <c r="I1706" s="2">
        <v>0.16</v>
      </c>
      <c r="J1706" t="str">
        <f t="shared" si="38"/>
        <v>GUARDIAN</v>
      </c>
    </row>
    <row r="1707" spans="1:10" x14ac:dyDescent="0.3">
      <c r="A1707" t="str">
        <f>""</f>
        <v/>
      </c>
      <c r="B1707" t="str">
        <f>""</f>
        <v/>
      </c>
      <c r="G1707" t="str">
        <f>"ADE201708094186"</f>
        <v>ADE201708094186</v>
      </c>
      <c r="H1707" t="str">
        <f t="shared" si="37"/>
        <v>GUARDIAN</v>
      </c>
      <c r="I1707" s="2">
        <v>214.59</v>
      </c>
      <c r="J1707" t="str">
        <f t="shared" si="38"/>
        <v>GUARDIAN</v>
      </c>
    </row>
    <row r="1708" spans="1:10" x14ac:dyDescent="0.3">
      <c r="A1708" t="str">
        <f>""</f>
        <v/>
      </c>
      <c r="B1708" t="str">
        <f>""</f>
        <v/>
      </c>
      <c r="G1708" t="str">
        <f>"ADE201708094187"</f>
        <v>ADE201708094187</v>
      </c>
      <c r="H1708" t="str">
        <f t="shared" si="37"/>
        <v>GUARDIAN</v>
      </c>
      <c r="I1708" s="2">
        <v>6.6</v>
      </c>
      <c r="J1708" t="str">
        <f t="shared" si="38"/>
        <v>GUARDIAN</v>
      </c>
    </row>
    <row r="1709" spans="1:10" x14ac:dyDescent="0.3">
      <c r="A1709" t="str">
        <f>""</f>
        <v/>
      </c>
      <c r="B1709" t="str">
        <f>""</f>
        <v/>
      </c>
      <c r="G1709" t="str">
        <f>"ADE201708234445"</f>
        <v>ADE201708234445</v>
      </c>
      <c r="H1709" t="str">
        <f t="shared" si="37"/>
        <v>GUARDIAN</v>
      </c>
      <c r="I1709" s="2">
        <v>201.09</v>
      </c>
      <c r="J1709" t="str">
        <f t="shared" si="38"/>
        <v>GUARDIAN</v>
      </c>
    </row>
    <row r="1710" spans="1:10" x14ac:dyDescent="0.3">
      <c r="A1710" t="str">
        <f>""</f>
        <v/>
      </c>
      <c r="B1710" t="str">
        <f>""</f>
        <v/>
      </c>
      <c r="G1710" t="str">
        <f>"ADE201708244446"</f>
        <v>ADE201708244446</v>
      </c>
      <c r="H1710" t="str">
        <f t="shared" si="37"/>
        <v>GUARDIAN</v>
      </c>
      <c r="I1710" s="2">
        <v>6.6</v>
      </c>
      <c r="J1710" t="str">
        <f t="shared" si="38"/>
        <v>GUARDIAN</v>
      </c>
    </row>
    <row r="1711" spans="1:10" x14ac:dyDescent="0.3">
      <c r="A1711" t="str">
        <f>""</f>
        <v/>
      </c>
      <c r="B1711" t="str">
        <f>""</f>
        <v/>
      </c>
      <c r="G1711" t="str">
        <f>"ADS201708094186"</f>
        <v>ADS201708094186</v>
      </c>
      <c r="H1711" t="str">
        <f t="shared" si="37"/>
        <v>GUARDIAN</v>
      </c>
      <c r="I1711" s="2">
        <v>37.090000000000003</v>
      </c>
      <c r="J1711" t="str">
        <f t="shared" si="38"/>
        <v>GUARDIAN</v>
      </c>
    </row>
    <row r="1712" spans="1:10" x14ac:dyDescent="0.3">
      <c r="A1712" t="str">
        <f>""</f>
        <v/>
      </c>
      <c r="B1712" t="str">
        <f>""</f>
        <v/>
      </c>
      <c r="G1712" t="str">
        <f>"ADS201708094187"</f>
        <v>ADS201708094187</v>
      </c>
      <c r="H1712" t="str">
        <f t="shared" si="37"/>
        <v>GUARDIAN</v>
      </c>
      <c r="I1712" s="2">
        <v>0.98</v>
      </c>
      <c r="J1712" t="str">
        <f t="shared" si="38"/>
        <v>GUARDIAN</v>
      </c>
    </row>
    <row r="1713" spans="1:10" x14ac:dyDescent="0.3">
      <c r="A1713" t="str">
        <f>""</f>
        <v/>
      </c>
      <c r="B1713" t="str">
        <f>""</f>
        <v/>
      </c>
      <c r="G1713" t="str">
        <f>"ADS201708234445"</f>
        <v>ADS201708234445</v>
      </c>
      <c r="H1713" t="str">
        <f t="shared" si="37"/>
        <v>GUARDIAN</v>
      </c>
      <c r="I1713" s="2">
        <v>33.19</v>
      </c>
      <c r="J1713" t="str">
        <f t="shared" si="38"/>
        <v>GUARDIAN</v>
      </c>
    </row>
    <row r="1714" spans="1:10" x14ac:dyDescent="0.3">
      <c r="A1714" t="str">
        <f>""</f>
        <v/>
      </c>
      <c r="B1714" t="str">
        <f>""</f>
        <v/>
      </c>
      <c r="G1714" t="str">
        <f>"ADS201708244446"</f>
        <v>ADS201708244446</v>
      </c>
      <c r="H1714" t="str">
        <f t="shared" si="37"/>
        <v>GUARDIAN</v>
      </c>
      <c r="I1714" s="2">
        <v>0.98</v>
      </c>
      <c r="J1714" t="str">
        <f t="shared" si="38"/>
        <v>GUARDIAN</v>
      </c>
    </row>
    <row r="1715" spans="1:10" x14ac:dyDescent="0.3">
      <c r="A1715" t="str">
        <f>""</f>
        <v/>
      </c>
      <c r="B1715" t="str">
        <f>""</f>
        <v/>
      </c>
      <c r="G1715" t="str">
        <f>"GDC201708094186"</f>
        <v>GDC201708094186</v>
      </c>
      <c r="H1715" t="str">
        <f t="shared" si="37"/>
        <v>GUARDIAN</v>
      </c>
      <c r="I1715" s="2">
        <v>2416.1</v>
      </c>
      <c r="J1715" t="str">
        <f t="shared" si="38"/>
        <v>GUARDIAN</v>
      </c>
    </row>
    <row r="1716" spans="1:10" x14ac:dyDescent="0.3">
      <c r="A1716" t="str">
        <f>""</f>
        <v/>
      </c>
      <c r="B1716" t="str">
        <f>""</f>
        <v/>
      </c>
      <c r="G1716" t="str">
        <f>""</f>
        <v/>
      </c>
      <c r="H1716" t="str">
        <f>""</f>
        <v/>
      </c>
      <c r="J1716" t="str">
        <f t="shared" si="38"/>
        <v>GUARDIAN</v>
      </c>
    </row>
    <row r="1717" spans="1:10" x14ac:dyDescent="0.3">
      <c r="A1717" t="str">
        <f>""</f>
        <v/>
      </c>
      <c r="B1717" t="str">
        <f>""</f>
        <v/>
      </c>
      <c r="G1717" t="str">
        <f>""</f>
        <v/>
      </c>
      <c r="H1717" t="str">
        <f>""</f>
        <v/>
      </c>
      <c r="J1717" t="str">
        <f t="shared" si="38"/>
        <v>GUARDIAN</v>
      </c>
    </row>
    <row r="1718" spans="1:10" x14ac:dyDescent="0.3">
      <c r="A1718" t="str">
        <f>""</f>
        <v/>
      </c>
      <c r="B1718" t="str">
        <f>""</f>
        <v/>
      </c>
      <c r="G1718" t="str">
        <f>""</f>
        <v/>
      </c>
      <c r="H1718" t="str">
        <f>""</f>
        <v/>
      </c>
      <c r="J1718" t="str">
        <f t="shared" si="38"/>
        <v>GUARDIAN</v>
      </c>
    </row>
    <row r="1719" spans="1:10" x14ac:dyDescent="0.3">
      <c r="A1719" t="str">
        <f>""</f>
        <v/>
      </c>
      <c r="B1719" t="str">
        <f>""</f>
        <v/>
      </c>
      <c r="G1719" t="str">
        <f>""</f>
        <v/>
      </c>
      <c r="H1719" t="str">
        <f>""</f>
        <v/>
      </c>
      <c r="J1719" t="str">
        <f t="shared" si="38"/>
        <v>GUARDIAN</v>
      </c>
    </row>
    <row r="1720" spans="1:10" x14ac:dyDescent="0.3">
      <c r="A1720" t="str">
        <f>""</f>
        <v/>
      </c>
      <c r="B1720" t="str">
        <f>""</f>
        <v/>
      </c>
      <c r="G1720" t="str">
        <f>""</f>
        <v/>
      </c>
      <c r="H1720" t="str">
        <f>""</f>
        <v/>
      </c>
      <c r="J1720" t="str">
        <f t="shared" si="38"/>
        <v>GUARDIAN</v>
      </c>
    </row>
    <row r="1721" spans="1:10" x14ac:dyDescent="0.3">
      <c r="A1721" t="str">
        <f>""</f>
        <v/>
      </c>
      <c r="B1721" t="str">
        <f>""</f>
        <v/>
      </c>
      <c r="G1721" t="str">
        <f>""</f>
        <v/>
      </c>
      <c r="H1721" t="str">
        <f>""</f>
        <v/>
      </c>
      <c r="J1721" t="str">
        <f t="shared" si="38"/>
        <v>GUARDIAN</v>
      </c>
    </row>
    <row r="1722" spans="1:10" x14ac:dyDescent="0.3">
      <c r="A1722" t="str">
        <f>""</f>
        <v/>
      </c>
      <c r="B1722" t="str">
        <f>""</f>
        <v/>
      </c>
      <c r="G1722" t="str">
        <f>""</f>
        <v/>
      </c>
      <c r="H1722" t="str">
        <f>""</f>
        <v/>
      </c>
      <c r="J1722" t="str">
        <f t="shared" si="38"/>
        <v>GUARDIAN</v>
      </c>
    </row>
    <row r="1723" spans="1:10" x14ac:dyDescent="0.3">
      <c r="A1723" t="str">
        <f>""</f>
        <v/>
      </c>
      <c r="B1723" t="str">
        <f>""</f>
        <v/>
      </c>
      <c r="G1723" t="str">
        <f>""</f>
        <v/>
      </c>
      <c r="H1723" t="str">
        <f>""</f>
        <v/>
      </c>
      <c r="J1723" t="str">
        <f t="shared" si="38"/>
        <v>GUARDIAN</v>
      </c>
    </row>
    <row r="1724" spans="1:10" x14ac:dyDescent="0.3">
      <c r="A1724" t="str">
        <f>""</f>
        <v/>
      </c>
      <c r="B1724" t="str">
        <f>""</f>
        <v/>
      </c>
      <c r="G1724" t="str">
        <f>""</f>
        <v/>
      </c>
      <c r="H1724" t="str">
        <f>""</f>
        <v/>
      </c>
      <c r="J1724" t="str">
        <f t="shared" si="38"/>
        <v>GUARDIAN</v>
      </c>
    </row>
    <row r="1725" spans="1:10" x14ac:dyDescent="0.3">
      <c r="A1725" t="str">
        <f>""</f>
        <v/>
      </c>
      <c r="B1725" t="str">
        <f>""</f>
        <v/>
      </c>
      <c r="G1725" t="str">
        <f>""</f>
        <v/>
      </c>
      <c r="H1725" t="str">
        <f>""</f>
        <v/>
      </c>
      <c r="J1725" t="str">
        <f t="shared" si="38"/>
        <v>GUARDIAN</v>
      </c>
    </row>
    <row r="1726" spans="1:10" x14ac:dyDescent="0.3">
      <c r="A1726" t="str">
        <f>""</f>
        <v/>
      </c>
      <c r="B1726" t="str">
        <f>""</f>
        <v/>
      </c>
      <c r="G1726" t="str">
        <f>""</f>
        <v/>
      </c>
      <c r="H1726" t="str">
        <f>""</f>
        <v/>
      </c>
      <c r="J1726" t="str">
        <f t="shared" si="38"/>
        <v>GUARDIAN</v>
      </c>
    </row>
    <row r="1727" spans="1:10" x14ac:dyDescent="0.3">
      <c r="A1727" t="str">
        <f>""</f>
        <v/>
      </c>
      <c r="B1727" t="str">
        <f>""</f>
        <v/>
      </c>
      <c r="G1727" t="str">
        <f>""</f>
        <v/>
      </c>
      <c r="H1727" t="str">
        <f>""</f>
        <v/>
      </c>
      <c r="J1727" t="str">
        <f t="shared" si="38"/>
        <v>GUARDIAN</v>
      </c>
    </row>
    <row r="1728" spans="1:10" x14ac:dyDescent="0.3">
      <c r="A1728" t="str">
        <f>""</f>
        <v/>
      </c>
      <c r="B1728" t="str">
        <f>""</f>
        <v/>
      </c>
      <c r="G1728" t="str">
        <f>""</f>
        <v/>
      </c>
      <c r="H1728" t="str">
        <f>""</f>
        <v/>
      </c>
      <c r="J1728" t="str">
        <f t="shared" si="38"/>
        <v>GUARDIAN</v>
      </c>
    </row>
    <row r="1729" spans="1:10" x14ac:dyDescent="0.3">
      <c r="A1729" t="str">
        <f>""</f>
        <v/>
      </c>
      <c r="B1729" t="str">
        <f>""</f>
        <v/>
      </c>
      <c r="G1729" t="str">
        <f>""</f>
        <v/>
      </c>
      <c r="H1729" t="str">
        <f>""</f>
        <v/>
      </c>
      <c r="J1729" t="str">
        <f t="shared" si="38"/>
        <v>GUARDIAN</v>
      </c>
    </row>
    <row r="1730" spans="1:10" x14ac:dyDescent="0.3">
      <c r="A1730" t="str">
        <f>""</f>
        <v/>
      </c>
      <c r="B1730" t="str">
        <f>""</f>
        <v/>
      </c>
      <c r="G1730" t="str">
        <f>""</f>
        <v/>
      </c>
      <c r="H1730" t="str">
        <f>""</f>
        <v/>
      </c>
      <c r="J1730" t="str">
        <f t="shared" si="38"/>
        <v>GUARDIAN</v>
      </c>
    </row>
    <row r="1731" spans="1:10" x14ac:dyDescent="0.3">
      <c r="A1731" t="str">
        <f>""</f>
        <v/>
      </c>
      <c r="B1731" t="str">
        <f>""</f>
        <v/>
      </c>
      <c r="G1731" t="str">
        <f>""</f>
        <v/>
      </c>
      <c r="H1731" t="str">
        <f>""</f>
        <v/>
      </c>
      <c r="J1731" t="str">
        <f t="shared" si="38"/>
        <v>GUARDIAN</v>
      </c>
    </row>
    <row r="1732" spans="1:10" x14ac:dyDescent="0.3">
      <c r="A1732" t="str">
        <f>""</f>
        <v/>
      </c>
      <c r="B1732" t="str">
        <f>""</f>
        <v/>
      </c>
      <c r="G1732" t="str">
        <f>""</f>
        <v/>
      </c>
      <c r="H1732" t="str">
        <f>""</f>
        <v/>
      </c>
      <c r="J1732" t="str">
        <f t="shared" si="38"/>
        <v>GUARDIAN</v>
      </c>
    </row>
    <row r="1733" spans="1:10" x14ac:dyDescent="0.3">
      <c r="A1733" t="str">
        <f>""</f>
        <v/>
      </c>
      <c r="B1733" t="str">
        <f>""</f>
        <v/>
      </c>
      <c r="G1733" t="str">
        <f>""</f>
        <v/>
      </c>
      <c r="H1733" t="str">
        <f>""</f>
        <v/>
      </c>
      <c r="J1733" t="str">
        <f t="shared" si="38"/>
        <v>GUARDIAN</v>
      </c>
    </row>
    <row r="1734" spans="1:10" x14ac:dyDescent="0.3">
      <c r="A1734" t="str">
        <f>""</f>
        <v/>
      </c>
      <c r="B1734" t="str">
        <f>""</f>
        <v/>
      </c>
      <c r="G1734" t="str">
        <f>""</f>
        <v/>
      </c>
      <c r="H1734" t="str">
        <f>""</f>
        <v/>
      </c>
      <c r="J1734" t="str">
        <f t="shared" si="38"/>
        <v>GUARDIAN</v>
      </c>
    </row>
    <row r="1735" spans="1:10" x14ac:dyDescent="0.3">
      <c r="A1735" t="str">
        <f>""</f>
        <v/>
      </c>
      <c r="B1735" t="str">
        <f>""</f>
        <v/>
      </c>
      <c r="G1735" t="str">
        <f>""</f>
        <v/>
      </c>
      <c r="H1735" t="str">
        <f>""</f>
        <v/>
      </c>
      <c r="J1735" t="str">
        <f t="shared" si="38"/>
        <v>GUARDIAN</v>
      </c>
    </row>
    <row r="1736" spans="1:10" x14ac:dyDescent="0.3">
      <c r="A1736" t="str">
        <f>""</f>
        <v/>
      </c>
      <c r="B1736" t="str">
        <f>""</f>
        <v/>
      </c>
      <c r="G1736" t="str">
        <f>""</f>
        <v/>
      </c>
      <c r="H1736" t="str">
        <f>""</f>
        <v/>
      </c>
      <c r="J1736" t="str">
        <f t="shared" si="38"/>
        <v>GUARDIAN</v>
      </c>
    </row>
    <row r="1737" spans="1:10" x14ac:dyDescent="0.3">
      <c r="A1737" t="str">
        <f>""</f>
        <v/>
      </c>
      <c r="B1737" t="str">
        <f>""</f>
        <v/>
      </c>
      <c r="G1737" t="str">
        <f>""</f>
        <v/>
      </c>
      <c r="H1737" t="str">
        <f>""</f>
        <v/>
      </c>
      <c r="J1737" t="str">
        <f t="shared" si="38"/>
        <v>GUARDIAN</v>
      </c>
    </row>
    <row r="1738" spans="1:10" x14ac:dyDescent="0.3">
      <c r="A1738" t="str">
        <f>""</f>
        <v/>
      </c>
      <c r="B1738" t="str">
        <f>""</f>
        <v/>
      </c>
      <c r="G1738" t="str">
        <f>""</f>
        <v/>
      </c>
      <c r="H1738" t="str">
        <f>""</f>
        <v/>
      </c>
      <c r="J1738" t="str">
        <f t="shared" si="38"/>
        <v>GUARDIAN</v>
      </c>
    </row>
    <row r="1739" spans="1:10" x14ac:dyDescent="0.3">
      <c r="A1739" t="str">
        <f>""</f>
        <v/>
      </c>
      <c r="B1739" t="str">
        <f>""</f>
        <v/>
      </c>
      <c r="G1739" t="str">
        <f>""</f>
        <v/>
      </c>
      <c r="H1739" t="str">
        <f>""</f>
        <v/>
      </c>
      <c r="J1739" t="str">
        <f t="shared" si="38"/>
        <v>GUARDIAN</v>
      </c>
    </row>
    <row r="1740" spans="1:10" x14ac:dyDescent="0.3">
      <c r="A1740" t="str">
        <f>""</f>
        <v/>
      </c>
      <c r="B1740" t="str">
        <f>""</f>
        <v/>
      </c>
      <c r="G1740" t="str">
        <f>""</f>
        <v/>
      </c>
      <c r="H1740" t="str">
        <f>""</f>
        <v/>
      </c>
      <c r="J1740" t="str">
        <f t="shared" si="38"/>
        <v>GUARDIAN</v>
      </c>
    </row>
    <row r="1741" spans="1:10" x14ac:dyDescent="0.3">
      <c r="A1741" t="str">
        <f>""</f>
        <v/>
      </c>
      <c r="B1741" t="str">
        <f>""</f>
        <v/>
      </c>
      <c r="G1741" t="str">
        <f>""</f>
        <v/>
      </c>
      <c r="H1741" t="str">
        <f>""</f>
        <v/>
      </c>
      <c r="J1741" t="str">
        <f t="shared" si="38"/>
        <v>GUARDIAN</v>
      </c>
    </row>
    <row r="1742" spans="1:10" x14ac:dyDescent="0.3">
      <c r="A1742" t="str">
        <f>""</f>
        <v/>
      </c>
      <c r="B1742" t="str">
        <f>""</f>
        <v/>
      </c>
      <c r="G1742" t="str">
        <f>""</f>
        <v/>
      </c>
      <c r="H1742" t="str">
        <f>""</f>
        <v/>
      </c>
      <c r="J1742" t="str">
        <f t="shared" si="38"/>
        <v>GUARDIAN</v>
      </c>
    </row>
    <row r="1743" spans="1:10" x14ac:dyDescent="0.3">
      <c r="A1743" t="str">
        <f>""</f>
        <v/>
      </c>
      <c r="B1743" t="str">
        <f>""</f>
        <v/>
      </c>
      <c r="G1743" t="str">
        <f>""</f>
        <v/>
      </c>
      <c r="H1743" t="str">
        <f>""</f>
        <v/>
      </c>
      <c r="J1743" t="str">
        <f t="shared" si="38"/>
        <v>GUARDIAN</v>
      </c>
    </row>
    <row r="1744" spans="1:10" x14ac:dyDescent="0.3">
      <c r="A1744" t="str">
        <f>""</f>
        <v/>
      </c>
      <c r="B1744" t="str">
        <f>""</f>
        <v/>
      </c>
      <c r="G1744" t="str">
        <f>"GDC201708094187"</f>
        <v>GDC201708094187</v>
      </c>
      <c r="H1744" t="str">
        <f>"GUARDIAN"</f>
        <v>GUARDIAN</v>
      </c>
      <c r="I1744" s="2">
        <v>130.6</v>
      </c>
      <c r="J1744" t="str">
        <f t="shared" si="38"/>
        <v>GUARDIAN</v>
      </c>
    </row>
    <row r="1745" spans="1:10" x14ac:dyDescent="0.3">
      <c r="A1745" t="str">
        <f>""</f>
        <v/>
      </c>
      <c r="B1745" t="str">
        <f>""</f>
        <v/>
      </c>
      <c r="G1745" t="str">
        <f>""</f>
        <v/>
      </c>
      <c r="H1745" t="str">
        <f>""</f>
        <v/>
      </c>
      <c r="J1745" t="str">
        <f t="shared" si="38"/>
        <v>GUARDIAN</v>
      </c>
    </row>
    <row r="1746" spans="1:10" x14ac:dyDescent="0.3">
      <c r="A1746" t="str">
        <f>""</f>
        <v/>
      </c>
      <c r="B1746" t="str">
        <f>""</f>
        <v/>
      </c>
      <c r="G1746" t="str">
        <f>"GDC201708234445"</f>
        <v>GDC201708234445</v>
      </c>
      <c r="H1746" t="str">
        <f>"GUARDIAN"</f>
        <v>GUARDIAN</v>
      </c>
      <c r="I1746" s="2">
        <v>2416.1</v>
      </c>
      <c r="J1746" t="str">
        <f t="shared" si="38"/>
        <v>GUARDIAN</v>
      </c>
    </row>
    <row r="1747" spans="1:10" x14ac:dyDescent="0.3">
      <c r="A1747" t="str">
        <f>""</f>
        <v/>
      </c>
      <c r="B1747" t="str">
        <f>""</f>
        <v/>
      </c>
      <c r="G1747" t="str">
        <f>""</f>
        <v/>
      </c>
      <c r="H1747" t="str">
        <f>""</f>
        <v/>
      </c>
      <c r="J1747" t="str">
        <f t="shared" si="38"/>
        <v>GUARDIAN</v>
      </c>
    </row>
    <row r="1748" spans="1:10" x14ac:dyDescent="0.3">
      <c r="A1748" t="str">
        <f>""</f>
        <v/>
      </c>
      <c r="B1748" t="str">
        <f>""</f>
        <v/>
      </c>
      <c r="G1748" t="str">
        <f>""</f>
        <v/>
      </c>
      <c r="H1748" t="str">
        <f>""</f>
        <v/>
      </c>
      <c r="J1748" t="str">
        <f t="shared" si="38"/>
        <v>GUARDIAN</v>
      </c>
    </row>
    <row r="1749" spans="1:10" x14ac:dyDescent="0.3">
      <c r="A1749" t="str">
        <f>""</f>
        <v/>
      </c>
      <c r="B1749" t="str">
        <f>""</f>
        <v/>
      </c>
      <c r="G1749" t="str">
        <f>""</f>
        <v/>
      </c>
      <c r="H1749" t="str">
        <f>""</f>
        <v/>
      </c>
      <c r="J1749" t="str">
        <f t="shared" si="38"/>
        <v>GUARDIAN</v>
      </c>
    </row>
    <row r="1750" spans="1:10" x14ac:dyDescent="0.3">
      <c r="A1750" t="str">
        <f>""</f>
        <v/>
      </c>
      <c r="B1750" t="str">
        <f>""</f>
        <v/>
      </c>
      <c r="G1750" t="str">
        <f>""</f>
        <v/>
      </c>
      <c r="H1750" t="str">
        <f>""</f>
        <v/>
      </c>
      <c r="J1750" t="str">
        <f t="shared" si="38"/>
        <v>GUARDIAN</v>
      </c>
    </row>
    <row r="1751" spans="1:10" x14ac:dyDescent="0.3">
      <c r="A1751" t="str">
        <f>""</f>
        <v/>
      </c>
      <c r="B1751" t="str">
        <f>""</f>
        <v/>
      </c>
      <c r="G1751" t="str">
        <f>""</f>
        <v/>
      </c>
      <c r="H1751" t="str">
        <f>""</f>
        <v/>
      </c>
      <c r="J1751" t="str">
        <f t="shared" si="38"/>
        <v>GUARDIAN</v>
      </c>
    </row>
    <row r="1752" spans="1:10" x14ac:dyDescent="0.3">
      <c r="A1752" t="str">
        <f>""</f>
        <v/>
      </c>
      <c r="B1752" t="str">
        <f>""</f>
        <v/>
      </c>
      <c r="G1752" t="str">
        <f>""</f>
        <v/>
      </c>
      <c r="H1752" t="str">
        <f>""</f>
        <v/>
      </c>
      <c r="J1752" t="str">
        <f t="shared" si="38"/>
        <v>GUARDIAN</v>
      </c>
    </row>
    <row r="1753" spans="1:10" x14ac:dyDescent="0.3">
      <c r="A1753" t="str">
        <f>""</f>
        <v/>
      </c>
      <c r="B1753" t="str">
        <f>""</f>
        <v/>
      </c>
      <c r="G1753" t="str">
        <f>""</f>
        <v/>
      </c>
      <c r="H1753" t="str">
        <f>""</f>
        <v/>
      </c>
      <c r="J1753" t="str">
        <f t="shared" si="38"/>
        <v>GUARDIAN</v>
      </c>
    </row>
    <row r="1754" spans="1:10" x14ac:dyDescent="0.3">
      <c r="A1754" t="str">
        <f>""</f>
        <v/>
      </c>
      <c r="B1754" t="str">
        <f>""</f>
        <v/>
      </c>
      <c r="G1754" t="str">
        <f>""</f>
        <v/>
      </c>
      <c r="H1754" t="str">
        <f>""</f>
        <v/>
      </c>
      <c r="J1754" t="str">
        <f t="shared" si="38"/>
        <v>GUARDIAN</v>
      </c>
    </row>
    <row r="1755" spans="1:10" x14ac:dyDescent="0.3">
      <c r="A1755" t="str">
        <f>""</f>
        <v/>
      </c>
      <c r="B1755" t="str">
        <f>""</f>
        <v/>
      </c>
      <c r="G1755" t="str">
        <f>""</f>
        <v/>
      </c>
      <c r="H1755" t="str">
        <f>""</f>
        <v/>
      </c>
      <c r="J1755" t="str">
        <f t="shared" si="38"/>
        <v>GUARDIAN</v>
      </c>
    </row>
    <row r="1756" spans="1:10" x14ac:dyDescent="0.3">
      <c r="A1756" t="str">
        <f>""</f>
        <v/>
      </c>
      <c r="B1756" t="str">
        <f>""</f>
        <v/>
      </c>
      <c r="G1756" t="str">
        <f>""</f>
        <v/>
      </c>
      <c r="H1756" t="str">
        <f>""</f>
        <v/>
      </c>
      <c r="J1756" t="str">
        <f t="shared" si="38"/>
        <v>GUARDIAN</v>
      </c>
    </row>
    <row r="1757" spans="1:10" x14ac:dyDescent="0.3">
      <c r="A1757" t="str">
        <f>""</f>
        <v/>
      </c>
      <c r="B1757" t="str">
        <f>""</f>
        <v/>
      </c>
      <c r="G1757" t="str">
        <f>""</f>
        <v/>
      </c>
      <c r="H1757" t="str">
        <f>""</f>
        <v/>
      </c>
      <c r="J1757" t="str">
        <f t="shared" si="38"/>
        <v>GUARDIAN</v>
      </c>
    </row>
    <row r="1758" spans="1:10" x14ac:dyDescent="0.3">
      <c r="A1758" t="str">
        <f>""</f>
        <v/>
      </c>
      <c r="B1758" t="str">
        <f>""</f>
        <v/>
      </c>
      <c r="G1758" t="str">
        <f>""</f>
        <v/>
      </c>
      <c r="H1758" t="str">
        <f>""</f>
        <v/>
      </c>
      <c r="J1758" t="str">
        <f t="shared" si="38"/>
        <v>GUARDIAN</v>
      </c>
    </row>
    <row r="1759" spans="1:10" x14ac:dyDescent="0.3">
      <c r="A1759" t="str">
        <f>""</f>
        <v/>
      </c>
      <c r="B1759" t="str">
        <f>""</f>
        <v/>
      </c>
      <c r="G1759" t="str">
        <f>""</f>
        <v/>
      </c>
      <c r="H1759" t="str">
        <f>""</f>
        <v/>
      </c>
      <c r="J1759" t="str">
        <f t="shared" si="38"/>
        <v>GUARDIAN</v>
      </c>
    </row>
    <row r="1760" spans="1:10" x14ac:dyDescent="0.3">
      <c r="A1760" t="str">
        <f>""</f>
        <v/>
      </c>
      <c r="B1760" t="str">
        <f>""</f>
        <v/>
      </c>
      <c r="G1760" t="str">
        <f>""</f>
        <v/>
      </c>
      <c r="H1760" t="str">
        <f>""</f>
        <v/>
      </c>
      <c r="J1760" t="str">
        <f t="shared" si="38"/>
        <v>GUARDIAN</v>
      </c>
    </row>
    <row r="1761" spans="1:10" x14ac:dyDescent="0.3">
      <c r="A1761" t="str">
        <f>""</f>
        <v/>
      </c>
      <c r="B1761" t="str">
        <f>""</f>
        <v/>
      </c>
      <c r="G1761" t="str">
        <f>""</f>
        <v/>
      </c>
      <c r="H1761" t="str">
        <f>""</f>
        <v/>
      </c>
      <c r="J1761" t="str">
        <f t="shared" si="38"/>
        <v>GUARDIAN</v>
      </c>
    </row>
    <row r="1762" spans="1:10" x14ac:dyDescent="0.3">
      <c r="A1762" t="str">
        <f>""</f>
        <v/>
      </c>
      <c r="B1762" t="str">
        <f>""</f>
        <v/>
      </c>
      <c r="G1762" t="str">
        <f>""</f>
        <v/>
      </c>
      <c r="H1762" t="str">
        <f>""</f>
        <v/>
      </c>
      <c r="J1762" t="str">
        <f t="shared" si="38"/>
        <v>GUARDIAN</v>
      </c>
    </row>
    <row r="1763" spans="1:10" x14ac:dyDescent="0.3">
      <c r="A1763" t="str">
        <f>""</f>
        <v/>
      </c>
      <c r="B1763" t="str">
        <f>""</f>
        <v/>
      </c>
      <c r="G1763" t="str">
        <f>""</f>
        <v/>
      </c>
      <c r="H1763" t="str">
        <f>""</f>
        <v/>
      </c>
      <c r="J1763" t="str">
        <f t="shared" si="38"/>
        <v>GUARDIAN</v>
      </c>
    </row>
    <row r="1764" spans="1:10" x14ac:dyDescent="0.3">
      <c r="A1764" t="str">
        <f>""</f>
        <v/>
      </c>
      <c r="B1764" t="str">
        <f>""</f>
        <v/>
      </c>
      <c r="G1764" t="str">
        <f>""</f>
        <v/>
      </c>
      <c r="H1764" t="str">
        <f>""</f>
        <v/>
      </c>
      <c r="J1764" t="str">
        <f t="shared" si="38"/>
        <v>GUARDIAN</v>
      </c>
    </row>
    <row r="1765" spans="1:10" x14ac:dyDescent="0.3">
      <c r="A1765" t="str">
        <f>""</f>
        <v/>
      </c>
      <c r="B1765" t="str">
        <f>""</f>
        <v/>
      </c>
      <c r="G1765" t="str">
        <f>""</f>
        <v/>
      </c>
      <c r="H1765" t="str">
        <f>""</f>
        <v/>
      </c>
      <c r="J1765" t="str">
        <f t="shared" si="38"/>
        <v>GUARDIAN</v>
      </c>
    </row>
    <row r="1766" spans="1:10" x14ac:dyDescent="0.3">
      <c r="A1766" t="str">
        <f>""</f>
        <v/>
      </c>
      <c r="B1766" t="str">
        <f>""</f>
        <v/>
      </c>
      <c r="G1766" t="str">
        <f>""</f>
        <v/>
      </c>
      <c r="H1766" t="str">
        <f>""</f>
        <v/>
      </c>
      <c r="J1766" t="str">
        <f t="shared" si="38"/>
        <v>GUARDIAN</v>
      </c>
    </row>
    <row r="1767" spans="1:10" x14ac:dyDescent="0.3">
      <c r="A1767" t="str">
        <f>""</f>
        <v/>
      </c>
      <c r="B1767" t="str">
        <f>""</f>
        <v/>
      </c>
      <c r="G1767" t="str">
        <f>""</f>
        <v/>
      </c>
      <c r="H1767" t="str">
        <f>""</f>
        <v/>
      </c>
      <c r="J1767" t="str">
        <f t="shared" ref="J1767:J1830" si="39">"GUARDIAN"</f>
        <v>GUARDIAN</v>
      </c>
    </row>
    <row r="1768" spans="1:10" x14ac:dyDescent="0.3">
      <c r="A1768" t="str">
        <f>""</f>
        <v/>
      </c>
      <c r="B1768" t="str">
        <f>""</f>
        <v/>
      </c>
      <c r="G1768" t="str">
        <f>""</f>
        <v/>
      </c>
      <c r="H1768" t="str">
        <f>""</f>
        <v/>
      </c>
      <c r="J1768" t="str">
        <f t="shared" si="39"/>
        <v>GUARDIAN</v>
      </c>
    </row>
    <row r="1769" spans="1:10" x14ac:dyDescent="0.3">
      <c r="A1769" t="str">
        <f>""</f>
        <v/>
      </c>
      <c r="B1769" t="str">
        <f>""</f>
        <v/>
      </c>
      <c r="G1769" t="str">
        <f>""</f>
        <v/>
      </c>
      <c r="H1769" t="str">
        <f>""</f>
        <v/>
      </c>
      <c r="J1769" t="str">
        <f t="shared" si="39"/>
        <v>GUARDIAN</v>
      </c>
    </row>
    <row r="1770" spans="1:10" x14ac:dyDescent="0.3">
      <c r="A1770" t="str">
        <f>""</f>
        <v/>
      </c>
      <c r="B1770" t="str">
        <f>""</f>
        <v/>
      </c>
      <c r="G1770" t="str">
        <f>""</f>
        <v/>
      </c>
      <c r="H1770" t="str">
        <f>""</f>
        <v/>
      </c>
      <c r="J1770" t="str">
        <f t="shared" si="39"/>
        <v>GUARDIAN</v>
      </c>
    </row>
    <row r="1771" spans="1:10" x14ac:dyDescent="0.3">
      <c r="A1771" t="str">
        <f>""</f>
        <v/>
      </c>
      <c r="B1771" t="str">
        <f>""</f>
        <v/>
      </c>
      <c r="G1771" t="str">
        <f>""</f>
        <v/>
      </c>
      <c r="H1771" t="str">
        <f>""</f>
        <v/>
      </c>
      <c r="J1771" t="str">
        <f t="shared" si="39"/>
        <v>GUARDIAN</v>
      </c>
    </row>
    <row r="1772" spans="1:10" x14ac:dyDescent="0.3">
      <c r="A1772" t="str">
        <f>""</f>
        <v/>
      </c>
      <c r="B1772" t="str">
        <f>""</f>
        <v/>
      </c>
      <c r="G1772" t="str">
        <f>""</f>
        <v/>
      </c>
      <c r="H1772" t="str">
        <f>""</f>
        <v/>
      </c>
      <c r="J1772" t="str">
        <f t="shared" si="39"/>
        <v>GUARDIAN</v>
      </c>
    </row>
    <row r="1773" spans="1:10" x14ac:dyDescent="0.3">
      <c r="A1773" t="str">
        <f>""</f>
        <v/>
      </c>
      <c r="B1773" t="str">
        <f>""</f>
        <v/>
      </c>
      <c r="G1773" t="str">
        <f>""</f>
        <v/>
      </c>
      <c r="H1773" t="str">
        <f>""</f>
        <v/>
      </c>
      <c r="J1773" t="str">
        <f t="shared" si="39"/>
        <v>GUARDIAN</v>
      </c>
    </row>
    <row r="1774" spans="1:10" x14ac:dyDescent="0.3">
      <c r="A1774" t="str">
        <f>""</f>
        <v/>
      </c>
      <c r="B1774" t="str">
        <f>""</f>
        <v/>
      </c>
      <c r="G1774" t="str">
        <f>""</f>
        <v/>
      </c>
      <c r="H1774" t="str">
        <f>""</f>
        <v/>
      </c>
      <c r="J1774" t="str">
        <f t="shared" si="39"/>
        <v>GUARDIAN</v>
      </c>
    </row>
    <row r="1775" spans="1:10" x14ac:dyDescent="0.3">
      <c r="A1775" t="str">
        <f>""</f>
        <v/>
      </c>
      <c r="B1775" t="str">
        <f>""</f>
        <v/>
      </c>
      <c r="G1775" t="str">
        <f>"GDC201708244446"</f>
        <v>GDC201708244446</v>
      </c>
      <c r="H1775" t="str">
        <f>"GUARDIAN"</f>
        <v>GUARDIAN</v>
      </c>
      <c r="I1775" s="2">
        <v>130.6</v>
      </c>
      <c r="J1775" t="str">
        <f t="shared" si="39"/>
        <v>GUARDIAN</v>
      </c>
    </row>
    <row r="1776" spans="1:10" x14ac:dyDescent="0.3">
      <c r="A1776" t="str">
        <f>""</f>
        <v/>
      </c>
      <c r="B1776" t="str">
        <f>""</f>
        <v/>
      </c>
      <c r="G1776" t="str">
        <f>""</f>
        <v/>
      </c>
      <c r="H1776" t="str">
        <f>""</f>
        <v/>
      </c>
      <c r="J1776" t="str">
        <f t="shared" si="39"/>
        <v>GUARDIAN</v>
      </c>
    </row>
    <row r="1777" spans="1:10" x14ac:dyDescent="0.3">
      <c r="A1777" t="str">
        <f>""</f>
        <v/>
      </c>
      <c r="B1777" t="str">
        <f>""</f>
        <v/>
      </c>
      <c r="G1777" t="str">
        <f>"GDE201708094186"</f>
        <v>GDE201708094186</v>
      </c>
      <c r="H1777" t="str">
        <f>"GUARDIAN"</f>
        <v>GUARDIAN</v>
      </c>
      <c r="I1777" s="2">
        <v>3892.4</v>
      </c>
      <c r="J1777" t="str">
        <f t="shared" si="39"/>
        <v>GUARDIAN</v>
      </c>
    </row>
    <row r="1778" spans="1:10" x14ac:dyDescent="0.3">
      <c r="A1778" t="str">
        <f>""</f>
        <v/>
      </c>
      <c r="B1778" t="str">
        <f>""</f>
        <v/>
      </c>
      <c r="G1778" t="str">
        <f>""</f>
        <v/>
      </c>
      <c r="H1778" t="str">
        <f>""</f>
        <v/>
      </c>
      <c r="J1778" t="str">
        <f t="shared" si="39"/>
        <v>GUARDIAN</v>
      </c>
    </row>
    <row r="1779" spans="1:10" x14ac:dyDescent="0.3">
      <c r="A1779" t="str">
        <f>""</f>
        <v/>
      </c>
      <c r="B1779" t="str">
        <f>""</f>
        <v/>
      </c>
      <c r="G1779" t="str">
        <f>""</f>
        <v/>
      </c>
      <c r="H1779" t="str">
        <f>""</f>
        <v/>
      </c>
      <c r="J1779" t="str">
        <f t="shared" si="39"/>
        <v>GUARDIAN</v>
      </c>
    </row>
    <row r="1780" spans="1:10" x14ac:dyDescent="0.3">
      <c r="A1780" t="str">
        <f>""</f>
        <v/>
      </c>
      <c r="B1780" t="str">
        <f>""</f>
        <v/>
      </c>
      <c r="G1780" t="str">
        <f>""</f>
        <v/>
      </c>
      <c r="H1780" t="str">
        <f>""</f>
        <v/>
      </c>
      <c r="J1780" t="str">
        <f t="shared" si="39"/>
        <v>GUARDIAN</v>
      </c>
    </row>
    <row r="1781" spans="1:10" x14ac:dyDescent="0.3">
      <c r="A1781" t="str">
        <f>""</f>
        <v/>
      </c>
      <c r="B1781" t="str">
        <f>""</f>
        <v/>
      </c>
      <c r="G1781" t="str">
        <f>""</f>
        <v/>
      </c>
      <c r="H1781" t="str">
        <f>""</f>
        <v/>
      </c>
      <c r="J1781" t="str">
        <f t="shared" si="39"/>
        <v>GUARDIAN</v>
      </c>
    </row>
    <row r="1782" spans="1:10" x14ac:dyDescent="0.3">
      <c r="A1782" t="str">
        <f>""</f>
        <v/>
      </c>
      <c r="B1782" t="str">
        <f>""</f>
        <v/>
      </c>
      <c r="G1782" t="str">
        <f>""</f>
        <v/>
      </c>
      <c r="H1782" t="str">
        <f>""</f>
        <v/>
      </c>
      <c r="J1782" t="str">
        <f t="shared" si="39"/>
        <v>GUARDIAN</v>
      </c>
    </row>
    <row r="1783" spans="1:10" x14ac:dyDescent="0.3">
      <c r="A1783" t="str">
        <f>""</f>
        <v/>
      </c>
      <c r="B1783" t="str">
        <f>""</f>
        <v/>
      </c>
      <c r="G1783" t="str">
        <f>""</f>
        <v/>
      </c>
      <c r="H1783" t="str">
        <f>""</f>
        <v/>
      </c>
      <c r="J1783" t="str">
        <f t="shared" si="39"/>
        <v>GUARDIAN</v>
      </c>
    </row>
    <row r="1784" spans="1:10" x14ac:dyDescent="0.3">
      <c r="A1784" t="str">
        <f>""</f>
        <v/>
      </c>
      <c r="B1784" t="str">
        <f>""</f>
        <v/>
      </c>
      <c r="G1784" t="str">
        <f>""</f>
        <v/>
      </c>
      <c r="H1784" t="str">
        <f>""</f>
        <v/>
      </c>
      <c r="J1784" t="str">
        <f t="shared" si="39"/>
        <v>GUARDIAN</v>
      </c>
    </row>
    <row r="1785" spans="1:10" x14ac:dyDescent="0.3">
      <c r="A1785" t="str">
        <f>""</f>
        <v/>
      </c>
      <c r="B1785" t="str">
        <f>""</f>
        <v/>
      </c>
      <c r="G1785" t="str">
        <f>""</f>
        <v/>
      </c>
      <c r="H1785" t="str">
        <f>""</f>
        <v/>
      </c>
      <c r="J1785" t="str">
        <f t="shared" si="39"/>
        <v>GUARDIAN</v>
      </c>
    </row>
    <row r="1786" spans="1:10" x14ac:dyDescent="0.3">
      <c r="A1786" t="str">
        <f>""</f>
        <v/>
      </c>
      <c r="B1786" t="str">
        <f>""</f>
        <v/>
      </c>
      <c r="G1786" t="str">
        <f>""</f>
        <v/>
      </c>
      <c r="H1786" t="str">
        <f>""</f>
        <v/>
      </c>
      <c r="J1786" t="str">
        <f t="shared" si="39"/>
        <v>GUARDIAN</v>
      </c>
    </row>
    <row r="1787" spans="1:10" x14ac:dyDescent="0.3">
      <c r="A1787" t="str">
        <f>""</f>
        <v/>
      </c>
      <c r="B1787" t="str">
        <f>""</f>
        <v/>
      </c>
      <c r="G1787" t="str">
        <f>""</f>
        <v/>
      </c>
      <c r="H1787" t="str">
        <f>""</f>
        <v/>
      </c>
      <c r="J1787" t="str">
        <f t="shared" si="39"/>
        <v>GUARDIAN</v>
      </c>
    </row>
    <row r="1788" spans="1:10" x14ac:dyDescent="0.3">
      <c r="A1788" t="str">
        <f>""</f>
        <v/>
      </c>
      <c r="B1788" t="str">
        <f>""</f>
        <v/>
      </c>
      <c r="G1788" t="str">
        <f>""</f>
        <v/>
      </c>
      <c r="H1788" t="str">
        <f>""</f>
        <v/>
      </c>
      <c r="J1788" t="str">
        <f t="shared" si="39"/>
        <v>GUARDIAN</v>
      </c>
    </row>
    <row r="1789" spans="1:10" x14ac:dyDescent="0.3">
      <c r="A1789" t="str">
        <f>""</f>
        <v/>
      </c>
      <c r="B1789" t="str">
        <f>""</f>
        <v/>
      </c>
      <c r="G1789" t="str">
        <f>""</f>
        <v/>
      </c>
      <c r="H1789" t="str">
        <f>""</f>
        <v/>
      </c>
      <c r="J1789" t="str">
        <f t="shared" si="39"/>
        <v>GUARDIAN</v>
      </c>
    </row>
    <row r="1790" spans="1:10" x14ac:dyDescent="0.3">
      <c r="A1790" t="str">
        <f>""</f>
        <v/>
      </c>
      <c r="B1790" t="str">
        <f>""</f>
        <v/>
      </c>
      <c r="G1790" t="str">
        <f>""</f>
        <v/>
      </c>
      <c r="H1790" t="str">
        <f>""</f>
        <v/>
      </c>
      <c r="J1790" t="str">
        <f t="shared" si="39"/>
        <v>GUARDIAN</v>
      </c>
    </row>
    <row r="1791" spans="1:10" x14ac:dyDescent="0.3">
      <c r="A1791" t="str">
        <f>""</f>
        <v/>
      </c>
      <c r="B1791" t="str">
        <f>""</f>
        <v/>
      </c>
      <c r="G1791" t="str">
        <f>""</f>
        <v/>
      </c>
      <c r="H1791" t="str">
        <f>""</f>
        <v/>
      </c>
      <c r="J1791" t="str">
        <f t="shared" si="39"/>
        <v>GUARDIAN</v>
      </c>
    </row>
    <row r="1792" spans="1:10" x14ac:dyDescent="0.3">
      <c r="A1792" t="str">
        <f>""</f>
        <v/>
      </c>
      <c r="B1792" t="str">
        <f>""</f>
        <v/>
      </c>
      <c r="G1792" t="str">
        <f>""</f>
        <v/>
      </c>
      <c r="H1792" t="str">
        <f>""</f>
        <v/>
      </c>
      <c r="J1792" t="str">
        <f t="shared" si="39"/>
        <v>GUARDIAN</v>
      </c>
    </row>
    <row r="1793" spans="1:10" x14ac:dyDescent="0.3">
      <c r="A1793" t="str">
        <f>""</f>
        <v/>
      </c>
      <c r="B1793" t="str">
        <f>""</f>
        <v/>
      </c>
      <c r="G1793" t="str">
        <f>""</f>
        <v/>
      </c>
      <c r="H1793" t="str">
        <f>""</f>
        <v/>
      </c>
      <c r="J1793" t="str">
        <f t="shared" si="39"/>
        <v>GUARDIAN</v>
      </c>
    </row>
    <row r="1794" spans="1:10" x14ac:dyDescent="0.3">
      <c r="A1794" t="str">
        <f>""</f>
        <v/>
      </c>
      <c r="B1794" t="str">
        <f>""</f>
        <v/>
      </c>
      <c r="G1794" t="str">
        <f>""</f>
        <v/>
      </c>
      <c r="H1794" t="str">
        <f>""</f>
        <v/>
      </c>
      <c r="J1794" t="str">
        <f t="shared" si="39"/>
        <v>GUARDIAN</v>
      </c>
    </row>
    <row r="1795" spans="1:10" x14ac:dyDescent="0.3">
      <c r="A1795" t="str">
        <f>""</f>
        <v/>
      </c>
      <c r="B1795" t="str">
        <f>""</f>
        <v/>
      </c>
      <c r="G1795" t="str">
        <f>""</f>
        <v/>
      </c>
      <c r="H1795" t="str">
        <f>""</f>
        <v/>
      </c>
      <c r="J1795" t="str">
        <f t="shared" si="39"/>
        <v>GUARDIAN</v>
      </c>
    </row>
    <row r="1796" spans="1:10" x14ac:dyDescent="0.3">
      <c r="A1796" t="str">
        <f>""</f>
        <v/>
      </c>
      <c r="B1796" t="str">
        <f>""</f>
        <v/>
      </c>
      <c r="G1796" t="str">
        <f>""</f>
        <v/>
      </c>
      <c r="H1796" t="str">
        <f>""</f>
        <v/>
      </c>
      <c r="J1796" t="str">
        <f t="shared" si="39"/>
        <v>GUARDIAN</v>
      </c>
    </row>
    <row r="1797" spans="1:10" x14ac:dyDescent="0.3">
      <c r="A1797" t="str">
        <f>""</f>
        <v/>
      </c>
      <c r="B1797" t="str">
        <f>""</f>
        <v/>
      </c>
      <c r="G1797" t="str">
        <f>""</f>
        <v/>
      </c>
      <c r="H1797" t="str">
        <f>""</f>
        <v/>
      </c>
      <c r="J1797" t="str">
        <f t="shared" si="39"/>
        <v>GUARDIAN</v>
      </c>
    </row>
    <row r="1798" spans="1:10" x14ac:dyDescent="0.3">
      <c r="A1798" t="str">
        <f>""</f>
        <v/>
      </c>
      <c r="B1798" t="str">
        <f>""</f>
        <v/>
      </c>
      <c r="G1798" t="str">
        <f>""</f>
        <v/>
      </c>
      <c r="H1798" t="str">
        <f>""</f>
        <v/>
      </c>
      <c r="J1798" t="str">
        <f t="shared" si="39"/>
        <v>GUARDIAN</v>
      </c>
    </row>
    <row r="1799" spans="1:10" x14ac:dyDescent="0.3">
      <c r="A1799" t="str">
        <f>""</f>
        <v/>
      </c>
      <c r="B1799" t="str">
        <f>""</f>
        <v/>
      </c>
      <c r="G1799" t="str">
        <f>""</f>
        <v/>
      </c>
      <c r="H1799" t="str">
        <f>""</f>
        <v/>
      </c>
      <c r="J1799" t="str">
        <f t="shared" si="39"/>
        <v>GUARDIAN</v>
      </c>
    </row>
    <row r="1800" spans="1:10" x14ac:dyDescent="0.3">
      <c r="A1800" t="str">
        <f>""</f>
        <v/>
      </c>
      <c r="B1800" t="str">
        <f>""</f>
        <v/>
      </c>
      <c r="G1800" t="str">
        <f>""</f>
        <v/>
      </c>
      <c r="H1800" t="str">
        <f>""</f>
        <v/>
      </c>
      <c r="J1800" t="str">
        <f t="shared" si="39"/>
        <v>GUARDIAN</v>
      </c>
    </row>
    <row r="1801" spans="1:10" x14ac:dyDescent="0.3">
      <c r="A1801" t="str">
        <f>""</f>
        <v/>
      </c>
      <c r="B1801" t="str">
        <f>""</f>
        <v/>
      </c>
      <c r="G1801" t="str">
        <f>""</f>
        <v/>
      </c>
      <c r="H1801" t="str">
        <f>""</f>
        <v/>
      </c>
      <c r="J1801" t="str">
        <f t="shared" si="39"/>
        <v>GUARDIAN</v>
      </c>
    </row>
    <row r="1802" spans="1:10" x14ac:dyDescent="0.3">
      <c r="A1802" t="str">
        <f>""</f>
        <v/>
      </c>
      <c r="B1802" t="str">
        <f>""</f>
        <v/>
      </c>
      <c r="G1802" t="str">
        <f>""</f>
        <v/>
      </c>
      <c r="H1802" t="str">
        <f>""</f>
        <v/>
      </c>
      <c r="J1802" t="str">
        <f t="shared" si="39"/>
        <v>GUARDIAN</v>
      </c>
    </row>
    <row r="1803" spans="1:10" x14ac:dyDescent="0.3">
      <c r="A1803" t="str">
        <f>""</f>
        <v/>
      </c>
      <c r="B1803" t="str">
        <f>""</f>
        <v/>
      </c>
      <c r="G1803" t="str">
        <f>""</f>
        <v/>
      </c>
      <c r="H1803" t="str">
        <f>""</f>
        <v/>
      </c>
      <c r="J1803" t="str">
        <f t="shared" si="39"/>
        <v>GUARDIAN</v>
      </c>
    </row>
    <row r="1804" spans="1:10" x14ac:dyDescent="0.3">
      <c r="A1804" t="str">
        <f>""</f>
        <v/>
      </c>
      <c r="B1804" t="str">
        <f>""</f>
        <v/>
      </c>
      <c r="G1804" t="str">
        <f>""</f>
        <v/>
      </c>
      <c r="H1804" t="str">
        <f>""</f>
        <v/>
      </c>
      <c r="J1804" t="str">
        <f t="shared" si="39"/>
        <v>GUARDIAN</v>
      </c>
    </row>
    <row r="1805" spans="1:10" x14ac:dyDescent="0.3">
      <c r="A1805" t="str">
        <f>""</f>
        <v/>
      </c>
      <c r="B1805" t="str">
        <f>""</f>
        <v/>
      </c>
      <c r="G1805" t="str">
        <f>""</f>
        <v/>
      </c>
      <c r="H1805" t="str">
        <f>""</f>
        <v/>
      </c>
      <c r="J1805" t="str">
        <f t="shared" si="39"/>
        <v>GUARDIAN</v>
      </c>
    </row>
    <row r="1806" spans="1:10" x14ac:dyDescent="0.3">
      <c r="A1806" t="str">
        <f>""</f>
        <v/>
      </c>
      <c r="B1806" t="str">
        <f>""</f>
        <v/>
      </c>
      <c r="G1806" t="str">
        <f>""</f>
        <v/>
      </c>
      <c r="H1806" t="str">
        <f>""</f>
        <v/>
      </c>
      <c r="J1806" t="str">
        <f t="shared" si="39"/>
        <v>GUARDIAN</v>
      </c>
    </row>
    <row r="1807" spans="1:10" x14ac:dyDescent="0.3">
      <c r="A1807" t="str">
        <f>""</f>
        <v/>
      </c>
      <c r="B1807" t="str">
        <f>""</f>
        <v/>
      </c>
      <c r="G1807" t="str">
        <f>""</f>
        <v/>
      </c>
      <c r="H1807" t="str">
        <f>""</f>
        <v/>
      </c>
      <c r="J1807" t="str">
        <f t="shared" si="39"/>
        <v>GUARDIAN</v>
      </c>
    </row>
    <row r="1808" spans="1:10" x14ac:dyDescent="0.3">
      <c r="A1808" t="str">
        <f>""</f>
        <v/>
      </c>
      <c r="B1808" t="str">
        <f>""</f>
        <v/>
      </c>
      <c r="G1808" t="str">
        <f>""</f>
        <v/>
      </c>
      <c r="H1808" t="str">
        <f>""</f>
        <v/>
      </c>
      <c r="J1808" t="str">
        <f t="shared" si="39"/>
        <v>GUARDIAN</v>
      </c>
    </row>
    <row r="1809" spans="1:10" x14ac:dyDescent="0.3">
      <c r="A1809" t="str">
        <f>""</f>
        <v/>
      </c>
      <c r="B1809" t="str">
        <f>""</f>
        <v/>
      </c>
      <c r="G1809" t="str">
        <f>""</f>
        <v/>
      </c>
      <c r="H1809" t="str">
        <f>""</f>
        <v/>
      </c>
      <c r="J1809" t="str">
        <f t="shared" si="39"/>
        <v>GUARDIAN</v>
      </c>
    </row>
    <row r="1810" spans="1:10" x14ac:dyDescent="0.3">
      <c r="A1810" t="str">
        <f>""</f>
        <v/>
      </c>
      <c r="B1810" t="str">
        <f>""</f>
        <v/>
      </c>
      <c r="G1810" t="str">
        <f>""</f>
        <v/>
      </c>
      <c r="H1810" t="str">
        <f>""</f>
        <v/>
      </c>
      <c r="J1810" t="str">
        <f t="shared" si="39"/>
        <v>GUARDIAN</v>
      </c>
    </row>
    <row r="1811" spans="1:10" x14ac:dyDescent="0.3">
      <c r="A1811" t="str">
        <f>""</f>
        <v/>
      </c>
      <c r="B1811" t="str">
        <f>""</f>
        <v/>
      </c>
      <c r="G1811" t="str">
        <f>""</f>
        <v/>
      </c>
      <c r="H1811" t="str">
        <f>""</f>
        <v/>
      </c>
      <c r="J1811" t="str">
        <f t="shared" si="39"/>
        <v>GUARDIAN</v>
      </c>
    </row>
    <row r="1812" spans="1:10" x14ac:dyDescent="0.3">
      <c r="A1812" t="str">
        <f>""</f>
        <v/>
      </c>
      <c r="B1812" t="str">
        <f>""</f>
        <v/>
      </c>
      <c r="G1812" t="str">
        <f>""</f>
        <v/>
      </c>
      <c r="H1812" t="str">
        <f>""</f>
        <v/>
      </c>
      <c r="J1812" t="str">
        <f t="shared" si="39"/>
        <v>GUARDIAN</v>
      </c>
    </row>
    <row r="1813" spans="1:10" x14ac:dyDescent="0.3">
      <c r="A1813" t="str">
        <f>""</f>
        <v/>
      </c>
      <c r="B1813" t="str">
        <f>""</f>
        <v/>
      </c>
      <c r="G1813" t="str">
        <f>""</f>
        <v/>
      </c>
      <c r="H1813" t="str">
        <f>""</f>
        <v/>
      </c>
      <c r="J1813" t="str">
        <f t="shared" si="39"/>
        <v>GUARDIAN</v>
      </c>
    </row>
    <row r="1814" spans="1:10" x14ac:dyDescent="0.3">
      <c r="A1814" t="str">
        <f>""</f>
        <v/>
      </c>
      <c r="B1814" t="str">
        <f>""</f>
        <v/>
      </c>
      <c r="G1814" t="str">
        <f>""</f>
        <v/>
      </c>
      <c r="H1814" t="str">
        <f>""</f>
        <v/>
      </c>
      <c r="J1814" t="str">
        <f t="shared" si="39"/>
        <v>GUARDIAN</v>
      </c>
    </row>
    <row r="1815" spans="1:10" x14ac:dyDescent="0.3">
      <c r="A1815" t="str">
        <f>""</f>
        <v/>
      </c>
      <c r="B1815" t="str">
        <f>""</f>
        <v/>
      </c>
      <c r="G1815" t="str">
        <f>""</f>
        <v/>
      </c>
      <c r="H1815" t="str">
        <f>""</f>
        <v/>
      </c>
      <c r="J1815" t="str">
        <f t="shared" si="39"/>
        <v>GUARDIAN</v>
      </c>
    </row>
    <row r="1816" spans="1:10" x14ac:dyDescent="0.3">
      <c r="A1816" t="str">
        <f>""</f>
        <v/>
      </c>
      <c r="B1816" t="str">
        <f>""</f>
        <v/>
      </c>
      <c r="G1816" t="str">
        <f>""</f>
        <v/>
      </c>
      <c r="H1816" t="str">
        <f>""</f>
        <v/>
      </c>
      <c r="J1816" t="str">
        <f t="shared" si="39"/>
        <v>GUARDIAN</v>
      </c>
    </row>
    <row r="1817" spans="1:10" x14ac:dyDescent="0.3">
      <c r="A1817" t="str">
        <f>""</f>
        <v/>
      </c>
      <c r="B1817" t="str">
        <f>""</f>
        <v/>
      </c>
      <c r="G1817" t="str">
        <f>""</f>
        <v/>
      </c>
      <c r="H1817" t="str">
        <f>""</f>
        <v/>
      </c>
      <c r="J1817" t="str">
        <f t="shared" si="39"/>
        <v>GUARDIAN</v>
      </c>
    </row>
    <row r="1818" spans="1:10" x14ac:dyDescent="0.3">
      <c r="A1818" t="str">
        <f>""</f>
        <v/>
      </c>
      <c r="B1818" t="str">
        <f>""</f>
        <v/>
      </c>
      <c r="G1818" t="str">
        <f>"GDE201708094187"</f>
        <v>GDE201708094187</v>
      </c>
      <c r="H1818" t="str">
        <f>"GUARDIAN"</f>
        <v>GUARDIAN</v>
      </c>
      <c r="I1818" s="2">
        <v>162.80000000000001</v>
      </c>
      <c r="J1818" t="str">
        <f t="shared" si="39"/>
        <v>GUARDIAN</v>
      </c>
    </row>
    <row r="1819" spans="1:10" x14ac:dyDescent="0.3">
      <c r="A1819" t="str">
        <f>""</f>
        <v/>
      </c>
      <c r="B1819" t="str">
        <f>""</f>
        <v/>
      </c>
      <c r="G1819" t="str">
        <f>"GDE201708234445"</f>
        <v>GDE201708234445</v>
      </c>
      <c r="H1819" t="str">
        <f>"GUARDIAN"</f>
        <v>GUARDIAN</v>
      </c>
      <c r="I1819" s="2">
        <v>3833.2</v>
      </c>
      <c r="J1819" t="str">
        <f t="shared" si="39"/>
        <v>GUARDIAN</v>
      </c>
    </row>
    <row r="1820" spans="1:10" x14ac:dyDescent="0.3">
      <c r="A1820" t="str">
        <f>""</f>
        <v/>
      </c>
      <c r="B1820" t="str">
        <f>""</f>
        <v/>
      </c>
      <c r="G1820" t="str">
        <f>""</f>
        <v/>
      </c>
      <c r="H1820" t="str">
        <f>""</f>
        <v/>
      </c>
      <c r="J1820" t="str">
        <f t="shared" si="39"/>
        <v>GUARDIAN</v>
      </c>
    </row>
    <row r="1821" spans="1:10" x14ac:dyDescent="0.3">
      <c r="A1821" t="str">
        <f>""</f>
        <v/>
      </c>
      <c r="B1821" t="str">
        <f>""</f>
        <v/>
      </c>
      <c r="G1821" t="str">
        <f>""</f>
        <v/>
      </c>
      <c r="H1821" t="str">
        <f>""</f>
        <v/>
      </c>
      <c r="J1821" t="str">
        <f t="shared" si="39"/>
        <v>GUARDIAN</v>
      </c>
    </row>
    <row r="1822" spans="1:10" x14ac:dyDescent="0.3">
      <c r="A1822" t="str">
        <f>""</f>
        <v/>
      </c>
      <c r="B1822" t="str">
        <f>""</f>
        <v/>
      </c>
      <c r="G1822" t="str">
        <f>""</f>
        <v/>
      </c>
      <c r="H1822" t="str">
        <f>""</f>
        <v/>
      </c>
      <c r="J1822" t="str">
        <f t="shared" si="39"/>
        <v>GUARDIAN</v>
      </c>
    </row>
    <row r="1823" spans="1:10" x14ac:dyDescent="0.3">
      <c r="A1823" t="str">
        <f>""</f>
        <v/>
      </c>
      <c r="B1823" t="str">
        <f>""</f>
        <v/>
      </c>
      <c r="G1823" t="str">
        <f>""</f>
        <v/>
      </c>
      <c r="H1823" t="str">
        <f>""</f>
        <v/>
      </c>
      <c r="J1823" t="str">
        <f t="shared" si="39"/>
        <v>GUARDIAN</v>
      </c>
    </row>
    <row r="1824" spans="1:10" x14ac:dyDescent="0.3">
      <c r="A1824" t="str">
        <f>""</f>
        <v/>
      </c>
      <c r="B1824" t="str">
        <f>""</f>
        <v/>
      </c>
      <c r="G1824" t="str">
        <f>""</f>
        <v/>
      </c>
      <c r="H1824" t="str">
        <f>""</f>
        <v/>
      </c>
      <c r="J1824" t="str">
        <f t="shared" si="39"/>
        <v>GUARDIAN</v>
      </c>
    </row>
    <row r="1825" spans="1:10" x14ac:dyDescent="0.3">
      <c r="A1825" t="str">
        <f>""</f>
        <v/>
      </c>
      <c r="B1825" t="str">
        <f>""</f>
        <v/>
      </c>
      <c r="G1825" t="str">
        <f>""</f>
        <v/>
      </c>
      <c r="H1825" t="str">
        <f>""</f>
        <v/>
      </c>
      <c r="J1825" t="str">
        <f t="shared" si="39"/>
        <v>GUARDIAN</v>
      </c>
    </row>
    <row r="1826" spans="1:10" x14ac:dyDescent="0.3">
      <c r="A1826" t="str">
        <f>""</f>
        <v/>
      </c>
      <c r="B1826" t="str">
        <f>""</f>
        <v/>
      </c>
      <c r="G1826" t="str">
        <f>""</f>
        <v/>
      </c>
      <c r="H1826" t="str">
        <f>""</f>
        <v/>
      </c>
      <c r="J1826" t="str">
        <f t="shared" si="39"/>
        <v>GUARDIAN</v>
      </c>
    </row>
    <row r="1827" spans="1:10" x14ac:dyDescent="0.3">
      <c r="A1827" t="str">
        <f>""</f>
        <v/>
      </c>
      <c r="B1827" t="str">
        <f>""</f>
        <v/>
      </c>
      <c r="G1827" t="str">
        <f>""</f>
        <v/>
      </c>
      <c r="H1827" t="str">
        <f>""</f>
        <v/>
      </c>
      <c r="J1827" t="str">
        <f t="shared" si="39"/>
        <v>GUARDIAN</v>
      </c>
    </row>
    <row r="1828" spans="1:10" x14ac:dyDescent="0.3">
      <c r="A1828" t="str">
        <f>""</f>
        <v/>
      </c>
      <c r="B1828" t="str">
        <f>""</f>
        <v/>
      </c>
      <c r="G1828" t="str">
        <f>""</f>
        <v/>
      </c>
      <c r="H1828" t="str">
        <f>""</f>
        <v/>
      </c>
      <c r="J1828" t="str">
        <f t="shared" si="39"/>
        <v>GUARDIAN</v>
      </c>
    </row>
    <row r="1829" spans="1:10" x14ac:dyDescent="0.3">
      <c r="A1829" t="str">
        <f>""</f>
        <v/>
      </c>
      <c r="B1829" t="str">
        <f>""</f>
        <v/>
      </c>
      <c r="G1829" t="str">
        <f>""</f>
        <v/>
      </c>
      <c r="H1829" t="str">
        <f>""</f>
        <v/>
      </c>
      <c r="J1829" t="str">
        <f t="shared" si="39"/>
        <v>GUARDIAN</v>
      </c>
    </row>
    <row r="1830" spans="1:10" x14ac:dyDescent="0.3">
      <c r="A1830" t="str">
        <f>""</f>
        <v/>
      </c>
      <c r="B1830" t="str">
        <f>""</f>
        <v/>
      </c>
      <c r="G1830" t="str">
        <f>""</f>
        <v/>
      </c>
      <c r="H1830" t="str">
        <f>""</f>
        <v/>
      </c>
      <c r="J1830" t="str">
        <f t="shared" si="39"/>
        <v>GUARDIAN</v>
      </c>
    </row>
    <row r="1831" spans="1:10" x14ac:dyDescent="0.3">
      <c r="A1831" t="str">
        <f>""</f>
        <v/>
      </c>
      <c r="B1831" t="str">
        <f>""</f>
        <v/>
      </c>
      <c r="G1831" t="str">
        <f>""</f>
        <v/>
      </c>
      <c r="H1831" t="str">
        <f>""</f>
        <v/>
      </c>
      <c r="J1831" t="str">
        <f t="shared" ref="J1831:J1894" si="40">"GUARDIAN"</f>
        <v>GUARDIAN</v>
      </c>
    </row>
    <row r="1832" spans="1:10" x14ac:dyDescent="0.3">
      <c r="A1832" t="str">
        <f>""</f>
        <v/>
      </c>
      <c r="B1832" t="str">
        <f>""</f>
        <v/>
      </c>
      <c r="G1832" t="str">
        <f>""</f>
        <v/>
      </c>
      <c r="H1832" t="str">
        <f>""</f>
        <v/>
      </c>
      <c r="J1832" t="str">
        <f t="shared" si="40"/>
        <v>GUARDIAN</v>
      </c>
    </row>
    <row r="1833" spans="1:10" x14ac:dyDescent="0.3">
      <c r="A1833" t="str">
        <f>""</f>
        <v/>
      </c>
      <c r="B1833" t="str">
        <f>""</f>
        <v/>
      </c>
      <c r="G1833" t="str">
        <f>""</f>
        <v/>
      </c>
      <c r="H1833" t="str">
        <f>""</f>
        <v/>
      </c>
      <c r="J1833" t="str">
        <f t="shared" si="40"/>
        <v>GUARDIAN</v>
      </c>
    </row>
    <row r="1834" spans="1:10" x14ac:dyDescent="0.3">
      <c r="A1834" t="str">
        <f>""</f>
        <v/>
      </c>
      <c r="B1834" t="str">
        <f>""</f>
        <v/>
      </c>
      <c r="G1834" t="str">
        <f>""</f>
        <v/>
      </c>
      <c r="H1834" t="str">
        <f>""</f>
        <v/>
      </c>
      <c r="J1834" t="str">
        <f t="shared" si="40"/>
        <v>GUARDIAN</v>
      </c>
    </row>
    <row r="1835" spans="1:10" x14ac:dyDescent="0.3">
      <c r="A1835" t="str">
        <f>""</f>
        <v/>
      </c>
      <c r="B1835" t="str">
        <f>""</f>
        <v/>
      </c>
      <c r="G1835" t="str">
        <f>""</f>
        <v/>
      </c>
      <c r="H1835" t="str">
        <f>""</f>
        <v/>
      </c>
      <c r="J1835" t="str">
        <f t="shared" si="40"/>
        <v>GUARDIAN</v>
      </c>
    </row>
    <row r="1836" spans="1:10" x14ac:dyDescent="0.3">
      <c r="A1836" t="str">
        <f>""</f>
        <v/>
      </c>
      <c r="B1836" t="str">
        <f>""</f>
        <v/>
      </c>
      <c r="G1836" t="str">
        <f>""</f>
        <v/>
      </c>
      <c r="H1836" t="str">
        <f>""</f>
        <v/>
      </c>
      <c r="J1836" t="str">
        <f t="shared" si="40"/>
        <v>GUARDIAN</v>
      </c>
    </row>
    <row r="1837" spans="1:10" x14ac:dyDescent="0.3">
      <c r="A1837" t="str">
        <f>""</f>
        <v/>
      </c>
      <c r="B1837" t="str">
        <f>""</f>
        <v/>
      </c>
      <c r="G1837" t="str">
        <f>""</f>
        <v/>
      </c>
      <c r="H1837" t="str">
        <f>""</f>
        <v/>
      </c>
      <c r="J1837" t="str">
        <f t="shared" si="40"/>
        <v>GUARDIAN</v>
      </c>
    </row>
    <row r="1838" spans="1:10" x14ac:dyDescent="0.3">
      <c r="A1838" t="str">
        <f>""</f>
        <v/>
      </c>
      <c r="B1838" t="str">
        <f>""</f>
        <v/>
      </c>
      <c r="G1838" t="str">
        <f>""</f>
        <v/>
      </c>
      <c r="H1838" t="str">
        <f>""</f>
        <v/>
      </c>
      <c r="J1838" t="str">
        <f t="shared" si="40"/>
        <v>GUARDIAN</v>
      </c>
    </row>
    <row r="1839" spans="1:10" x14ac:dyDescent="0.3">
      <c r="A1839" t="str">
        <f>""</f>
        <v/>
      </c>
      <c r="B1839" t="str">
        <f>""</f>
        <v/>
      </c>
      <c r="G1839" t="str">
        <f>""</f>
        <v/>
      </c>
      <c r="H1839" t="str">
        <f>""</f>
        <v/>
      </c>
      <c r="J1839" t="str">
        <f t="shared" si="40"/>
        <v>GUARDIAN</v>
      </c>
    </row>
    <row r="1840" spans="1:10" x14ac:dyDescent="0.3">
      <c r="A1840" t="str">
        <f>""</f>
        <v/>
      </c>
      <c r="B1840" t="str">
        <f>""</f>
        <v/>
      </c>
      <c r="G1840" t="str">
        <f>""</f>
        <v/>
      </c>
      <c r="H1840" t="str">
        <f>""</f>
        <v/>
      </c>
      <c r="J1840" t="str">
        <f t="shared" si="40"/>
        <v>GUARDIAN</v>
      </c>
    </row>
    <row r="1841" spans="1:10" x14ac:dyDescent="0.3">
      <c r="A1841" t="str">
        <f>""</f>
        <v/>
      </c>
      <c r="B1841" t="str">
        <f>""</f>
        <v/>
      </c>
      <c r="G1841" t="str">
        <f>""</f>
        <v/>
      </c>
      <c r="H1841" t="str">
        <f>""</f>
        <v/>
      </c>
      <c r="J1841" t="str">
        <f t="shared" si="40"/>
        <v>GUARDIAN</v>
      </c>
    </row>
    <row r="1842" spans="1:10" x14ac:dyDescent="0.3">
      <c r="A1842" t="str">
        <f>""</f>
        <v/>
      </c>
      <c r="B1842" t="str">
        <f>""</f>
        <v/>
      </c>
      <c r="G1842" t="str">
        <f>""</f>
        <v/>
      </c>
      <c r="H1842" t="str">
        <f>""</f>
        <v/>
      </c>
      <c r="J1842" t="str">
        <f t="shared" si="40"/>
        <v>GUARDIAN</v>
      </c>
    </row>
    <row r="1843" spans="1:10" x14ac:dyDescent="0.3">
      <c r="A1843" t="str">
        <f>""</f>
        <v/>
      </c>
      <c r="B1843" t="str">
        <f>""</f>
        <v/>
      </c>
      <c r="G1843" t="str">
        <f>""</f>
        <v/>
      </c>
      <c r="H1843" t="str">
        <f>""</f>
        <v/>
      </c>
      <c r="J1843" t="str">
        <f t="shared" si="40"/>
        <v>GUARDIAN</v>
      </c>
    </row>
    <row r="1844" spans="1:10" x14ac:dyDescent="0.3">
      <c r="A1844" t="str">
        <f>""</f>
        <v/>
      </c>
      <c r="B1844" t="str">
        <f>""</f>
        <v/>
      </c>
      <c r="G1844" t="str">
        <f>""</f>
        <v/>
      </c>
      <c r="H1844" t="str">
        <f>""</f>
        <v/>
      </c>
      <c r="J1844" t="str">
        <f t="shared" si="40"/>
        <v>GUARDIAN</v>
      </c>
    </row>
    <row r="1845" spans="1:10" x14ac:dyDescent="0.3">
      <c r="A1845" t="str">
        <f>""</f>
        <v/>
      </c>
      <c r="B1845" t="str">
        <f>""</f>
        <v/>
      </c>
      <c r="G1845" t="str">
        <f>""</f>
        <v/>
      </c>
      <c r="H1845" t="str">
        <f>""</f>
        <v/>
      </c>
      <c r="J1845" t="str">
        <f t="shared" si="40"/>
        <v>GUARDIAN</v>
      </c>
    </row>
    <row r="1846" spans="1:10" x14ac:dyDescent="0.3">
      <c r="A1846" t="str">
        <f>""</f>
        <v/>
      </c>
      <c r="B1846" t="str">
        <f>""</f>
        <v/>
      </c>
      <c r="G1846" t="str">
        <f>""</f>
        <v/>
      </c>
      <c r="H1846" t="str">
        <f>""</f>
        <v/>
      </c>
      <c r="J1846" t="str">
        <f t="shared" si="40"/>
        <v>GUARDIAN</v>
      </c>
    </row>
    <row r="1847" spans="1:10" x14ac:dyDescent="0.3">
      <c r="A1847" t="str">
        <f>""</f>
        <v/>
      </c>
      <c r="B1847" t="str">
        <f>""</f>
        <v/>
      </c>
      <c r="G1847" t="str">
        <f>""</f>
        <v/>
      </c>
      <c r="H1847" t="str">
        <f>""</f>
        <v/>
      </c>
      <c r="J1847" t="str">
        <f t="shared" si="40"/>
        <v>GUARDIAN</v>
      </c>
    </row>
    <row r="1848" spans="1:10" x14ac:dyDescent="0.3">
      <c r="A1848" t="str">
        <f>""</f>
        <v/>
      </c>
      <c r="B1848" t="str">
        <f>""</f>
        <v/>
      </c>
      <c r="G1848" t="str">
        <f>""</f>
        <v/>
      </c>
      <c r="H1848" t="str">
        <f>""</f>
        <v/>
      </c>
      <c r="J1848" t="str">
        <f t="shared" si="40"/>
        <v>GUARDIAN</v>
      </c>
    </row>
    <row r="1849" spans="1:10" x14ac:dyDescent="0.3">
      <c r="A1849" t="str">
        <f>""</f>
        <v/>
      </c>
      <c r="B1849" t="str">
        <f>""</f>
        <v/>
      </c>
      <c r="G1849" t="str">
        <f>""</f>
        <v/>
      </c>
      <c r="H1849" t="str">
        <f>""</f>
        <v/>
      </c>
      <c r="J1849" t="str">
        <f t="shared" si="40"/>
        <v>GUARDIAN</v>
      </c>
    </row>
    <row r="1850" spans="1:10" x14ac:dyDescent="0.3">
      <c r="A1850" t="str">
        <f>""</f>
        <v/>
      </c>
      <c r="B1850" t="str">
        <f>""</f>
        <v/>
      </c>
      <c r="G1850" t="str">
        <f>""</f>
        <v/>
      </c>
      <c r="H1850" t="str">
        <f>""</f>
        <v/>
      </c>
      <c r="J1850" t="str">
        <f t="shared" si="40"/>
        <v>GUARDIAN</v>
      </c>
    </row>
    <row r="1851" spans="1:10" x14ac:dyDescent="0.3">
      <c r="A1851" t="str">
        <f>""</f>
        <v/>
      </c>
      <c r="B1851" t="str">
        <f>""</f>
        <v/>
      </c>
      <c r="G1851" t="str">
        <f>""</f>
        <v/>
      </c>
      <c r="H1851" t="str">
        <f>""</f>
        <v/>
      </c>
      <c r="J1851" t="str">
        <f t="shared" si="40"/>
        <v>GUARDIAN</v>
      </c>
    </row>
    <row r="1852" spans="1:10" x14ac:dyDescent="0.3">
      <c r="A1852" t="str">
        <f>""</f>
        <v/>
      </c>
      <c r="B1852" t="str">
        <f>""</f>
        <v/>
      </c>
      <c r="G1852" t="str">
        <f>""</f>
        <v/>
      </c>
      <c r="H1852" t="str">
        <f>""</f>
        <v/>
      </c>
      <c r="J1852" t="str">
        <f t="shared" si="40"/>
        <v>GUARDIAN</v>
      </c>
    </row>
    <row r="1853" spans="1:10" x14ac:dyDescent="0.3">
      <c r="A1853" t="str">
        <f>""</f>
        <v/>
      </c>
      <c r="B1853" t="str">
        <f>""</f>
        <v/>
      </c>
      <c r="G1853" t="str">
        <f>""</f>
        <v/>
      </c>
      <c r="H1853" t="str">
        <f>""</f>
        <v/>
      </c>
      <c r="J1853" t="str">
        <f t="shared" si="40"/>
        <v>GUARDIAN</v>
      </c>
    </row>
    <row r="1854" spans="1:10" x14ac:dyDescent="0.3">
      <c r="A1854" t="str">
        <f>""</f>
        <v/>
      </c>
      <c r="B1854" t="str">
        <f>""</f>
        <v/>
      </c>
      <c r="G1854" t="str">
        <f>""</f>
        <v/>
      </c>
      <c r="H1854" t="str">
        <f>""</f>
        <v/>
      </c>
      <c r="J1854" t="str">
        <f t="shared" si="40"/>
        <v>GUARDIAN</v>
      </c>
    </row>
    <row r="1855" spans="1:10" x14ac:dyDescent="0.3">
      <c r="A1855" t="str">
        <f>""</f>
        <v/>
      </c>
      <c r="B1855" t="str">
        <f>""</f>
        <v/>
      </c>
      <c r="G1855" t="str">
        <f>""</f>
        <v/>
      </c>
      <c r="H1855" t="str">
        <f>""</f>
        <v/>
      </c>
      <c r="J1855" t="str">
        <f t="shared" si="40"/>
        <v>GUARDIAN</v>
      </c>
    </row>
    <row r="1856" spans="1:10" x14ac:dyDescent="0.3">
      <c r="A1856" t="str">
        <f>""</f>
        <v/>
      </c>
      <c r="B1856" t="str">
        <f>""</f>
        <v/>
      </c>
      <c r="G1856" t="str">
        <f>""</f>
        <v/>
      </c>
      <c r="H1856" t="str">
        <f>""</f>
        <v/>
      </c>
      <c r="J1856" t="str">
        <f t="shared" si="40"/>
        <v>GUARDIAN</v>
      </c>
    </row>
    <row r="1857" spans="1:10" x14ac:dyDescent="0.3">
      <c r="A1857" t="str">
        <f>""</f>
        <v/>
      </c>
      <c r="B1857" t="str">
        <f>""</f>
        <v/>
      </c>
      <c r="G1857" t="str">
        <f>""</f>
        <v/>
      </c>
      <c r="H1857" t="str">
        <f>""</f>
        <v/>
      </c>
      <c r="J1857" t="str">
        <f t="shared" si="40"/>
        <v>GUARDIAN</v>
      </c>
    </row>
    <row r="1858" spans="1:10" x14ac:dyDescent="0.3">
      <c r="A1858" t="str">
        <f>""</f>
        <v/>
      </c>
      <c r="B1858" t="str">
        <f>""</f>
        <v/>
      </c>
      <c r="G1858" t="str">
        <f>""</f>
        <v/>
      </c>
      <c r="H1858" t="str">
        <f>""</f>
        <v/>
      </c>
      <c r="J1858" t="str">
        <f t="shared" si="40"/>
        <v>GUARDIAN</v>
      </c>
    </row>
    <row r="1859" spans="1:10" x14ac:dyDescent="0.3">
      <c r="A1859" t="str">
        <f>""</f>
        <v/>
      </c>
      <c r="B1859" t="str">
        <f>""</f>
        <v/>
      </c>
      <c r="G1859" t="str">
        <f>""</f>
        <v/>
      </c>
      <c r="H1859" t="str">
        <f>""</f>
        <v/>
      </c>
      <c r="J1859" t="str">
        <f t="shared" si="40"/>
        <v>GUARDIAN</v>
      </c>
    </row>
    <row r="1860" spans="1:10" x14ac:dyDescent="0.3">
      <c r="A1860" t="str">
        <f>""</f>
        <v/>
      </c>
      <c r="B1860" t="str">
        <f>""</f>
        <v/>
      </c>
      <c r="G1860" t="str">
        <f>"GDE201708244446"</f>
        <v>GDE201708244446</v>
      </c>
      <c r="H1860" t="str">
        <f>"GUARDIAN"</f>
        <v>GUARDIAN</v>
      </c>
      <c r="I1860" s="2">
        <v>162.80000000000001</v>
      </c>
      <c r="J1860" t="str">
        <f t="shared" si="40"/>
        <v>GUARDIAN</v>
      </c>
    </row>
    <row r="1861" spans="1:10" x14ac:dyDescent="0.3">
      <c r="A1861" t="str">
        <f>""</f>
        <v/>
      </c>
      <c r="B1861" t="str">
        <f>""</f>
        <v/>
      </c>
      <c r="G1861" t="str">
        <f>"GDF201708094186"</f>
        <v>GDF201708094186</v>
      </c>
      <c r="H1861" t="str">
        <f>"GUARDIAN"</f>
        <v>GUARDIAN</v>
      </c>
      <c r="I1861" s="2">
        <v>2124.3200000000002</v>
      </c>
      <c r="J1861" t="str">
        <f t="shared" si="40"/>
        <v>GUARDIAN</v>
      </c>
    </row>
    <row r="1862" spans="1:10" x14ac:dyDescent="0.3">
      <c r="A1862" t="str">
        <f>""</f>
        <v/>
      </c>
      <c r="B1862" t="str">
        <f>""</f>
        <v/>
      </c>
      <c r="G1862" t="str">
        <f>""</f>
        <v/>
      </c>
      <c r="H1862" t="str">
        <f>""</f>
        <v/>
      </c>
      <c r="J1862" t="str">
        <f t="shared" si="40"/>
        <v>GUARDIAN</v>
      </c>
    </row>
    <row r="1863" spans="1:10" x14ac:dyDescent="0.3">
      <c r="A1863" t="str">
        <f>""</f>
        <v/>
      </c>
      <c r="B1863" t="str">
        <f>""</f>
        <v/>
      </c>
      <c r="G1863" t="str">
        <f>""</f>
        <v/>
      </c>
      <c r="H1863" t="str">
        <f>""</f>
        <v/>
      </c>
      <c r="J1863" t="str">
        <f t="shared" si="40"/>
        <v>GUARDIAN</v>
      </c>
    </row>
    <row r="1864" spans="1:10" x14ac:dyDescent="0.3">
      <c r="A1864" t="str">
        <f>""</f>
        <v/>
      </c>
      <c r="B1864" t="str">
        <f>""</f>
        <v/>
      </c>
      <c r="G1864" t="str">
        <f>""</f>
        <v/>
      </c>
      <c r="H1864" t="str">
        <f>""</f>
        <v/>
      </c>
      <c r="J1864" t="str">
        <f t="shared" si="40"/>
        <v>GUARDIAN</v>
      </c>
    </row>
    <row r="1865" spans="1:10" x14ac:dyDescent="0.3">
      <c r="A1865" t="str">
        <f>""</f>
        <v/>
      </c>
      <c r="B1865" t="str">
        <f>""</f>
        <v/>
      </c>
      <c r="G1865" t="str">
        <f>""</f>
        <v/>
      </c>
      <c r="H1865" t="str">
        <f>""</f>
        <v/>
      </c>
      <c r="J1865" t="str">
        <f t="shared" si="40"/>
        <v>GUARDIAN</v>
      </c>
    </row>
    <row r="1866" spans="1:10" x14ac:dyDescent="0.3">
      <c r="A1866" t="str">
        <f>""</f>
        <v/>
      </c>
      <c r="B1866" t="str">
        <f>""</f>
        <v/>
      </c>
      <c r="G1866" t="str">
        <f>""</f>
        <v/>
      </c>
      <c r="H1866" t="str">
        <f>""</f>
        <v/>
      </c>
      <c r="J1866" t="str">
        <f t="shared" si="40"/>
        <v>GUARDIAN</v>
      </c>
    </row>
    <row r="1867" spans="1:10" x14ac:dyDescent="0.3">
      <c r="A1867" t="str">
        <f>""</f>
        <v/>
      </c>
      <c r="B1867" t="str">
        <f>""</f>
        <v/>
      </c>
      <c r="G1867" t="str">
        <f>""</f>
        <v/>
      </c>
      <c r="H1867" t="str">
        <f>""</f>
        <v/>
      </c>
      <c r="J1867" t="str">
        <f t="shared" si="40"/>
        <v>GUARDIAN</v>
      </c>
    </row>
    <row r="1868" spans="1:10" x14ac:dyDescent="0.3">
      <c r="A1868" t="str">
        <f>""</f>
        <v/>
      </c>
      <c r="B1868" t="str">
        <f>""</f>
        <v/>
      </c>
      <c r="G1868" t="str">
        <f>""</f>
        <v/>
      </c>
      <c r="H1868" t="str">
        <f>""</f>
        <v/>
      </c>
      <c r="J1868" t="str">
        <f t="shared" si="40"/>
        <v>GUARDIAN</v>
      </c>
    </row>
    <row r="1869" spans="1:10" x14ac:dyDescent="0.3">
      <c r="A1869" t="str">
        <f>""</f>
        <v/>
      </c>
      <c r="B1869" t="str">
        <f>""</f>
        <v/>
      </c>
      <c r="G1869" t="str">
        <f>""</f>
        <v/>
      </c>
      <c r="H1869" t="str">
        <f>""</f>
        <v/>
      </c>
      <c r="J1869" t="str">
        <f t="shared" si="40"/>
        <v>GUARDIAN</v>
      </c>
    </row>
    <row r="1870" spans="1:10" x14ac:dyDescent="0.3">
      <c r="A1870" t="str">
        <f>""</f>
        <v/>
      </c>
      <c r="B1870" t="str">
        <f>""</f>
        <v/>
      </c>
      <c r="G1870" t="str">
        <f>""</f>
        <v/>
      </c>
      <c r="H1870" t="str">
        <f>""</f>
        <v/>
      </c>
      <c r="J1870" t="str">
        <f t="shared" si="40"/>
        <v>GUARDIAN</v>
      </c>
    </row>
    <row r="1871" spans="1:10" x14ac:dyDescent="0.3">
      <c r="A1871" t="str">
        <f>""</f>
        <v/>
      </c>
      <c r="B1871" t="str">
        <f>""</f>
        <v/>
      </c>
      <c r="G1871" t="str">
        <f>""</f>
        <v/>
      </c>
      <c r="H1871" t="str">
        <f>""</f>
        <v/>
      </c>
      <c r="J1871" t="str">
        <f t="shared" si="40"/>
        <v>GUARDIAN</v>
      </c>
    </row>
    <row r="1872" spans="1:10" x14ac:dyDescent="0.3">
      <c r="A1872" t="str">
        <f>""</f>
        <v/>
      </c>
      <c r="B1872" t="str">
        <f>""</f>
        <v/>
      </c>
      <c r="G1872" t="str">
        <f>""</f>
        <v/>
      </c>
      <c r="H1872" t="str">
        <f>""</f>
        <v/>
      </c>
      <c r="J1872" t="str">
        <f t="shared" si="40"/>
        <v>GUARDIAN</v>
      </c>
    </row>
    <row r="1873" spans="1:10" x14ac:dyDescent="0.3">
      <c r="A1873" t="str">
        <f>""</f>
        <v/>
      </c>
      <c r="B1873" t="str">
        <f>""</f>
        <v/>
      </c>
      <c r="G1873" t="str">
        <f>""</f>
        <v/>
      </c>
      <c r="H1873" t="str">
        <f>""</f>
        <v/>
      </c>
      <c r="J1873" t="str">
        <f t="shared" si="40"/>
        <v>GUARDIAN</v>
      </c>
    </row>
    <row r="1874" spans="1:10" x14ac:dyDescent="0.3">
      <c r="A1874" t="str">
        <f>""</f>
        <v/>
      </c>
      <c r="B1874" t="str">
        <f>""</f>
        <v/>
      </c>
      <c r="G1874" t="str">
        <f>""</f>
        <v/>
      </c>
      <c r="H1874" t="str">
        <f>""</f>
        <v/>
      </c>
      <c r="J1874" t="str">
        <f t="shared" si="40"/>
        <v>GUARDIAN</v>
      </c>
    </row>
    <row r="1875" spans="1:10" x14ac:dyDescent="0.3">
      <c r="A1875" t="str">
        <f>""</f>
        <v/>
      </c>
      <c r="B1875" t="str">
        <f>""</f>
        <v/>
      </c>
      <c r="G1875" t="str">
        <f>""</f>
        <v/>
      </c>
      <c r="H1875" t="str">
        <f>""</f>
        <v/>
      </c>
      <c r="J1875" t="str">
        <f t="shared" si="40"/>
        <v>GUARDIAN</v>
      </c>
    </row>
    <row r="1876" spans="1:10" x14ac:dyDescent="0.3">
      <c r="A1876" t="str">
        <f>""</f>
        <v/>
      </c>
      <c r="B1876" t="str">
        <f>""</f>
        <v/>
      </c>
      <c r="G1876" t="str">
        <f>""</f>
        <v/>
      </c>
      <c r="H1876" t="str">
        <f>""</f>
        <v/>
      </c>
      <c r="J1876" t="str">
        <f t="shared" si="40"/>
        <v>GUARDIAN</v>
      </c>
    </row>
    <row r="1877" spans="1:10" x14ac:dyDescent="0.3">
      <c r="A1877" t="str">
        <f>""</f>
        <v/>
      </c>
      <c r="B1877" t="str">
        <f>""</f>
        <v/>
      </c>
      <c r="G1877" t="str">
        <f>""</f>
        <v/>
      </c>
      <c r="H1877" t="str">
        <f>""</f>
        <v/>
      </c>
      <c r="J1877" t="str">
        <f t="shared" si="40"/>
        <v>GUARDIAN</v>
      </c>
    </row>
    <row r="1878" spans="1:10" x14ac:dyDescent="0.3">
      <c r="A1878" t="str">
        <f>""</f>
        <v/>
      </c>
      <c r="B1878" t="str">
        <f>""</f>
        <v/>
      </c>
      <c r="G1878" t="str">
        <f>""</f>
        <v/>
      </c>
      <c r="H1878" t="str">
        <f>""</f>
        <v/>
      </c>
      <c r="J1878" t="str">
        <f t="shared" si="40"/>
        <v>GUARDIAN</v>
      </c>
    </row>
    <row r="1879" spans="1:10" x14ac:dyDescent="0.3">
      <c r="A1879" t="str">
        <f>""</f>
        <v/>
      </c>
      <c r="B1879" t="str">
        <f>""</f>
        <v/>
      </c>
      <c r="G1879" t="str">
        <f>""</f>
        <v/>
      </c>
      <c r="H1879" t="str">
        <f>""</f>
        <v/>
      </c>
      <c r="J1879" t="str">
        <f t="shared" si="40"/>
        <v>GUARDIAN</v>
      </c>
    </row>
    <row r="1880" spans="1:10" x14ac:dyDescent="0.3">
      <c r="A1880" t="str">
        <f>""</f>
        <v/>
      </c>
      <c r="B1880" t="str">
        <f>""</f>
        <v/>
      </c>
      <c r="G1880" t="str">
        <f>""</f>
        <v/>
      </c>
      <c r="H1880" t="str">
        <f>""</f>
        <v/>
      </c>
      <c r="J1880" t="str">
        <f t="shared" si="40"/>
        <v>GUARDIAN</v>
      </c>
    </row>
    <row r="1881" spans="1:10" x14ac:dyDescent="0.3">
      <c r="A1881" t="str">
        <f>""</f>
        <v/>
      </c>
      <c r="B1881" t="str">
        <f>""</f>
        <v/>
      </c>
      <c r="G1881" t="str">
        <f>""</f>
        <v/>
      </c>
      <c r="H1881" t="str">
        <f>""</f>
        <v/>
      </c>
      <c r="J1881" t="str">
        <f t="shared" si="40"/>
        <v>GUARDIAN</v>
      </c>
    </row>
    <row r="1882" spans="1:10" x14ac:dyDescent="0.3">
      <c r="A1882" t="str">
        <f>""</f>
        <v/>
      </c>
      <c r="B1882" t="str">
        <f>""</f>
        <v/>
      </c>
      <c r="G1882" t="str">
        <f>""</f>
        <v/>
      </c>
      <c r="H1882" t="str">
        <f>""</f>
        <v/>
      </c>
      <c r="J1882" t="str">
        <f t="shared" si="40"/>
        <v>GUARDIAN</v>
      </c>
    </row>
    <row r="1883" spans="1:10" x14ac:dyDescent="0.3">
      <c r="A1883" t="str">
        <f>""</f>
        <v/>
      </c>
      <c r="B1883" t="str">
        <f>""</f>
        <v/>
      </c>
      <c r="G1883" t="str">
        <f>""</f>
        <v/>
      </c>
      <c r="H1883" t="str">
        <f>""</f>
        <v/>
      </c>
      <c r="J1883" t="str">
        <f t="shared" si="40"/>
        <v>GUARDIAN</v>
      </c>
    </row>
    <row r="1884" spans="1:10" x14ac:dyDescent="0.3">
      <c r="A1884" t="str">
        <f>""</f>
        <v/>
      </c>
      <c r="B1884" t="str">
        <f>""</f>
        <v/>
      </c>
      <c r="G1884" t="str">
        <f>""</f>
        <v/>
      </c>
      <c r="H1884" t="str">
        <f>""</f>
        <v/>
      </c>
      <c r="J1884" t="str">
        <f t="shared" si="40"/>
        <v>GUARDIAN</v>
      </c>
    </row>
    <row r="1885" spans="1:10" x14ac:dyDescent="0.3">
      <c r="A1885" t="str">
        <f>""</f>
        <v/>
      </c>
      <c r="B1885" t="str">
        <f>""</f>
        <v/>
      </c>
      <c r="G1885" t="str">
        <f>""</f>
        <v/>
      </c>
      <c r="H1885" t="str">
        <f>""</f>
        <v/>
      </c>
      <c r="J1885" t="str">
        <f t="shared" si="40"/>
        <v>GUARDIAN</v>
      </c>
    </row>
    <row r="1886" spans="1:10" x14ac:dyDescent="0.3">
      <c r="A1886" t="str">
        <f>""</f>
        <v/>
      </c>
      <c r="B1886" t="str">
        <f>""</f>
        <v/>
      </c>
      <c r="G1886" t="str">
        <f>""</f>
        <v/>
      </c>
      <c r="H1886" t="str">
        <f>""</f>
        <v/>
      </c>
      <c r="J1886" t="str">
        <f t="shared" si="40"/>
        <v>GUARDIAN</v>
      </c>
    </row>
    <row r="1887" spans="1:10" x14ac:dyDescent="0.3">
      <c r="A1887" t="str">
        <f>""</f>
        <v/>
      </c>
      <c r="B1887" t="str">
        <f>""</f>
        <v/>
      </c>
      <c r="G1887" t="str">
        <f>"GDF201708094187"</f>
        <v>GDF201708094187</v>
      </c>
      <c r="H1887" t="str">
        <f>"GUARDIAN"</f>
        <v>GUARDIAN</v>
      </c>
      <c r="I1887" s="2">
        <v>96.56</v>
      </c>
      <c r="J1887" t="str">
        <f t="shared" si="40"/>
        <v>GUARDIAN</v>
      </c>
    </row>
    <row r="1888" spans="1:10" x14ac:dyDescent="0.3">
      <c r="A1888" t="str">
        <f>""</f>
        <v/>
      </c>
      <c r="B1888" t="str">
        <f>""</f>
        <v/>
      </c>
      <c r="G1888" t="str">
        <f>""</f>
        <v/>
      </c>
      <c r="H1888" t="str">
        <f>""</f>
        <v/>
      </c>
      <c r="J1888" t="str">
        <f t="shared" si="40"/>
        <v>GUARDIAN</v>
      </c>
    </row>
    <row r="1889" spans="1:10" x14ac:dyDescent="0.3">
      <c r="A1889" t="str">
        <f>""</f>
        <v/>
      </c>
      <c r="B1889" t="str">
        <f>""</f>
        <v/>
      </c>
      <c r="G1889" t="str">
        <f>"GDF201708234445"</f>
        <v>GDF201708234445</v>
      </c>
      <c r="H1889" t="str">
        <f>"GUARDIAN"</f>
        <v>GUARDIAN</v>
      </c>
      <c r="I1889" s="2">
        <v>2027.76</v>
      </c>
      <c r="J1889" t="str">
        <f t="shared" si="40"/>
        <v>GUARDIAN</v>
      </c>
    </row>
    <row r="1890" spans="1:10" x14ac:dyDescent="0.3">
      <c r="A1890" t="str">
        <f>""</f>
        <v/>
      </c>
      <c r="B1890" t="str">
        <f>""</f>
        <v/>
      </c>
      <c r="G1890" t="str">
        <f>""</f>
        <v/>
      </c>
      <c r="H1890" t="str">
        <f>""</f>
        <v/>
      </c>
      <c r="J1890" t="str">
        <f t="shared" si="40"/>
        <v>GUARDIAN</v>
      </c>
    </row>
    <row r="1891" spans="1:10" x14ac:dyDescent="0.3">
      <c r="A1891" t="str">
        <f>""</f>
        <v/>
      </c>
      <c r="B1891" t="str">
        <f>""</f>
        <v/>
      </c>
      <c r="G1891" t="str">
        <f>""</f>
        <v/>
      </c>
      <c r="H1891" t="str">
        <f>""</f>
        <v/>
      </c>
      <c r="J1891" t="str">
        <f t="shared" si="40"/>
        <v>GUARDIAN</v>
      </c>
    </row>
    <row r="1892" spans="1:10" x14ac:dyDescent="0.3">
      <c r="A1892" t="str">
        <f>""</f>
        <v/>
      </c>
      <c r="B1892" t="str">
        <f>""</f>
        <v/>
      </c>
      <c r="G1892" t="str">
        <f>""</f>
        <v/>
      </c>
      <c r="H1892" t="str">
        <f>""</f>
        <v/>
      </c>
      <c r="J1892" t="str">
        <f t="shared" si="40"/>
        <v>GUARDIAN</v>
      </c>
    </row>
    <row r="1893" spans="1:10" x14ac:dyDescent="0.3">
      <c r="A1893" t="str">
        <f>""</f>
        <v/>
      </c>
      <c r="B1893" t="str">
        <f>""</f>
        <v/>
      </c>
      <c r="G1893" t="str">
        <f>""</f>
        <v/>
      </c>
      <c r="H1893" t="str">
        <f>""</f>
        <v/>
      </c>
      <c r="J1893" t="str">
        <f t="shared" si="40"/>
        <v>GUARDIAN</v>
      </c>
    </row>
    <row r="1894" spans="1:10" x14ac:dyDescent="0.3">
      <c r="A1894" t="str">
        <f>""</f>
        <v/>
      </c>
      <c r="B1894" t="str">
        <f>""</f>
        <v/>
      </c>
      <c r="G1894" t="str">
        <f>""</f>
        <v/>
      </c>
      <c r="H1894" t="str">
        <f>""</f>
        <v/>
      </c>
      <c r="J1894" t="str">
        <f t="shared" si="40"/>
        <v>GUARDIAN</v>
      </c>
    </row>
    <row r="1895" spans="1:10" x14ac:dyDescent="0.3">
      <c r="A1895" t="str">
        <f>""</f>
        <v/>
      </c>
      <c r="B1895" t="str">
        <f>""</f>
        <v/>
      </c>
      <c r="G1895" t="str">
        <f>""</f>
        <v/>
      </c>
      <c r="H1895" t="str">
        <f>""</f>
        <v/>
      </c>
      <c r="J1895" t="str">
        <f t="shared" ref="J1895:J1958" si="41">"GUARDIAN"</f>
        <v>GUARDIAN</v>
      </c>
    </row>
    <row r="1896" spans="1:10" x14ac:dyDescent="0.3">
      <c r="A1896" t="str">
        <f>""</f>
        <v/>
      </c>
      <c r="B1896" t="str">
        <f>""</f>
        <v/>
      </c>
      <c r="G1896" t="str">
        <f>""</f>
        <v/>
      </c>
      <c r="H1896" t="str">
        <f>""</f>
        <v/>
      </c>
      <c r="J1896" t="str">
        <f t="shared" si="41"/>
        <v>GUARDIAN</v>
      </c>
    </row>
    <row r="1897" spans="1:10" x14ac:dyDescent="0.3">
      <c r="A1897" t="str">
        <f>""</f>
        <v/>
      </c>
      <c r="B1897" t="str">
        <f>""</f>
        <v/>
      </c>
      <c r="G1897" t="str">
        <f>""</f>
        <v/>
      </c>
      <c r="H1897" t="str">
        <f>""</f>
        <v/>
      </c>
      <c r="J1897" t="str">
        <f t="shared" si="41"/>
        <v>GUARDIAN</v>
      </c>
    </row>
    <row r="1898" spans="1:10" x14ac:dyDescent="0.3">
      <c r="A1898" t="str">
        <f>""</f>
        <v/>
      </c>
      <c r="B1898" t="str">
        <f>""</f>
        <v/>
      </c>
      <c r="G1898" t="str">
        <f>""</f>
        <v/>
      </c>
      <c r="H1898" t="str">
        <f>""</f>
        <v/>
      </c>
      <c r="J1898" t="str">
        <f t="shared" si="41"/>
        <v>GUARDIAN</v>
      </c>
    </row>
    <row r="1899" spans="1:10" x14ac:dyDescent="0.3">
      <c r="A1899" t="str">
        <f>""</f>
        <v/>
      </c>
      <c r="B1899" t="str">
        <f>""</f>
        <v/>
      </c>
      <c r="G1899" t="str">
        <f>""</f>
        <v/>
      </c>
      <c r="H1899" t="str">
        <f>""</f>
        <v/>
      </c>
      <c r="J1899" t="str">
        <f t="shared" si="41"/>
        <v>GUARDIAN</v>
      </c>
    </row>
    <row r="1900" spans="1:10" x14ac:dyDescent="0.3">
      <c r="A1900" t="str">
        <f>""</f>
        <v/>
      </c>
      <c r="B1900" t="str">
        <f>""</f>
        <v/>
      </c>
      <c r="G1900" t="str">
        <f>""</f>
        <v/>
      </c>
      <c r="H1900" t="str">
        <f>""</f>
        <v/>
      </c>
      <c r="J1900" t="str">
        <f t="shared" si="41"/>
        <v>GUARDIAN</v>
      </c>
    </row>
    <row r="1901" spans="1:10" x14ac:dyDescent="0.3">
      <c r="A1901" t="str">
        <f>""</f>
        <v/>
      </c>
      <c r="B1901" t="str">
        <f>""</f>
        <v/>
      </c>
      <c r="G1901" t="str">
        <f>""</f>
        <v/>
      </c>
      <c r="H1901" t="str">
        <f>""</f>
        <v/>
      </c>
      <c r="J1901" t="str">
        <f t="shared" si="41"/>
        <v>GUARDIAN</v>
      </c>
    </row>
    <row r="1902" spans="1:10" x14ac:dyDescent="0.3">
      <c r="A1902" t="str">
        <f>""</f>
        <v/>
      </c>
      <c r="B1902" t="str">
        <f>""</f>
        <v/>
      </c>
      <c r="G1902" t="str">
        <f>""</f>
        <v/>
      </c>
      <c r="H1902" t="str">
        <f>""</f>
        <v/>
      </c>
      <c r="J1902" t="str">
        <f t="shared" si="41"/>
        <v>GUARDIAN</v>
      </c>
    </row>
    <row r="1903" spans="1:10" x14ac:dyDescent="0.3">
      <c r="A1903" t="str">
        <f>""</f>
        <v/>
      </c>
      <c r="B1903" t="str">
        <f>""</f>
        <v/>
      </c>
      <c r="G1903" t="str">
        <f>""</f>
        <v/>
      </c>
      <c r="H1903" t="str">
        <f>""</f>
        <v/>
      </c>
      <c r="J1903" t="str">
        <f t="shared" si="41"/>
        <v>GUARDIAN</v>
      </c>
    </row>
    <row r="1904" spans="1:10" x14ac:dyDescent="0.3">
      <c r="A1904" t="str">
        <f>""</f>
        <v/>
      </c>
      <c r="B1904" t="str">
        <f>""</f>
        <v/>
      </c>
      <c r="G1904" t="str">
        <f>""</f>
        <v/>
      </c>
      <c r="H1904" t="str">
        <f>""</f>
        <v/>
      </c>
      <c r="J1904" t="str">
        <f t="shared" si="41"/>
        <v>GUARDIAN</v>
      </c>
    </row>
    <row r="1905" spans="1:10" x14ac:dyDescent="0.3">
      <c r="A1905" t="str">
        <f>""</f>
        <v/>
      </c>
      <c r="B1905" t="str">
        <f>""</f>
        <v/>
      </c>
      <c r="G1905" t="str">
        <f>""</f>
        <v/>
      </c>
      <c r="H1905" t="str">
        <f>""</f>
        <v/>
      </c>
      <c r="J1905" t="str">
        <f t="shared" si="41"/>
        <v>GUARDIAN</v>
      </c>
    </row>
    <row r="1906" spans="1:10" x14ac:dyDescent="0.3">
      <c r="A1906" t="str">
        <f>""</f>
        <v/>
      </c>
      <c r="B1906" t="str">
        <f>""</f>
        <v/>
      </c>
      <c r="G1906" t="str">
        <f>""</f>
        <v/>
      </c>
      <c r="H1906" t="str">
        <f>""</f>
        <v/>
      </c>
      <c r="J1906" t="str">
        <f t="shared" si="41"/>
        <v>GUARDIAN</v>
      </c>
    </row>
    <row r="1907" spans="1:10" x14ac:dyDescent="0.3">
      <c r="A1907" t="str">
        <f>""</f>
        <v/>
      </c>
      <c r="B1907" t="str">
        <f>""</f>
        <v/>
      </c>
      <c r="G1907" t="str">
        <f>""</f>
        <v/>
      </c>
      <c r="H1907" t="str">
        <f>""</f>
        <v/>
      </c>
      <c r="J1907" t="str">
        <f t="shared" si="41"/>
        <v>GUARDIAN</v>
      </c>
    </row>
    <row r="1908" spans="1:10" x14ac:dyDescent="0.3">
      <c r="A1908" t="str">
        <f>""</f>
        <v/>
      </c>
      <c r="B1908" t="str">
        <f>""</f>
        <v/>
      </c>
      <c r="G1908" t="str">
        <f>""</f>
        <v/>
      </c>
      <c r="H1908" t="str">
        <f>""</f>
        <v/>
      </c>
      <c r="J1908" t="str">
        <f t="shared" si="41"/>
        <v>GUARDIAN</v>
      </c>
    </row>
    <row r="1909" spans="1:10" x14ac:dyDescent="0.3">
      <c r="A1909" t="str">
        <f>""</f>
        <v/>
      </c>
      <c r="B1909" t="str">
        <f>""</f>
        <v/>
      </c>
      <c r="G1909" t="str">
        <f>""</f>
        <v/>
      </c>
      <c r="H1909" t="str">
        <f>""</f>
        <v/>
      </c>
      <c r="J1909" t="str">
        <f t="shared" si="41"/>
        <v>GUARDIAN</v>
      </c>
    </row>
    <row r="1910" spans="1:10" x14ac:dyDescent="0.3">
      <c r="A1910" t="str">
        <f>""</f>
        <v/>
      </c>
      <c r="B1910" t="str">
        <f>""</f>
        <v/>
      </c>
      <c r="G1910" t="str">
        <f>""</f>
        <v/>
      </c>
      <c r="H1910" t="str">
        <f>""</f>
        <v/>
      </c>
      <c r="J1910" t="str">
        <f t="shared" si="41"/>
        <v>GUARDIAN</v>
      </c>
    </row>
    <row r="1911" spans="1:10" x14ac:dyDescent="0.3">
      <c r="A1911" t="str">
        <f>""</f>
        <v/>
      </c>
      <c r="B1911" t="str">
        <f>""</f>
        <v/>
      </c>
      <c r="G1911" t="str">
        <f>""</f>
        <v/>
      </c>
      <c r="H1911" t="str">
        <f>""</f>
        <v/>
      </c>
      <c r="J1911" t="str">
        <f t="shared" si="41"/>
        <v>GUARDIAN</v>
      </c>
    </row>
    <row r="1912" spans="1:10" x14ac:dyDescent="0.3">
      <c r="A1912" t="str">
        <f>""</f>
        <v/>
      </c>
      <c r="B1912" t="str">
        <f>""</f>
        <v/>
      </c>
      <c r="G1912" t="str">
        <f>""</f>
        <v/>
      </c>
      <c r="H1912" t="str">
        <f>""</f>
        <v/>
      </c>
      <c r="J1912" t="str">
        <f t="shared" si="41"/>
        <v>GUARDIAN</v>
      </c>
    </row>
    <row r="1913" spans="1:10" x14ac:dyDescent="0.3">
      <c r="A1913" t="str">
        <f>""</f>
        <v/>
      </c>
      <c r="B1913" t="str">
        <f>""</f>
        <v/>
      </c>
      <c r="G1913" t="str">
        <f>""</f>
        <v/>
      </c>
      <c r="H1913" t="str">
        <f>""</f>
        <v/>
      </c>
      <c r="J1913" t="str">
        <f t="shared" si="41"/>
        <v>GUARDIAN</v>
      </c>
    </row>
    <row r="1914" spans="1:10" x14ac:dyDescent="0.3">
      <c r="A1914" t="str">
        <f>""</f>
        <v/>
      </c>
      <c r="B1914" t="str">
        <f>""</f>
        <v/>
      </c>
      <c r="G1914" t="str">
        <f>"GDF201708244446"</f>
        <v>GDF201708244446</v>
      </c>
      <c r="H1914" t="str">
        <f>"GUARDIAN"</f>
        <v>GUARDIAN</v>
      </c>
      <c r="I1914" s="2">
        <v>96.56</v>
      </c>
      <c r="J1914" t="str">
        <f t="shared" si="41"/>
        <v>GUARDIAN</v>
      </c>
    </row>
    <row r="1915" spans="1:10" x14ac:dyDescent="0.3">
      <c r="A1915" t="str">
        <f>""</f>
        <v/>
      </c>
      <c r="B1915" t="str">
        <f>""</f>
        <v/>
      </c>
      <c r="G1915" t="str">
        <f>""</f>
        <v/>
      </c>
      <c r="H1915" t="str">
        <f>""</f>
        <v/>
      </c>
      <c r="J1915" t="str">
        <f t="shared" si="41"/>
        <v>GUARDIAN</v>
      </c>
    </row>
    <row r="1916" spans="1:10" x14ac:dyDescent="0.3">
      <c r="A1916" t="str">
        <f>""</f>
        <v/>
      </c>
      <c r="B1916" t="str">
        <f>""</f>
        <v/>
      </c>
      <c r="G1916" t="str">
        <f>"GDS201708094186"</f>
        <v>GDS201708094186</v>
      </c>
      <c r="H1916" t="str">
        <f>"GUARDIAN"</f>
        <v>GUARDIAN</v>
      </c>
      <c r="I1916" s="2">
        <v>1908.48</v>
      </c>
      <c r="J1916" t="str">
        <f t="shared" si="41"/>
        <v>GUARDIAN</v>
      </c>
    </row>
    <row r="1917" spans="1:10" x14ac:dyDescent="0.3">
      <c r="A1917" t="str">
        <f>""</f>
        <v/>
      </c>
      <c r="B1917" t="str">
        <f>""</f>
        <v/>
      </c>
      <c r="G1917" t="str">
        <f>""</f>
        <v/>
      </c>
      <c r="H1917" t="str">
        <f>""</f>
        <v/>
      </c>
      <c r="J1917" t="str">
        <f t="shared" si="41"/>
        <v>GUARDIAN</v>
      </c>
    </row>
    <row r="1918" spans="1:10" x14ac:dyDescent="0.3">
      <c r="A1918" t="str">
        <f>""</f>
        <v/>
      </c>
      <c r="B1918" t="str">
        <f>""</f>
        <v/>
      </c>
      <c r="G1918" t="str">
        <f>""</f>
        <v/>
      </c>
      <c r="H1918" t="str">
        <f>""</f>
        <v/>
      </c>
      <c r="J1918" t="str">
        <f t="shared" si="41"/>
        <v>GUARDIAN</v>
      </c>
    </row>
    <row r="1919" spans="1:10" x14ac:dyDescent="0.3">
      <c r="A1919" t="str">
        <f>""</f>
        <v/>
      </c>
      <c r="B1919" t="str">
        <f>""</f>
        <v/>
      </c>
      <c r="G1919" t="str">
        <f>""</f>
        <v/>
      </c>
      <c r="H1919" t="str">
        <f>""</f>
        <v/>
      </c>
      <c r="J1919" t="str">
        <f t="shared" si="41"/>
        <v>GUARDIAN</v>
      </c>
    </row>
    <row r="1920" spans="1:10" x14ac:dyDescent="0.3">
      <c r="A1920" t="str">
        <f>""</f>
        <v/>
      </c>
      <c r="B1920" t="str">
        <f>""</f>
        <v/>
      </c>
      <c r="G1920" t="str">
        <f>""</f>
        <v/>
      </c>
      <c r="H1920" t="str">
        <f>""</f>
        <v/>
      </c>
      <c r="J1920" t="str">
        <f t="shared" si="41"/>
        <v>GUARDIAN</v>
      </c>
    </row>
    <row r="1921" spans="1:10" x14ac:dyDescent="0.3">
      <c r="A1921" t="str">
        <f>""</f>
        <v/>
      </c>
      <c r="B1921" t="str">
        <f>""</f>
        <v/>
      </c>
      <c r="G1921" t="str">
        <f>""</f>
        <v/>
      </c>
      <c r="H1921" t="str">
        <f>""</f>
        <v/>
      </c>
      <c r="J1921" t="str">
        <f t="shared" si="41"/>
        <v>GUARDIAN</v>
      </c>
    </row>
    <row r="1922" spans="1:10" x14ac:dyDescent="0.3">
      <c r="A1922" t="str">
        <f>""</f>
        <v/>
      </c>
      <c r="B1922" t="str">
        <f>""</f>
        <v/>
      </c>
      <c r="G1922" t="str">
        <f>""</f>
        <v/>
      </c>
      <c r="H1922" t="str">
        <f>""</f>
        <v/>
      </c>
      <c r="J1922" t="str">
        <f t="shared" si="41"/>
        <v>GUARDIAN</v>
      </c>
    </row>
    <row r="1923" spans="1:10" x14ac:dyDescent="0.3">
      <c r="A1923" t="str">
        <f>""</f>
        <v/>
      </c>
      <c r="B1923" t="str">
        <f>""</f>
        <v/>
      </c>
      <c r="G1923" t="str">
        <f>""</f>
        <v/>
      </c>
      <c r="H1923" t="str">
        <f>""</f>
        <v/>
      </c>
      <c r="J1923" t="str">
        <f t="shared" si="41"/>
        <v>GUARDIAN</v>
      </c>
    </row>
    <row r="1924" spans="1:10" x14ac:dyDescent="0.3">
      <c r="A1924" t="str">
        <f>""</f>
        <v/>
      </c>
      <c r="B1924" t="str">
        <f>""</f>
        <v/>
      </c>
      <c r="G1924" t="str">
        <f>""</f>
        <v/>
      </c>
      <c r="H1924" t="str">
        <f>""</f>
        <v/>
      </c>
      <c r="J1924" t="str">
        <f t="shared" si="41"/>
        <v>GUARDIAN</v>
      </c>
    </row>
    <row r="1925" spans="1:10" x14ac:dyDescent="0.3">
      <c r="A1925" t="str">
        <f>""</f>
        <v/>
      </c>
      <c r="B1925" t="str">
        <f>""</f>
        <v/>
      </c>
      <c r="G1925" t="str">
        <f>""</f>
        <v/>
      </c>
      <c r="H1925" t="str">
        <f>""</f>
        <v/>
      </c>
      <c r="J1925" t="str">
        <f t="shared" si="41"/>
        <v>GUARDIAN</v>
      </c>
    </row>
    <row r="1926" spans="1:10" x14ac:dyDescent="0.3">
      <c r="A1926" t="str">
        <f>""</f>
        <v/>
      </c>
      <c r="B1926" t="str">
        <f>""</f>
        <v/>
      </c>
      <c r="G1926" t="str">
        <f>""</f>
        <v/>
      </c>
      <c r="H1926" t="str">
        <f>""</f>
        <v/>
      </c>
      <c r="J1926" t="str">
        <f t="shared" si="41"/>
        <v>GUARDIAN</v>
      </c>
    </row>
    <row r="1927" spans="1:10" x14ac:dyDescent="0.3">
      <c r="A1927" t="str">
        <f>""</f>
        <v/>
      </c>
      <c r="B1927" t="str">
        <f>""</f>
        <v/>
      </c>
      <c r="G1927" t="str">
        <f>""</f>
        <v/>
      </c>
      <c r="H1927" t="str">
        <f>""</f>
        <v/>
      </c>
      <c r="J1927" t="str">
        <f t="shared" si="41"/>
        <v>GUARDIAN</v>
      </c>
    </row>
    <row r="1928" spans="1:10" x14ac:dyDescent="0.3">
      <c r="A1928" t="str">
        <f>""</f>
        <v/>
      </c>
      <c r="B1928" t="str">
        <f>""</f>
        <v/>
      </c>
      <c r="G1928" t="str">
        <f>""</f>
        <v/>
      </c>
      <c r="H1928" t="str">
        <f>""</f>
        <v/>
      </c>
      <c r="J1928" t="str">
        <f t="shared" si="41"/>
        <v>GUARDIAN</v>
      </c>
    </row>
    <row r="1929" spans="1:10" x14ac:dyDescent="0.3">
      <c r="A1929" t="str">
        <f>""</f>
        <v/>
      </c>
      <c r="B1929" t="str">
        <f>""</f>
        <v/>
      </c>
      <c r="G1929" t="str">
        <f>""</f>
        <v/>
      </c>
      <c r="H1929" t="str">
        <f>""</f>
        <v/>
      </c>
      <c r="J1929" t="str">
        <f t="shared" si="41"/>
        <v>GUARDIAN</v>
      </c>
    </row>
    <row r="1930" spans="1:10" x14ac:dyDescent="0.3">
      <c r="A1930" t="str">
        <f>""</f>
        <v/>
      </c>
      <c r="B1930" t="str">
        <f>""</f>
        <v/>
      </c>
      <c r="G1930" t="str">
        <f>""</f>
        <v/>
      </c>
      <c r="H1930" t="str">
        <f>""</f>
        <v/>
      </c>
      <c r="J1930" t="str">
        <f t="shared" si="41"/>
        <v>GUARDIAN</v>
      </c>
    </row>
    <row r="1931" spans="1:10" x14ac:dyDescent="0.3">
      <c r="A1931" t="str">
        <f>""</f>
        <v/>
      </c>
      <c r="B1931" t="str">
        <f>""</f>
        <v/>
      </c>
      <c r="G1931" t="str">
        <f>""</f>
        <v/>
      </c>
      <c r="H1931" t="str">
        <f>""</f>
        <v/>
      </c>
      <c r="J1931" t="str">
        <f t="shared" si="41"/>
        <v>GUARDIAN</v>
      </c>
    </row>
    <row r="1932" spans="1:10" x14ac:dyDescent="0.3">
      <c r="A1932" t="str">
        <f>""</f>
        <v/>
      </c>
      <c r="B1932" t="str">
        <f>""</f>
        <v/>
      </c>
      <c r="G1932" t="str">
        <f>""</f>
        <v/>
      </c>
      <c r="H1932" t="str">
        <f>""</f>
        <v/>
      </c>
      <c r="J1932" t="str">
        <f t="shared" si="41"/>
        <v>GUARDIAN</v>
      </c>
    </row>
    <row r="1933" spans="1:10" x14ac:dyDescent="0.3">
      <c r="A1933" t="str">
        <f>""</f>
        <v/>
      </c>
      <c r="B1933" t="str">
        <f>""</f>
        <v/>
      </c>
      <c r="G1933" t="str">
        <f>""</f>
        <v/>
      </c>
      <c r="H1933" t="str">
        <f>""</f>
        <v/>
      </c>
      <c r="J1933" t="str">
        <f t="shared" si="41"/>
        <v>GUARDIAN</v>
      </c>
    </row>
    <row r="1934" spans="1:10" x14ac:dyDescent="0.3">
      <c r="A1934" t="str">
        <f>""</f>
        <v/>
      </c>
      <c r="B1934" t="str">
        <f>""</f>
        <v/>
      </c>
      <c r="G1934" t="str">
        <f>""</f>
        <v/>
      </c>
      <c r="H1934" t="str">
        <f>""</f>
        <v/>
      </c>
      <c r="J1934" t="str">
        <f t="shared" si="41"/>
        <v>GUARDIAN</v>
      </c>
    </row>
    <row r="1935" spans="1:10" x14ac:dyDescent="0.3">
      <c r="A1935" t="str">
        <f>""</f>
        <v/>
      </c>
      <c r="B1935" t="str">
        <f>""</f>
        <v/>
      </c>
      <c r="G1935" t="str">
        <f>""</f>
        <v/>
      </c>
      <c r="H1935" t="str">
        <f>""</f>
        <v/>
      </c>
      <c r="J1935" t="str">
        <f t="shared" si="41"/>
        <v>GUARDIAN</v>
      </c>
    </row>
    <row r="1936" spans="1:10" x14ac:dyDescent="0.3">
      <c r="A1936" t="str">
        <f>""</f>
        <v/>
      </c>
      <c r="B1936" t="str">
        <f>""</f>
        <v/>
      </c>
      <c r="G1936" t="str">
        <f>""</f>
        <v/>
      </c>
      <c r="H1936" t="str">
        <f>""</f>
        <v/>
      </c>
      <c r="J1936" t="str">
        <f t="shared" si="41"/>
        <v>GUARDIAN</v>
      </c>
    </row>
    <row r="1937" spans="1:10" x14ac:dyDescent="0.3">
      <c r="A1937" t="str">
        <f>""</f>
        <v/>
      </c>
      <c r="B1937" t="str">
        <f>""</f>
        <v/>
      </c>
      <c r="G1937" t="str">
        <f>""</f>
        <v/>
      </c>
      <c r="H1937" t="str">
        <f>""</f>
        <v/>
      </c>
      <c r="J1937" t="str">
        <f t="shared" si="41"/>
        <v>GUARDIAN</v>
      </c>
    </row>
    <row r="1938" spans="1:10" x14ac:dyDescent="0.3">
      <c r="A1938" t="str">
        <f>""</f>
        <v/>
      </c>
      <c r="B1938" t="str">
        <f>""</f>
        <v/>
      </c>
      <c r="G1938" t="str">
        <f>""</f>
        <v/>
      </c>
      <c r="H1938" t="str">
        <f>""</f>
        <v/>
      </c>
      <c r="J1938" t="str">
        <f t="shared" si="41"/>
        <v>GUARDIAN</v>
      </c>
    </row>
    <row r="1939" spans="1:10" x14ac:dyDescent="0.3">
      <c r="A1939" t="str">
        <f>""</f>
        <v/>
      </c>
      <c r="B1939" t="str">
        <f>""</f>
        <v/>
      </c>
      <c r="G1939" t="str">
        <f>""</f>
        <v/>
      </c>
      <c r="H1939" t="str">
        <f>""</f>
        <v/>
      </c>
      <c r="J1939" t="str">
        <f t="shared" si="41"/>
        <v>GUARDIAN</v>
      </c>
    </row>
    <row r="1940" spans="1:10" x14ac:dyDescent="0.3">
      <c r="A1940" t="str">
        <f>""</f>
        <v/>
      </c>
      <c r="B1940" t="str">
        <f>""</f>
        <v/>
      </c>
      <c r="G1940" t="str">
        <f>""</f>
        <v/>
      </c>
      <c r="H1940" t="str">
        <f>""</f>
        <v/>
      </c>
      <c r="J1940" t="str">
        <f t="shared" si="41"/>
        <v>GUARDIAN</v>
      </c>
    </row>
    <row r="1941" spans="1:10" x14ac:dyDescent="0.3">
      <c r="A1941" t="str">
        <f>""</f>
        <v/>
      </c>
      <c r="B1941" t="str">
        <f>""</f>
        <v/>
      </c>
      <c r="G1941" t="str">
        <f>""</f>
        <v/>
      </c>
      <c r="H1941" t="str">
        <f>""</f>
        <v/>
      </c>
      <c r="J1941" t="str">
        <f t="shared" si="41"/>
        <v>GUARDIAN</v>
      </c>
    </row>
    <row r="1942" spans="1:10" x14ac:dyDescent="0.3">
      <c r="A1942" t="str">
        <f>""</f>
        <v/>
      </c>
      <c r="B1942" t="str">
        <f>""</f>
        <v/>
      </c>
      <c r="G1942" t="str">
        <f>""</f>
        <v/>
      </c>
      <c r="H1942" t="str">
        <f>""</f>
        <v/>
      </c>
      <c r="J1942" t="str">
        <f t="shared" si="41"/>
        <v>GUARDIAN</v>
      </c>
    </row>
    <row r="1943" spans="1:10" x14ac:dyDescent="0.3">
      <c r="A1943" t="str">
        <f>""</f>
        <v/>
      </c>
      <c r="B1943" t="str">
        <f>""</f>
        <v/>
      </c>
      <c r="G1943" t="str">
        <f>""</f>
        <v/>
      </c>
      <c r="H1943" t="str">
        <f>""</f>
        <v/>
      </c>
      <c r="J1943" t="str">
        <f t="shared" si="41"/>
        <v>GUARDIAN</v>
      </c>
    </row>
    <row r="1944" spans="1:10" x14ac:dyDescent="0.3">
      <c r="A1944" t="str">
        <f>""</f>
        <v/>
      </c>
      <c r="B1944" t="str">
        <f>""</f>
        <v/>
      </c>
      <c r="G1944" t="str">
        <f>""</f>
        <v/>
      </c>
      <c r="H1944" t="str">
        <f>""</f>
        <v/>
      </c>
      <c r="J1944" t="str">
        <f t="shared" si="41"/>
        <v>GUARDIAN</v>
      </c>
    </row>
    <row r="1945" spans="1:10" x14ac:dyDescent="0.3">
      <c r="A1945" t="str">
        <f>""</f>
        <v/>
      </c>
      <c r="B1945" t="str">
        <f>""</f>
        <v/>
      </c>
      <c r="G1945" t="str">
        <f>""</f>
        <v/>
      </c>
      <c r="H1945" t="str">
        <f>""</f>
        <v/>
      </c>
      <c r="J1945" t="str">
        <f t="shared" si="41"/>
        <v>GUARDIAN</v>
      </c>
    </row>
    <row r="1946" spans="1:10" x14ac:dyDescent="0.3">
      <c r="A1946" t="str">
        <f>""</f>
        <v/>
      </c>
      <c r="B1946" t="str">
        <f>""</f>
        <v/>
      </c>
      <c r="G1946" t="str">
        <f>""</f>
        <v/>
      </c>
      <c r="H1946" t="str">
        <f>""</f>
        <v/>
      </c>
      <c r="J1946" t="str">
        <f t="shared" si="41"/>
        <v>GUARDIAN</v>
      </c>
    </row>
    <row r="1947" spans="1:10" x14ac:dyDescent="0.3">
      <c r="A1947" t="str">
        <f>""</f>
        <v/>
      </c>
      <c r="B1947" t="str">
        <f>""</f>
        <v/>
      </c>
      <c r="G1947" t="str">
        <f>"GDS201708234445"</f>
        <v>GDS201708234445</v>
      </c>
      <c r="H1947" t="str">
        <f>"GUARDIAN"</f>
        <v>GUARDIAN</v>
      </c>
      <c r="I1947" s="2">
        <v>1848.84</v>
      </c>
      <c r="J1947" t="str">
        <f t="shared" si="41"/>
        <v>GUARDIAN</v>
      </c>
    </row>
    <row r="1948" spans="1:10" x14ac:dyDescent="0.3">
      <c r="A1948" t="str">
        <f>""</f>
        <v/>
      </c>
      <c r="B1948" t="str">
        <f>""</f>
        <v/>
      </c>
      <c r="G1948" t="str">
        <f>""</f>
        <v/>
      </c>
      <c r="H1948" t="str">
        <f>""</f>
        <v/>
      </c>
      <c r="J1948" t="str">
        <f t="shared" si="41"/>
        <v>GUARDIAN</v>
      </c>
    </row>
    <row r="1949" spans="1:10" x14ac:dyDescent="0.3">
      <c r="A1949" t="str">
        <f>""</f>
        <v/>
      </c>
      <c r="B1949" t="str">
        <f>""</f>
        <v/>
      </c>
      <c r="G1949" t="str">
        <f>""</f>
        <v/>
      </c>
      <c r="H1949" t="str">
        <f>""</f>
        <v/>
      </c>
      <c r="J1949" t="str">
        <f t="shared" si="41"/>
        <v>GUARDIAN</v>
      </c>
    </row>
    <row r="1950" spans="1:10" x14ac:dyDescent="0.3">
      <c r="A1950" t="str">
        <f>""</f>
        <v/>
      </c>
      <c r="B1950" t="str">
        <f>""</f>
        <v/>
      </c>
      <c r="G1950" t="str">
        <f>""</f>
        <v/>
      </c>
      <c r="H1950" t="str">
        <f>""</f>
        <v/>
      </c>
      <c r="J1950" t="str">
        <f t="shared" si="41"/>
        <v>GUARDIAN</v>
      </c>
    </row>
    <row r="1951" spans="1:10" x14ac:dyDescent="0.3">
      <c r="A1951" t="str">
        <f>""</f>
        <v/>
      </c>
      <c r="B1951" t="str">
        <f>""</f>
        <v/>
      </c>
      <c r="G1951" t="str">
        <f>""</f>
        <v/>
      </c>
      <c r="H1951" t="str">
        <f>""</f>
        <v/>
      </c>
      <c r="J1951" t="str">
        <f t="shared" si="41"/>
        <v>GUARDIAN</v>
      </c>
    </row>
    <row r="1952" spans="1:10" x14ac:dyDescent="0.3">
      <c r="A1952" t="str">
        <f>""</f>
        <v/>
      </c>
      <c r="B1952" t="str">
        <f>""</f>
        <v/>
      </c>
      <c r="G1952" t="str">
        <f>""</f>
        <v/>
      </c>
      <c r="H1952" t="str">
        <f>""</f>
        <v/>
      </c>
      <c r="J1952" t="str">
        <f t="shared" si="41"/>
        <v>GUARDIAN</v>
      </c>
    </row>
    <row r="1953" spans="1:10" x14ac:dyDescent="0.3">
      <c r="A1953" t="str">
        <f>""</f>
        <v/>
      </c>
      <c r="B1953" t="str">
        <f>""</f>
        <v/>
      </c>
      <c r="G1953" t="str">
        <f>""</f>
        <v/>
      </c>
      <c r="H1953" t="str">
        <f>""</f>
        <v/>
      </c>
      <c r="J1953" t="str">
        <f t="shared" si="41"/>
        <v>GUARDIAN</v>
      </c>
    </row>
    <row r="1954" spans="1:10" x14ac:dyDescent="0.3">
      <c r="A1954" t="str">
        <f>""</f>
        <v/>
      </c>
      <c r="B1954" t="str">
        <f>""</f>
        <v/>
      </c>
      <c r="G1954" t="str">
        <f>""</f>
        <v/>
      </c>
      <c r="H1954" t="str">
        <f>""</f>
        <v/>
      </c>
      <c r="J1954" t="str">
        <f t="shared" si="41"/>
        <v>GUARDIAN</v>
      </c>
    </row>
    <row r="1955" spans="1:10" x14ac:dyDescent="0.3">
      <c r="A1955" t="str">
        <f>""</f>
        <v/>
      </c>
      <c r="B1955" t="str">
        <f>""</f>
        <v/>
      </c>
      <c r="G1955" t="str">
        <f>""</f>
        <v/>
      </c>
      <c r="H1955" t="str">
        <f>""</f>
        <v/>
      </c>
      <c r="J1955" t="str">
        <f t="shared" si="41"/>
        <v>GUARDIAN</v>
      </c>
    </row>
    <row r="1956" spans="1:10" x14ac:dyDescent="0.3">
      <c r="A1956" t="str">
        <f>""</f>
        <v/>
      </c>
      <c r="B1956" t="str">
        <f>""</f>
        <v/>
      </c>
      <c r="G1956" t="str">
        <f>""</f>
        <v/>
      </c>
      <c r="H1956" t="str">
        <f>""</f>
        <v/>
      </c>
      <c r="J1956" t="str">
        <f t="shared" si="41"/>
        <v>GUARDIAN</v>
      </c>
    </row>
    <row r="1957" spans="1:10" x14ac:dyDescent="0.3">
      <c r="A1957" t="str">
        <f>""</f>
        <v/>
      </c>
      <c r="B1957" t="str">
        <f>""</f>
        <v/>
      </c>
      <c r="G1957" t="str">
        <f>""</f>
        <v/>
      </c>
      <c r="H1957" t="str">
        <f>""</f>
        <v/>
      </c>
      <c r="J1957" t="str">
        <f t="shared" si="41"/>
        <v>GUARDIAN</v>
      </c>
    </row>
    <row r="1958" spans="1:10" x14ac:dyDescent="0.3">
      <c r="A1958" t="str">
        <f>""</f>
        <v/>
      </c>
      <c r="B1958" t="str">
        <f>""</f>
        <v/>
      </c>
      <c r="G1958" t="str">
        <f>""</f>
        <v/>
      </c>
      <c r="H1958" t="str">
        <f>""</f>
        <v/>
      </c>
      <c r="J1958" t="str">
        <f t="shared" si="41"/>
        <v>GUARDIAN</v>
      </c>
    </row>
    <row r="1959" spans="1:10" x14ac:dyDescent="0.3">
      <c r="A1959" t="str">
        <f>""</f>
        <v/>
      </c>
      <c r="B1959" t="str">
        <f>""</f>
        <v/>
      </c>
      <c r="G1959" t="str">
        <f>""</f>
        <v/>
      </c>
      <c r="H1959" t="str">
        <f>""</f>
        <v/>
      </c>
      <c r="J1959" t="str">
        <f t="shared" ref="J1959:J1977" si="42">"GUARDIAN"</f>
        <v>GUARDIAN</v>
      </c>
    </row>
    <row r="1960" spans="1:10" x14ac:dyDescent="0.3">
      <c r="A1960" t="str">
        <f>""</f>
        <v/>
      </c>
      <c r="B1960" t="str">
        <f>""</f>
        <v/>
      </c>
      <c r="G1960" t="str">
        <f>""</f>
        <v/>
      </c>
      <c r="H1960" t="str">
        <f>""</f>
        <v/>
      </c>
      <c r="J1960" t="str">
        <f t="shared" si="42"/>
        <v>GUARDIAN</v>
      </c>
    </row>
    <row r="1961" spans="1:10" x14ac:dyDescent="0.3">
      <c r="A1961" t="str">
        <f>""</f>
        <v/>
      </c>
      <c r="B1961" t="str">
        <f>""</f>
        <v/>
      </c>
      <c r="G1961" t="str">
        <f>""</f>
        <v/>
      </c>
      <c r="H1961" t="str">
        <f>""</f>
        <v/>
      </c>
      <c r="J1961" t="str">
        <f t="shared" si="42"/>
        <v>GUARDIAN</v>
      </c>
    </row>
    <row r="1962" spans="1:10" x14ac:dyDescent="0.3">
      <c r="A1962" t="str">
        <f>""</f>
        <v/>
      </c>
      <c r="B1962" t="str">
        <f>""</f>
        <v/>
      </c>
      <c r="G1962" t="str">
        <f>""</f>
        <v/>
      </c>
      <c r="H1962" t="str">
        <f>""</f>
        <v/>
      </c>
      <c r="J1962" t="str">
        <f t="shared" si="42"/>
        <v>GUARDIAN</v>
      </c>
    </row>
    <row r="1963" spans="1:10" x14ac:dyDescent="0.3">
      <c r="A1963" t="str">
        <f>""</f>
        <v/>
      </c>
      <c r="B1963" t="str">
        <f>""</f>
        <v/>
      </c>
      <c r="G1963" t="str">
        <f>""</f>
        <v/>
      </c>
      <c r="H1963" t="str">
        <f>""</f>
        <v/>
      </c>
      <c r="J1963" t="str">
        <f t="shared" si="42"/>
        <v>GUARDIAN</v>
      </c>
    </row>
    <row r="1964" spans="1:10" x14ac:dyDescent="0.3">
      <c r="A1964" t="str">
        <f>""</f>
        <v/>
      </c>
      <c r="B1964" t="str">
        <f>""</f>
        <v/>
      </c>
      <c r="G1964" t="str">
        <f>""</f>
        <v/>
      </c>
      <c r="H1964" t="str">
        <f>""</f>
        <v/>
      </c>
      <c r="J1964" t="str">
        <f t="shared" si="42"/>
        <v>GUARDIAN</v>
      </c>
    </row>
    <row r="1965" spans="1:10" x14ac:dyDescent="0.3">
      <c r="A1965" t="str">
        <f>""</f>
        <v/>
      </c>
      <c r="B1965" t="str">
        <f>""</f>
        <v/>
      </c>
      <c r="G1965" t="str">
        <f>""</f>
        <v/>
      </c>
      <c r="H1965" t="str">
        <f>""</f>
        <v/>
      </c>
      <c r="J1965" t="str">
        <f t="shared" si="42"/>
        <v>GUARDIAN</v>
      </c>
    </row>
    <row r="1966" spans="1:10" x14ac:dyDescent="0.3">
      <c r="A1966" t="str">
        <f>""</f>
        <v/>
      </c>
      <c r="B1966" t="str">
        <f>""</f>
        <v/>
      </c>
      <c r="G1966" t="str">
        <f>""</f>
        <v/>
      </c>
      <c r="H1966" t="str">
        <f>""</f>
        <v/>
      </c>
      <c r="J1966" t="str">
        <f t="shared" si="42"/>
        <v>GUARDIAN</v>
      </c>
    </row>
    <row r="1967" spans="1:10" x14ac:dyDescent="0.3">
      <c r="A1967" t="str">
        <f>""</f>
        <v/>
      </c>
      <c r="B1967" t="str">
        <f>""</f>
        <v/>
      </c>
      <c r="G1967" t="str">
        <f>""</f>
        <v/>
      </c>
      <c r="H1967" t="str">
        <f>""</f>
        <v/>
      </c>
      <c r="J1967" t="str">
        <f t="shared" si="42"/>
        <v>GUARDIAN</v>
      </c>
    </row>
    <row r="1968" spans="1:10" x14ac:dyDescent="0.3">
      <c r="A1968" t="str">
        <f>""</f>
        <v/>
      </c>
      <c r="B1968" t="str">
        <f>""</f>
        <v/>
      </c>
      <c r="G1968" t="str">
        <f>""</f>
        <v/>
      </c>
      <c r="H1968" t="str">
        <f>""</f>
        <v/>
      </c>
      <c r="J1968" t="str">
        <f t="shared" si="42"/>
        <v>GUARDIAN</v>
      </c>
    </row>
    <row r="1969" spans="1:10" x14ac:dyDescent="0.3">
      <c r="A1969" t="str">
        <f>""</f>
        <v/>
      </c>
      <c r="B1969" t="str">
        <f>""</f>
        <v/>
      </c>
      <c r="G1969" t="str">
        <f>""</f>
        <v/>
      </c>
      <c r="H1969" t="str">
        <f>""</f>
        <v/>
      </c>
      <c r="J1969" t="str">
        <f t="shared" si="42"/>
        <v>GUARDIAN</v>
      </c>
    </row>
    <row r="1970" spans="1:10" x14ac:dyDescent="0.3">
      <c r="A1970" t="str">
        <f>""</f>
        <v/>
      </c>
      <c r="B1970" t="str">
        <f>""</f>
        <v/>
      </c>
      <c r="G1970" t="str">
        <f>""</f>
        <v/>
      </c>
      <c r="H1970" t="str">
        <f>""</f>
        <v/>
      </c>
      <c r="J1970" t="str">
        <f t="shared" si="42"/>
        <v>GUARDIAN</v>
      </c>
    </row>
    <row r="1971" spans="1:10" x14ac:dyDescent="0.3">
      <c r="A1971" t="str">
        <f>""</f>
        <v/>
      </c>
      <c r="B1971" t="str">
        <f>""</f>
        <v/>
      </c>
      <c r="G1971" t="str">
        <f>""</f>
        <v/>
      </c>
      <c r="H1971" t="str">
        <f>""</f>
        <v/>
      </c>
      <c r="J1971" t="str">
        <f t="shared" si="42"/>
        <v>GUARDIAN</v>
      </c>
    </row>
    <row r="1972" spans="1:10" x14ac:dyDescent="0.3">
      <c r="A1972" t="str">
        <f>""</f>
        <v/>
      </c>
      <c r="B1972" t="str">
        <f>""</f>
        <v/>
      </c>
      <c r="G1972" t="str">
        <f>""</f>
        <v/>
      </c>
      <c r="H1972" t="str">
        <f>""</f>
        <v/>
      </c>
      <c r="J1972" t="str">
        <f t="shared" si="42"/>
        <v>GUARDIAN</v>
      </c>
    </row>
    <row r="1973" spans="1:10" x14ac:dyDescent="0.3">
      <c r="A1973" t="str">
        <f>""</f>
        <v/>
      </c>
      <c r="B1973" t="str">
        <f>""</f>
        <v/>
      </c>
      <c r="G1973" t="str">
        <f>""</f>
        <v/>
      </c>
      <c r="H1973" t="str">
        <f>""</f>
        <v/>
      </c>
      <c r="J1973" t="str">
        <f t="shared" si="42"/>
        <v>GUARDIAN</v>
      </c>
    </row>
    <row r="1974" spans="1:10" x14ac:dyDescent="0.3">
      <c r="A1974" t="str">
        <f>""</f>
        <v/>
      </c>
      <c r="B1974" t="str">
        <f>""</f>
        <v/>
      </c>
      <c r="G1974" t="str">
        <f>""</f>
        <v/>
      </c>
      <c r="H1974" t="str">
        <f>""</f>
        <v/>
      </c>
      <c r="J1974" t="str">
        <f t="shared" si="42"/>
        <v>GUARDIAN</v>
      </c>
    </row>
    <row r="1975" spans="1:10" x14ac:dyDescent="0.3">
      <c r="A1975" t="str">
        <f>""</f>
        <v/>
      </c>
      <c r="B1975" t="str">
        <f>""</f>
        <v/>
      </c>
      <c r="G1975" t="str">
        <f>""</f>
        <v/>
      </c>
      <c r="H1975" t="str">
        <f>""</f>
        <v/>
      </c>
      <c r="J1975" t="str">
        <f t="shared" si="42"/>
        <v>GUARDIAN</v>
      </c>
    </row>
    <row r="1976" spans="1:10" x14ac:dyDescent="0.3">
      <c r="A1976" t="str">
        <f>""</f>
        <v/>
      </c>
      <c r="B1976" t="str">
        <f>""</f>
        <v/>
      </c>
      <c r="G1976" t="str">
        <f>""</f>
        <v/>
      </c>
      <c r="H1976" t="str">
        <f>""</f>
        <v/>
      </c>
      <c r="J1976" t="str">
        <f t="shared" si="42"/>
        <v>GUARDIAN</v>
      </c>
    </row>
    <row r="1977" spans="1:10" x14ac:dyDescent="0.3">
      <c r="A1977" t="str">
        <f>""</f>
        <v/>
      </c>
      <c r="B1977" t="str">
        <f>""</f>
        <v/>
      </c>
      <c r="G1977" t="str">
        <f>""</f>
        <v/>
      </c>
      <c r="H1977" t="str">
        <f>""</f>
        <v/>
      </c>
      <c r="J1977" t="str">
        <f t="shared" si="42"/>
        <v>GUARDIAN</v>
      </c>
    </row>
    <row r="1978" spans="1:10" x14ac:dyDescent="0.3">
      <c r="A1978" t="str">
        <f>""</f>
        <v/>
      </c>
      <c r="B1978" t="str">
        <f>""</f>
        <v/>
      </c>
      <c r="G1978" t="str">
        <f>"GV1201708094186"</f>
        <v>GV1201708094186</v>
      </c>
      <c r="H1978" t="str">
        <f>"GUARDIAN VISION"</f>
        <v>GUARDIAN VISION</v>
      </c>
      <c r="I1978" s="2">
        <v>341.6</v>
      </c>
      <c r="J1978" t="str">
        <f>"GUARDIAN VISION"</f>
        <v>GUARDIAN VISION</v>
      </c>
    </row>
    <row r="1979" spans="1:10" x14ac:dyDescent="0.3">
      <c r="A1979" t="str">
        <f>""</f>
        <v/>
      </c>
      <c r="B1979" t="str">
        <f>""</f>
        <v/>
      </c>
      <c r="G1979" t="str">
        <f>"GV1201708094187"</f>
        <v>GV1201708094187</v>
      </c>
      <c r="H1979" t="str">
        <f>"GUARDIAN VISION"</f>
        <v>GUARDIAN VISION</v>
      </c>
      <c r="I1979" s="2">
        <v>5.6</v>
      </c>
      <c r="J1979" t="str">
        <f>"GUARDIAN VISION"</f>
        <v>GUARDIAN VISION</v>
      </c>
    </row>
    <row r="1980" spans="1:10" x14ac:dyDescent="0.3">
      <c r="A1980" t="str">
        <f>""</f>
        <v/>
      </c>
      <c r="B1980" t="str">
        <f>""</f>
        <v/>
      </c>
      <c r="G1980" t="str">
        <f>"GV1201708234445"</f>
        <v>GV1201708234445</v>
      </c>
      <c r="H1980" t="str">
        <f>"GUARDIAN VISION"</f>
        <v>GUARDIAN VISION</v>
      </c>
      <c r="I1980" s="2">
        <v>330.4</v>
      </c>
      <c r="J1980" t="str">
        <f>"GUARDIAN VISION"</f>
        <v>GUARDIAN VISION</v>
      </c>
    </row>
    <row r="1981" spans="1:10" x14ac:dyDescent="0.3">
      <c r="A1981" t="str">
        <f>""</f>
        <v/>
      </c>
      <c r="B1981" t="str">
        <f>""</f>
        <v/>
      </c>
      <c r="G1981" t="str">
        <f>"GV1201708244446"</f>
        <v>GV1201708244446</v>
      </c>
      <c r="H1981" t="str">
        <f>"GUARDIAN VISION"</f>
        <v>GUARDIAN VISION</v>
      </c>
      <c r="I1981" s="2">
        <v>5.6</v>
      </c>
      <c r="J1981" t="str">
        <f>"GUARDIAN VISION"</f>
        <v>GUARDIAN VISION</v>
      </c>
    </row>
    <row r="1982" spans="1:10" x14ac:dyDescent="0.3">
      <c r="A1982" t="str">
        <f>""</f>
        <v/>
      </c>
      <c r="B1982" t="str">
        <f>""</f>
        <v/>
      </c>
      <c r="G1982" t="str">
        <f>"GVE201708094186"</f>
        <v>GVE201708094186</v>
      </c>
      <c r="H1982" t="str">
        <f>"GUARDIAN VISION VENDOR"</f>
        <v>GUARDIAN VISION VENDOR</v>
      </c>
      <c r="I1982" s="2">
        <v>538.74</v>
      </c>
      <c r="J1982" t="str">
        <f>"GUARDIAN VISION VENDOR"</f>
        <v>GUARDIAN VISION VENDOR</v>
      </c>
    </row>
    <row r="1983" spans="1:10" x14ac:dyDescent="0.3">
      <c r="A1983" t="str">
        <f>""</f>
        <v/>
      </c>
      <c r="B1983" t="str">
        <f>""</f>
        <v/>
      </c>
      <c r="G1983" t="str">
        <f>"GVE201708094187"</f>
        <v>GVE201708094187</v>
      </c>
      <c r="H1983" t="str">
        <f>"GUARDIAN VISION VENDOR"</f>
        <v>GUARDIAN VISION VENDOR</v>
      </c>
      <c r="I1983" s="2">
        <v>22.14</v>
      </c>
      <c r="J1983" t="str">
        <f>"GUARDIAN VISION VENDOR"</f>
        <v>GUARDIAN VISION VENDOR</v>
      </c>
    </row>
    <row r="1984" spans="1:10" x14ac:dyDescent="0.3">
      <c r="A1984" t="str">
        <f>""</f>
        <v/>
      </c>
      <c r="B1984" t="str">
        <f>""</f>
        <v/>
      </c>
      <c r="G1984" t="str">
        <f>"GVE201708234445"</f>
        <v>GVE201708234445</v>
      </c>
      <c r="H1984" t="str">
        <f>"GUARDIAN VISION VENDOR"</f>
        <v>GUARDIAN VISION VENDOR</v>
      </c>
      <c r="I1984" s="2">
        <v>538.74</v>
      </c>
      <c r="J1984" t="str">
        <f>"GUARDIAN VISION VENDOR"</f>
        <v>GUARDIAN VISION VENDOR</v>
      </c>
    </row>
    <row r="1985" spans="1:10" x14ac:dyDescent="0.3">
      <c r="A1985" t="str">
        <f>""</f>
        <v/>
      </c>
      <c r="B1985" t="str">
        <f>""</f>
        <v/>
      </c>
      <c r="G1985" t="str">
        <f>"GVE201708244446"</f>
        <v>GVE201708244446</v>
      </c>
      <c r="H1985" t="str">
        <f>"GUARDIAN VISION VENDOR"</f>
        <v>GUARDIAN VISION VENDOR</v>
      </c>
      <c r="I1985" s="2">
        <v>22.14</v>
      </c>
      <c r="J1985" t="str">
        <f>"GUARDIAN VISION VENDOR"</f>
        <v>GUARDIAN VISION VENDOR</v>
      </c>
    </row>
    <row r="1986" spans="1:10" x14ac:dyDescent="0.3">
      <c r="A1986" t="str">
        <f>""</f>
        <v/>
      </c>
      <c r="B1986" t="str">
        <f>""</f>
        <v/>
      </c>
      <c r="G1986" t="str">
        <f>"GVF201708094186"</f>
        <v>GVF201708094186</v>
      </c>
      <c r="H1986" t="str">
        <f>"GUARDIAN VISION"</f>
        <v>GUARDIAN VISION</v>
      </c>
      <c r="I1986" s="2">
        <v>482.65</v>
      </c>
      <c r="J1986" t="str">
        <f>"GUARDIAN VISION"</f>
        <v>GUARDIAN VISION</v>
      </c>
    </row>
    <row r="1987" spans="1:10" x14ac:dyDescent="0.3">
      <c r="A1987" t="str">
        <f>""</f>
        <v/>
      </c>
      <c r="B1987" t="str">
        <f>""</f>
        <v/>
      </c>
      <c r="G1987" t="str">
        <f>"GVF201708094187"</f>
        <v>GVF201708094187</v>
      </c>
      <c r="H1987" t="str">
        <f>"GUARDIAN VISION VENDOR"</f>
        <v>GUARDIAN VISION VENDOR</v>
      </c>
      <c r="I1987" s="2">
        <v>19.7</v>
      </c>
      <c r="J1987" t="str">
        <f>"GUARDIAN VISION VENDOR"</f>
        <v>GUARDIAN VISION VENDOR</v>
      </c>
    </row>
    <row r="1988" spans="1:10" x14ac:dyDescent="0.3">
      <c r="A1988" t="str">
        <f>""</f>
        <v/>
      </c>
      <c r="B1988" t="str">
        <f>""</f>
        <v/>
      </c>
      <c r="G1988" t="str">
        <f>"GVF201708234445"</f>
        <v>GVF201708234445</v>
      </c>
      <c r="H1988" t="str">
        <f>"GUARDIAN VISION"</f>
        <v>GUARDIAN VISION</v>
      </c>
      <c r="I1988" s="2">
        <v>462.95</v>
      </c>
      <c r="J1988" t="str">
        <f>"GUARDIAN VISION"</f>
        <v>GUARDIAN VISION</v>
      </c>
    </row>
    <row r="1989" spans="1:10" x14ac:dyDescent="0.3">
      <c r="A1989" t="str">
        <f>""</f>
        <v/>
      </c>
      <c r="B1989" t="str">
        <f>""</f>
        <v/>
      </c>
      <c r="G1989" t="str">
        <f>"GVF201708244446"</f>
        <v>GVF201708244446</v>
      </c>
      <c r="H1989" t="str">
        <f>"GUARDIAN VISION VENDOR"</f>
        <v>GUARDIAN VISION VENDOR</v>
      </c>
      <c r="I1989" s="2">
        <v>19.7</v>
      </c>
      <c r="J1989" t="str">
        <f>"GUARDIAN VISION VENDOR"</f>
        <v>GUARDIAN VISION VENDOR</v>
      </c>
    </row>
    <row r="1990" spans="1:10" x14ac:dyDescent="0.3">
      <c r="A1990" t="str">
        <f>""</f>
        <v/>
      </c>
      <c r="B1990" t="str">
        <f>""</f>
        <v/>
      </c>
      <c r="G1990" t="str">
        <f>"LIA201708094186"</f>
        <v>LIA201708094186</v>
      </c>
      <c r="H1990" t="str">
        <f>"GUARDIAN"</f>
        <v>GUARDIAN</v>
      </c>
      <c r="I1990" s="2">
        <v>107.2</v>
      </c>
      <c r="J1990" t="str">
        <f t="shared" ref="J1990:J2021" si="43">"GUARDIAN"</f>
        <v>GUARDIAN</v>
      </c>
    </row>
    <row r="1991" spans="1:10" x14ac:dyDescent="0.3">
      <c r="A1991" t="str">
        <f>""</f>
        <v/>
      </c>
      <c r="B1991" t="str">
        <f>""</f>
        <v/>
      </c>
      <c r="G1991" t="str">
        <f>""</f>
        <v/>
      </c>
      <c r="H1991" t="str">
        <f>""</f>
        <v/>
      </c>
      <c r="J1991" t="str">
        <f t="shared" si="43"/>
        <v>GUARDIAN</v>
      </c>
    </row>
    <row r="1992" spans="1:10" x14ac:dyDescent="0.3">
      <c r="A1992" t="str">
        <f>""</f>
        <v/>
      </c>
      <c r="B1992" t="str">
        <f>""</f>
        <v/>
      </c>
      <c r="G1992" t="str">
        <f>""</f>
        <v/>
      </c>
      <c r="H1992" t="str">
        <f>""</f>
        <v/>
      </c>
      <c r="J1992" t="str">
        <f t="shared" si="43"/>
        <v>GUARDIAN</v>
      </c>
    </row>
    <row r="1993" spans="1:10" x14ac:dyDescent="0.3">
      <c r="A1993" t="str">
        <f>""</f>
        <v/>
      </c>
      <c r="B1993" t="str">
        <f>""</f>
        <v/>
      </c>
      <c r="G1993" t="str">
        <f>""</f>
        <v/>
      </c>
      <c r="H1993" t="str">
        <f>""</f>
        <v/>
      </c>
      <c r="J1993" t="str">
        <f t="shared" si="43"/>
        <v>GUARDIAN</v>
      </c>
    </row>
    <row r="1994" spans="1:10" x14ac:dyDescent="0.3">
      <c r="A1994" t="str">
        <f>""</f>
        <v/>
      </c>
      <c r="B1994" t="str">
        <f>""</f>
        <v/>
      </c>
      <c r="G1994" t="str">
        <f>""</f>
        <v/>
      </c>
      <c r="H1994" t="str">
        <f>""</f>
        <v/>
      </c>
      <c r="J1994" t="str">
        <f t="shared" si="43"/>
        <v>GUARDIAN</v>
      </c>
    </row>
    <row r="1995" spans="1:10" x14ac:dyDescent="0.3">
      <c r="A1995" t="str">
        <f>""</f>
        <v/>
      </c>
      <c r="B1995" t="str">
        <f>""</f>
        <v/>
      </c>
      <c r="G1995" t="str">
        <f>""</f>
        <v/>
      </c>
      <c r="H1995" t="str">
        <f>""</f>
        <v/>
      </c>
      <c r="J1995" t="str">
        <f t="shared" si="43"/>
        <v>GUARDIAN</v>
      </c>
    </row>
    <row r="1996" spans="1:10" x14ac:dyDescent="0.3">
      <c r="A1996" t="str">
        <f>""</f>
        <v/>
      </c>
      <c r="B1996" t="str">
        <f>""</f>
        <v/>
      </c>
      <c r="G1996" t="str">
        <f>""</f>
        <v/>
      </c>
      <c r="H1996" t="str">
        <f>""</f>
        <v/>
      </c>
      <c r="J1996" t="str">
        <f t="shared" si="43"/>
        <v>GUARDIAN</v>
      </c>
    </row>
    <row r="1997" spans="1:10" x14ac:dyDescent="0.3">
      <c r="A1997" t="str">
        <f>""</f>
        <v/>
      </c>
      <c r="B1997" t="str">
        <f>""</f>
        <v/>
      </c>
      <c r="G1997" t="str">
        <f>""</f>
        <v/>
      </c>
      <c r="H1997" t="str">
        <f>""</f>
        <v/>
      </c>
      <c r="J1997" t="str">
        <f t="shared" si="43"/>
        <v>GUARDIAN</v>
      </c>
    </row>
    <row r="1998" spans="1:10" x14ac:dyDescent="0.3">
      <c r="A1998" t="str">
        <f>""</f>
        <v/>
      </c>
      <c r="B1998" t="str">
        <f>""</f>
        <v/>
      </c>
      <c r="G1998" t="str">
        <f>""</f>
        <v/>
      </c>
      <c r="H1998" t="str">
        <f>""</f>
        <v/>
      </c>
      <c r="J1998" t="str">
        <f t="shared" si="43"/>
        <v>GUARDIAN</v>
      </c>
    </row>
    <row r="1999" spans="1:10" x14ac:dyDescent="0.3">
      <c r="A1999" t="str">
        <f>""</f>
        <v/>
      </c>
      <c r="B1999" t="str">
        <f>""</f>
        <v/>
      </c>
      <c r="G1999" t="str">
        <f>""</f>
        <v/>
      </c>
      <c r="H1999" t="str">
        <f>""</f>
        <v/>
      </c>
      <c r="J1999" t="str">
        <f t="shared" si="43"/>
        <v>GUARDIAN</v>
      </c>
    </row>
    <row r="2000" spans="1:10" x14ac:dyDescent="0.3">
      <c r="A2000" t="str">
        <f>""</f>
        <v/>
      </c>
      <c r="B2000" t="str">
        <f>""</f>
        <v/>
      </c>
      <c r="G2000" t="str">
        <f>""</f>
        <v/>
      </c>
      <c r="H2000" t="str">
        <f>""</f>
        <v/>
      </c>
      <c r="J2000" t="str">
        <f t="shared" si="43"/>
        <v>GUARDIAN</v>
      </c>
    </row>
    <row r="2001" spans="1:10" x14ac:dyDescent="0.3">
      <c r="A2001" t="str">
        <f>""</f>
        <v/>
      </c>
      <c r="B2001" t="str">
        <f>""</f>
        <v/>
      </c>
      <c r="G2001" t="str">
        <f>""</f>
        <v/>
      </c>
      <c r="H2001" t="str">
        <f>""</f>
        <v/>
      </c>
      <c r="J2001" t="str">
        <f t="shared" si="43"/>
        <v>GUARDIAN</v>
      </c>
    </row>
    <row r="2002" spans="1:10" x14ac:dyDescent="0.3">
      <c r="A2002" t="str">
        <f>""</f>
        <v/>
      </c>
      <c r="B2002" t="str">
        <f>""</f>
        <v/>
      </c>
      <c r="G2002" t="str">
        <f>""</f>
        <v/>
      </c>
      <c r="H2002" t="str">
        <f>""</f>
        <v/>
      </c>
      <c r="J2002" t="str">
        <f t="shared" si="43"/>
        <v>GUARDIAN</v>
      </c>
    </row>
    <row r="2003" spans="1:10" x14ac:dyDescent="0.3">
      <c r="A2003" t="str">
        <f>""</f>
        <v/>
      </c>
      <c r="B2003" t="str">
        <f>""</f>
        <v/>
      </c>
      <c r="G2003" t="str">
        <f>""</f>
        <v/>
      </c>
      <c r="H2003" t="str">
        <f>""</f>
        <v/>
      </c>
      <c r="J2003" t="str">
        <f t="shared" si="43"/>
        <v>GUARDIAN</v>
      </c>
    </row>
    <row r="2004" spans="1:10" x14ac:dyDescent="0.3">
      <c r="A2004" t="str">
        <f>""</f>
        <v/>
      </c>
      <c r="B2004" t="str">
        <f>""</f>
        <v/>
      </c>
      <c r="G2004" t="str">
        <f>""</f>
        <v/>
      </c>
      <c r="H2004" t="str">
        <f>""</f>
        <v/>
      </c>
      <c r="J2004" t="str">
        <f t="shared" si="43"/>
        <v>GUARDIAN</v>
      </c>
    </row>
    <row r="2005" spans="1:10" x14ac:dyDescent="0.3">
      <c r="A2005" t="str">
        <f>""</f>
        <v/>
      </c>
      <c r="B2005" t="str">
        <f>""</f>
        <v/>
      </c>
      <c r="G2005" t="str">
        <f>""</f>
        <v/>
      </c>
      <c r="H2005" t="str">
        <f>""</f>
        <v/>
      </c>
      <c r="J2005" t="str">
        <f t="shared" si="43"/>
        <v>GUARDIAN</v>
      </c>
    </row>
    <row r="2006" spans="1:10" x14ac:dyDescent="0.3">
      <c r="A2006" t="str">
        <f>""</f>
        <v/>
      </c>
      <c r="B2006" t="str">
        <f>""</f>
        <v/>
      </c>
      <c r="G2006" t="str">
        <f>""</f>
        <v/>
      </c>
      <c r="H2006" t="str">
        <f>""</f>
        <v/>
      </c>
      <c r="J2006" t="str">
        <f t="shared" si="43"/>
        <v>GUARDIAN</v>
      </c>
    </row>
    <row r="2007" spans="1:10" x14ac:dyDescent="0.3">
      <c r="A2007" t="str">
        <f>""</f>
        <v/>
      </c>
      <c r="B2007" t="str">
        <f>""</f>
        <v/>
      </c>
      <c r="G2007" t="str">
        <f>""</f>
        <v/>
      </c>
      <c r="H2007" t="str">
        <f>""</f>
        <v/>
      </c>
      <c r="J2007" t="str">
        <f t="shared" si="43"/>
        <v>GUARDIAN</v>
      </c>
    </row>
    <row r="2008" spans="1:10" x14ac:dyDescent="0.3">
      <c r="A2008" t="str">
        <f>""</f>
        <v/>
      </c>
      <c r="B2008" t="str">
        <f>""</f>
        <v/>
      </c>
      <c r="G2008" t="str">
        <f>""</f>
        <v/>
      </c>
      <c r="H2008" t="str">
        <f>""</f>
        <v/>
      </c>
      <c r="J2008" t="str">
        <f t="shared" si="43"/>
        <v>GUARDIAN</v>
      </c>
    </row>
    <row r="2009" spans="1:10" x14ac:dyDescent="0.3">
      <c r="A2009" t="str">
        <f>""</f>
        <v/>
      </c>
      <c r="B2009" t="str">
        <f>""</f>
        <v/>
      </c>
      <c r="G2009" t="str">
        <f>""</f>
        <v/>
      </c>
      <c r="H2009" t="str">
        <f>""</f>
        <v/>
      </c>
      <c r="J2009" t="str">
        <f t="shared" si="43"/>
        <v>GUARDIAN</v>
      </c>
    </row>
    <row r="2010" spans="1:10" x14ac:dyDescent="0.3">
      <c r="A2010" t="str">
        <f>""</f>
        <v/>
      </c>
      <c r="B2010" t="str">
        <f>""</f>
        <v/>
      </c>
      <c r="G2010" t="str">
        <f>""</f>
        <v/>
      </c>
      <c r="H2010" t="str">
        <f>""</f>
        <v/>
      </c>
      <c r="J2010" t="str">
        <f t="shared" si="43"/>
        <v>GUARDIAN</v>
      </c>
    </row>
    <row r="2011" spans="1:10" x14ac:dyDescent="0.3">
      <c r="A2011" t="str">
        <f>""</f>
        <v/>
      </c>
      <c r="B2011" t="str">
        <f>""</f>
        <v/>
      </c>
      <c r="G2011" t="str">
        <f>""</f>
        <v/>
      </c>
      <c r="H2011" t="str">
        <f>""</f>
        <v/>
      </c>
      <c r="J2011" t="str">
        <f t="shared" si="43"/>
        <v>GUARDIAN</v>
      </c>
    </row>
    <row r="2012" spans="1:10" x14ac:dyDescent="0.3">
      <c r="A2012" t="str">
        <f>""</f>
        <v/>
      </c>
      <c r="B2012" t="str">
        <f>""</f>
        <v/>
      </c>
      <c r="G2012" t="str">
        <f>"LIA201708234445"</f>
        <v>LIA201708234445</v>
      </c>
      <c r="H2012" t="str">
        <f>"GUARDIAN"</f>
        <v>GUARDIAN</v>
      </c>
      <c r="I2012" s="2">
        <v>107.2</v>
      </c>
      <c r="J2012" t="str">
        <f t="shared" si="43"/>
        <v>GUARDIAN</v>
      </c>
    </row>
    <row r="2013" spans="1:10" x14ac:dyDescent="0.3">
      <c r="A2013" t="str">
        <f>""</f>
        <v/>
      </c>
      <c r="B2013" t="str">
        <f>""</f>
        <v/>
      </c>
      <c r="G2013" t="str">
        <f>""</f>
        <v/>
      </c>
      <c r="H2013" t="str">
        <f>""</f>
        <v/>
      </c>
      <c r="J2013" t="str">
        <f t="shared" si="43"/>
        <v>GUARDIAN</v>
      </c>
    </row>
    <row r="2014" spans="1:10" x14ac:dyDescent="0.3">
      <c r="A2014" t="str">
        <f>""</f>
        <v/>
      </c>
      <c r="B2014" t="str">
        <f>""</f>
        <v/>
      </c>
      <c r="G2014" t="str">
        <f>""</f>
        <v/>
      </c>
      <c r="H2014" t="str">
        <f>""</f>
        <v/>
      </c>
      <c r="J2014" t="str">
        <f t="shared" si="43"/>
        <v>GUARDIAN</v>
      </c>
    </row>
    <row r="2015" spans="1:10" x14ac:dyDescent="0.3">
      <c r="A2015" t="str">
        <f>""</f>
        <v/>
      </c>
      <c r="B2015" t="str">
        <f>""</f>
        <v/>
      </c>
      <c r="G2015" t="str">
        <f>""</f>
        <v/>
      </c>
      <c r="H2015" t="str">
        <f>""</f>
        <v/>
      </c>
      <c r="J2015" t="str">
        <f t="shared" si="43"/>
        <v>GUARDIAN</v>
      </c>
    </row>
    <row r="2016" spans="1:10" x14ac:dyDescent="0.3">
      <c r="A2016" t="str">
        <f>""</f>
        <v/>
      </c>
      <c r="B2016" t="str">
        <f>""</f>
        <v/>
      </c>
      <c r="G2016" t="str">
        <f>""</f>
        <v/>
      </c>
      <c r="H2016" t="str">
        <f>""</f>
        <v/>
      </c>
      <c r="J2016" t="str">
        <f t="shared" si="43"/>
        <v>GUARDIAN</v>
      </c>
    </row>
    <row r="2017" spans="1:10" x14ac:dyDescent="0.3">
      <c r="A2017" t="str">
        <f>""</f>
        <v/>
      </c>
      <c r="B2017" t="str">
        <f>""</f>
        <v/>
      </c>
      <c r="G2017" t="str">
        <f>""</f>
        <v/>
      </c>
      <c r="H2017" t="str">
        <f>""</f>
        <v/>
      </c>
      <c r="J2017" t="str">
        <f t="shared" si="43"/>
        <v>GUARDIAN</v>
      </c>
    </row>
    <row r="2018" spans="1:10" x14ac:dyDescent="0.3">
      <c r="A2018" t="str">
        <f>""</f>
        <v/>
      </c>
      <c r="B2018" t="str">
        <f>""</f>
        <v/>
      </c>
      <c r="G2018" t="str">
        <f>""</f>
        <v/>
      </c>
      <c r="H2018" t="str">
        <f>""</f>
        <v/>
      </c>
      <c r="J2018" t="str">
        <f t="shared" si="43"/>
        <v>GUARDIAN</v>
      </c>
    </row>
    <row r="2019" spans="1:10" x14ac:dyDescent="0.3">
      <c r="A2019" t="str">
        <f>""</f>
        <v/>
      </c>
      <c r="B2019" t="str">
        <f>""</f>
        <v/>
      </c>
      <c r="G2019" t="str">
        <f>""</f>
        <v/>
      </c>
      <c r="H2019" t="str">
        <f>""</f>
        <v/>
      </c>
      <c r="J2019" t="str">
        <f t="shared" si="43"/>
        <v>GUARDIAN</v>
      </c>
    </row>
    <row r="2020" spans="1:10" x14ac:dyDescent="0.3">
      <c r="A2020" t="str">
        <f>""</f>
        <v/>
      </c>
      <c r="B2020" t="str">
        <f>""</f>
        <v/>
      </c>
      <c r="G2020" t="str">
        <f>""</f>
        <v/>
      </c>
      <c r="H2020" t="str">
        <f>""</f>
        <v/>
      </c>
      <c r="J2020" t="str">
        <f t="shared" si="43"/>
        <v>GUARDIAN</v>
      </c>
    </row>
    <row r="2021" spans="1:10" x14ac:dyDescent="0.3">
      <c r="A2021" t="str">
        <f>""</f>
        <v/>
      </c>
      <c r="B2021" t="str">
        <f>""</f>
        <v/>
      </c>
      <c r="G2021" t="str">
        <f>""</f>
        <v/>
      </c>
      <c r="H2021" t="str">
        <f>""</f>
        <v/>
      </c>
      <c r="J2021" t="str">
        <f t="shared" si="43"/>
        <v>GUARDIAN</v>
      </c>
    </row>
    <row r="2022" spans="1:10" x14ac:dyDescent="0.3">
      <c r="A2022" t="str">
        <f>""</f>
        <v/>
      </c>
      <c r="B2022" t="str">
        <f>""</f>
        <v/>
      </c>
      <c r="G2022" t="str">
        <f>""</f>
        <v/>
      </c>
      <c r="H2022" t="str">
        <f>""</f>
        <v/>
      </c>
      <c r="J2022" t="str">
        <f t="shared" ref="J2022:J2053" si="44">"GUARDIAN"</f>
        <v>GUARDIAN</v>
      </c>
    </row>
    <row r="2023" spans="1:10" x14ac:dyDescent="0.3">
      <c r="A2023" t="str">
        <f>""</f>
        <v/>
      </c>
      <c r="B2023" t="str">
        <f>""</f>
        <v/>
      </c>
      <c r="G2023" t="str">
        <f>""</f>
        <v/>
      </c>
      <c r="H2023" t="str">
        <f>""</f>
        <v/>
      </c>
      <c r="J2023" t="str">
        <f t="shared" si="44"/>
        <v>GUARDIAN</v>
      </c>
    </row>
    <row r="2024" spans="1:10" x14ac:dyDescent="0.3">
      <c r="A2024" t="str">
        <f>""</f>
        <v/>
      </c>
      <c r="B2024" t="str">
        <f>""</f>
        <v/>
      </c>
      <c r="G2024" t="str">
        <f>""</f>
        <v/>
      </c>
      <c r="H2024" t="str">
        <f>""</f>
        <v/>
      </c>
      <c r="J2024" t="str">
        <f t="shared" si="44"/>
        <v>GUARDIAN</v>
      </c>
    </row>
    <row r="2025" spans="1:10" x14ac:dyDescent="0.3">
      <c r="A2025" t="str">
        <f>""</f>
        <v/>
      </c>
      <c r="B2025" t="str">
        <f>""</f>
        <v/>
      </c>
      <c r="G2025" t="str">
        <f>""</f>
        <v/>
      </c>
      <c r="H2025" t="str">
        <f>""</f>
        <v/>
      </c>
      <c r="J2025" t="str">
        <f t="shared" si="44"/>
        <v>GUARDIAN</v>
      </c>
    </row>
    <row r="2026" spans="1:10" x14ac:dyDescent="0.3">
      <c r="A2026" t="str">
        <f>""</f>
        <v/>
      </c>
      <c r="B2026" t="str">
        <f>""</f>
        <v/>
      </c>
      <c r="G2026" t="str">
        <f>""</f>
        <v/>
      </c>
      <c r="H2026" t="str">
        <f>""</f>
        <v/>
      </c>
      <c r="J2026" t="str">
        <f t="shared" si="44"/>
        <v>GUARDIAN</v>
      </c>
    </row>
    <row r="2027" spans="1:10" x14ac:dyDescent="0.3">
      <c r="A2027" t="str">
        <f>""</f>
        <v/>
      </c>
      <c r="B2027" t="str">
        <f>""</f>
        <v/>
      </c>
      <c r="G2027" t="str">
        <f>""</f>
        <v/>
      </c>
      <c r="H2027" t="str">
        <f>""</f>
        <v/>
      </c>
      <c r="J2027" t="str">
        <f t="shared" si="44"/>
        <v>GUARDIAN</v>
      </c>
    </row>
    <row r="2028" spans="1:10" x14ac:dyDescent="0.3">
      <c r="A2028" t="str">
        <f>""</f>
        <v/>
      </c>
      <c r="B2028" t="str">
        <f>""</f>
        <v/>
      </c>
      <c r="G2028" t="str">
        <f>""</f>
        <v/>
      </c>
      <c r="H2028" t="str">
        <f>""</f>
        <v/>
      </c>
      <c r="J2028" t="str">
        <f t="shared" si="44"/>
        <v>GUARDIAN</v>
      </c>
    </row>
    <row r="2029" spans="1:10" x14ac:dyDescent="0.3">
      <c r="A2029" t="str">
        <f>""</f>
        <v/>
      </c>
      <c r="B2029" t="str">
        <f>""</f>
        <v/>
      </c>
      <c r="G2029" t="str">
        <f>""</f>
        <v/>
      </c>
      <c r="H2029" t="str">
        <f>""</f>
        <v/>
      </c>
      <c r="J2029" t="str">
        <f t="shared" si="44"/>
        <v>GUARDIAN</v>
      </c>
    </row>
    <row r="2030" spans="1:10" x14ac:dyDescent="0.3">
      <c r="A2030" t="str">
        <f>""</f>
        <v/>
      </c>
      <c r="B2030" t="str">
        <f>""</f>
        <v/>
      </c>
      <c r="G2030" t="str">
        <f>""</f>
        <v/>
      </c>
      <c r="H2030" t="str">
        <f>""</f>
        <v/>
      </c>
      <c r="J2030" t="str">
        <f t="shared" si="44"/>
        <v>GUARDIAN</v>
      </c>
    </row>
    <row r="2031" spans="1:10" x14ac:dyDescent="0.3">
      <c r="A2031" t="str">
        <f>""</f>
        <v/>
      </c>
      <c r="B2031" t="str">
        <f>""</f>
        <v/>
      </c>
      <c r="G2031" t="str">
        <f>""</f>
        <v/>
      </c>
      <c r="H2031" t="str">
        <f>""</f>
        <v/>
      </c>
      <c r="J2031" t="str">
        <f t="shared" si="44"/>
        <v>GUARDIAN</v>
      </c>
    </row>
    <row r="2032" spans="1:10" x14ac:dyDescent="0.3">
      <c r="A2032" t="str">
        <f>""</f>
        <v/>
      </c>
      <c r="B2032" t="str">
        <f>""</f>
        <v/>
      </c>
      <c r="G2032" t="str">
        <f>""</f>
        <v/>
      </c>
      <c r="H2032" t="str">
        <f>""</f>
        <v/>
      </c>
      <c r="J2032" t="str">
        <f t="shared" si="44"/>
        <v>GUARDIAN</v>
      </c>
    </row>
    <row r="2033" spans="1:10" x14ac:dyDescent="0.3">
      <c r="A2033" t="str">
        <f>""</f>
        <v/>
      </c>
      <c r="B2033" t="str">
        <f>""</f>
        <v/>
      </c>
      <c r="G2033" t="str">
        <f>""</f>
        <v/>
      </c>
      <c r="H2033" t="str">
        <f>""</f>
        <v/>
      </c>
      <c r="J2033" t="str">
        <f t="shared" si="44"/>
        <v>GUARDIAN</v>
      </c>
    </row>
    <row r="2034" spans="1:10" x14ac:dyDescent="0.3">
      <c r="A2034" t="str">
        <f>""</f>
        <v/>
      </c>
      <c r="B2034" t="str">
        <f>""</f>
        <v/>
      </c>
      <c r="G2034" t="str">
        <f>"LIC201708094186"</f>
        <v>LIC201708094186</v>
      </c>
      <c r="H2034" t="str">
        <f>"GUARDIAN"</f>
        <v>GUARDIAN</v>
      </c>
      <c r="I2034" s="2">
        <v>38.799999999999997</v>
      </c>
      <c r="J2034" t="str">
        <f t="shared" si="44"/>
        <v>GUARDIAN</v>
      </c>
    </row>
    <row r="2035" spans="1:10" x14ac:dyDescent="0.3">
      <c r="A2035" t="str">
        <f>""</f>
        <v/>
      </c>
      <c r="B2035" t="str">
        <f>""</f>
        <v/>
      </c>
      <c r="G2035" t="str">
        <f>"LIC201708094187"</f>
        <v>LIC201708094187</v>
      </c>
      <c r="H2035" t="str">
        <f>"GUARDIAN"</f>
        <v>GUARDIAN</v>
      </c>
      <c r="I2035" s="2">
        <v>1.05</v>
      </c>
      <c r="J2035" t="str">
        <f t="shared" si="44"/>
        <v>GUARDIAN</v>
      </c>
    </row>
    <row r="2036" spans="1:10" x14ac:dyDescent="0.3">
      <c r="A2036" t="str">
        <f>""</f>
        <v/>
      </c>
      <c r="B2036" t="str">
        <f>""</f>
        <v/>
      </c>
      <c r="G2036" t="str">
        <f>"LIC201708234445"</f>
        <v>LIC201708234445</v>
      </c>
      <c r="H2036" t="str">
        <f>"GUARDIAN"</f>
        <v>GUARDIAN</v>
      </c>
      <c r="I2036" s="2">
        <v>36</v>
      </c>
      <c r="J2036" t="str">
        <f t="shared" si="44"/>
        <v>GUARDIAN</v>
      </c>
    </row>
    <row r="2037" spans="1:10" x14ac:dyDescent="0.3">
      <c r="A2037" t="str">
        <f>""</f>
        <v/>
      </c>
      <c r="B2037" t="str">
        <f>""</f>
        <v/>
      </c>
      <c r="G2037" t="str">
        <f>"LIC201708244446"</f>
        <v>LIC201708244446</v>
      </c>
      <c r="H2037" t="str">
        <f>"GUARDIAN"</f>
        <v>GUARDIAN</v>
      </c>
      <c r="I2037" s="2">
        <v>1.05</v>
      </c>
      <c r="J2037" t="str">
        <f t="shared" si="44"/>
        <v>GUARDIAN</v>
      </c>
    </row>
    <row r="2038" spans="1:10" x14ac:dyDescent="0.3">
      <c r="A2038" t="str">
        <f>""</f>
        <v/>
      </c>
      <c r="B2038" t="str">
        <f>""</f>
        <v/>
      </c>
      <c r="G2038" t="str">
        <f>"LIE201708094186"</f>
        <v>LIE201708094186</v>
      </c>
      <c r="H2038" t="str">
        <f>"GUARDIAN"</f>
        <v>GUARDIAN</v>
      </c>
      <c r="I2038" s="2">
        <v>3127.25</v>
      </c>
      <c r="J2038" t="str">
        <f t="shared" si="44"/>
        <v>GUARDIAN</v>
      </c>
    </row>
    <row r="2039" spans="1:10" x14ac:dyDescent="0.3">
      <c r="A2039" t="str">
        <f>""</f>
        <v/>
      </c>
      <c r="B2039" t="str">
        <f>""</f>
        <v/>
      </c>
      <c r="G2039" t="str">
        <f>""</f>
        <v/>
      </c>
      <c r="H2039" t="str">
        <f>""</f>
        <v/>
      </c>
      <c r="J2039" t="str">
        <f t="shared" si="44"/>
        <v>GUARDIAN</v>
      </c>
    </row>
    <row r="2040" spans="1:10" x14ac:dyDescent="0.3">
      <c r="A2040" t="str">
        <f>""</f>
        <v/>
      </c>
      <c r="B2040" t="str">
        <f>""</f>
        <v/>
      </c>
      <c r="G2040" t="str">
        <f>""</f>
        <v/>
      </c>
      <c r="H2040" t="str">
        <f>""</f>
        <v/>
      </c>
      <c r="J2040" t="str">
        <f t="shared" si="44"/>
        <v>GUARDIAN</v>
      </c>
    </row>
    <row r="2041" spans="1:10" x14ac:dyDescent="0.3">
      <c r="A2041" t="str">
        <f>""</f>
        <v/>
      </c>
      <c r="B2041" t="str">
        <f>""</f>
        <v/>
      </c>
      <c r="G2041" t="str">
        <f>""</f>
        <v/>
      </c>
      <c r="H2041" t="str">
        <f>""</f>
        <v/>
      </c>
      <c r="J2041" t="str">
        <f t="shared" si="44"/>
        <v>GUARDIAN</v>
      </c>
    </row>
    <row r="2042" spans="1:10" x14ac:dyDescent="0.3">
      <c r="A2042" t="str">
        <f>""</f>
        <v/>
      </c>
      <c r="B2042" t="str">
        <f>""</f>
        <v/>
      </c>
      <c r="G2042" t="str">
        <f>""</f>
        <v/>
      </c>
      <c r="H2042" t="str">
        <f>""</f>
        <v/>
      </c>
      <c r="J2042" t="str">
        <f t="shared" si="44"/>
        <v>GUARDIAN</v>
      </c>
    </row>
    <row r="2043" spans="1:10" x14ac:dyDescent="0.3">
      <c r="A2043" t="str">
        <f>""</f>
        <v/>
      </c>
      <c r="B2043" t="str">
        <f>""</f>
        <v/>
      </c>
      <c r="G2043" t="str">
        <f>""</f>
        <v/>
      </c>
      <c r="H2043" t="str">
        <f>""</f>
        <v/>
      </c>
      <c r="J2043" t="str">
        <f t="shared" si="44"/>
        <v>GUARDIAN</v>
      </c>
    </row>
    <row r="2044" spans="1:10" x14ac:dyDescent="0.3">
      <c r="A2044" t="str">
        <f>""</f>
        <v/>
      </c>
      <c r="B2044" t="str">
        <f>""</f>
        <v/>
      </c>
      <c r="G2044" t="str">
        <f>""</f>
        <v/>
      </c>
      <c r="H2044" t="str">
        <f>""</f>
        <v/>
      </c>
      <c r="J2044" t="str">
        <f t="shared" si="44"/>
        <v>GUARDIAN</v>
      </c>
    </row>
    <row r="2045" spans="1:10" x14ac:dyDescent="0.3">
      <c r="A2045" t="str">
        <f>""</f>
        <v/>
      </c>
      <c r="B2045" t="str">
        <f>""</f>
        <v/>
      </c>
      <c r="G2045" t="str">
        <f>""</f>
        <v/>
      </c>
      <c r="H2045" t="str">
        <f>""</f>
        <v/>
      </c>
      <c r="J2045" t="str">
        <f t="shared" si="44"/>
        <v>GUARDIAN</v>
      </c>
    </row>
    <row r="2046" spans="1:10" x14ac:dyDescent="0.3">
      <c r="A2046" t="str">
        <f>""</f>
        <v/>
      </c>
      <c r="B2046" t="str">
        <f>""</f>
        <v/>
      </c>
      <c r="G2046" t="str">
        <f>""</f>
        <v/>
      </c>
      <c r="H2046" t="str">
        <f>""</f>
        <v/>
      </c>
      <c r="J2046" t="str">
        <f t="shared" si="44"/>
        <v>GUARDIAN</v>
      </c>
    </row>
    <row r="2047" spans="1:10" x14ac:dyDescent="0.3">
      <c r="A2047" t="str">
        <f>""</f>
        <v/>
      </c>
      <c r="B2047" t="str">
        <f>""</f>
        <v/>
      </c>
      <c r="G2047" t="str">
        <f>""</f>
        <v/>
      </c>
      <c r="H2047" t="str">
        <f>""</f>
        <v/>
      </c>
      <c r="J2047" t="str">
        <f t="shared" si="44"/>
        <v>GUARDIAN</v>
      </c>
    </row>
    <row r="2048" spans="1:10" x14ac:dyDescent="0.3">
      <c r="A2048" t="str">
        <f>""</f>
        <v/>
      </c>
      <c r="B2048" t="str">
        <f>""</f>
        <v/>
      </c>
      <c r="G2048" t="str">
        <f>""</f>
        <v/>
      </c>
      <c r="H2048" t="str">
        <f>""</f>
        <v/>
      </c>
      <c r="J2048" t="str">
        <f t="shared" si="44"/>
        <v>GUARDIAN</v>
      </c>
    </row>
    <row r="2049" spans="1:10" x14ac:dyDescent="0.3">
      <c r="A2049" t="str">
        <f>""</f>
        <v/>
      </c>
      <c r="B2049" t="str">
        <f>""</f>
        <v/>
      </c>
      <c r="G2049" t="str">
        <f>""</f>
        <v/>
      </c>
      <c r="H2049" t="str">
        <f>""</f>
        <v/>
      </c>
      <c r="J2049" t="str">
        <f t="shared" si="44"/>
        <v>GUARDIAN</v>
      </c>
    </row>
    <row r="2050" spans="1:10" x14ac:dyDescent="0.3">
      <c r="A2050" t="str">
        <f>""</f>
        <v/>
      </c>
      <c r="B2050" t="str">
        <f>""</f>
        <v/>
      </c>
      <c r="G2050" t="str">
        <f>""</f>
        <v/>
      </c>
      <c r="H2050" t="str">
        <f>""</f>
        <v/>
      </c>
      <c r="J2050" t="str">
        <f t="shared" si="44"/>
        <v>GUARDIAN</v>
      </c>
    </row>
    <row r="2051" spans="1:10" x14ac:dyDescent="0.3">
      <c r="A2051" t="str">
        <f>""</f>
        <v/>
      </c>
      <c r="B2051" t="str">
        <f>""</f>
        <v/>
      </c>
      <c r="G2051" t="str">
        <f>""</f>
        <v/>
      </c>
      <c r="H2051" t="str">
        <f>""</f>
        <v/>
      </c>
      <c r="J2051" t="str">
        <f t="shared" si="44"/>
        <v>GUARDIAN</v>
      </c>
    </row>
    <row r="2052" spans="1:10" x14ac:dyDescent="0.3">
      <c r="A2052" t="str">
        <f>""</f>
        <v/>
      </c>
      <c r="B2052" t="str">
        <f>""</f>
        <v/>
      </c>
      <c r="G2052" t="str">
        <f>""</f>
        <v/>
      </c>
      <c r="H2052" t="str">
        <f>""</f>
        <v/>
      </c>
      <c r="J2052" t="str">
        <f t="shared" si="44"/>
        <v>GUARDIAN</v>
      </c>
    </row>
    <row r="2053" spans="1:10" x14ac:dyDescent="0.3">
      <c r="A2053" t="str">
        <f>""</f>
        <v/>
      </c>
      <c r="B2053" t="str">
        <f>""</f>
        <v/>
      </c>
      <c r="G2053" t="str">
        <f>""</f>
        <v/>
      </c>
      <c r="H2053" t="str">
        <f>""</f>
        <v/>
      </c>
      <c r="J2053" t="str">
        <f t="shared" si="44"/>
        <v>GUARDIAN</v>
      </c>
    </row>
    <row r="2054" spans="1:10" x14ac:dyDescent="0.3">
      <c r="A2054" t="str">
        <f>""</f>
        <v/>
      </c>
      <c r="B2054" t="str">
        <f>""</f>
        <v/>
      </c>
      <c r="G2054" t="str">
        <f>""</f>
        <v/>
      </c>
      <c r="H2054" t="str">
        <f>""</f>
        <v/>
      </c>
      <c r="J2054" t="str">
        <f t="shared" ref="J2054:J2085" si="45">"GUARDIAN"</f>
        <v>GUARDIAN</v>
      </c>
    </row>
    <row r="2055" spans="1:10" x14ac:dyDescent="0.3">
      <c r="A2055" t="str">
        <f>""</f>
        <v/>
      </c>
      <c r="B2055" t="str">
        <f>""</f>
        <v/>
      </c>
      <c r="G2055" t="str">
        <f>""</f>
        <v/>
      </c>
      <c r="H2055" t="str">
        <f>""</f>
        <v/>
      </c>
      <c r="J2055" t="str">
        <f t="shared" si="45"/>
        <v>GUARDIAN</v>
      </c>
    </row>
    <row r="2056" spans="1:10" x14ac:dyDescent="0.3">
      <c r="A2056" t="str">
        <f>""</f>
        <v/>
      </c>
      <c r="B2056" t="str">
        <f>""</f>
        <v/>
      </c>
      <c r="G2056" t="str">
        <f>""</f>
        <v/>
      </c>
      <c r="H2056" t="str">
        <f>""</f>
        <v/>
      </c>
      <c r="J2056" t="str">
        <f t="shared" si="45"/>
        <v>GUARDIAN</v>
      </c>
    </row>
    <row r="2057" spans="1:10" x14ac:dyDescent="0.3">
      <c r="A2057" t="str">
        <f>""</f>
        <v/>
      </c>
      <c r="B2057" t="str">
        <f>""</f>
        <v/>
      </c>
      <c r="G2057" t="str">
        <f>""</f>
        <v/>
      </c>
      <c r="H2057" t="str">
        <f>""</f>
        <v/>
      </c>
      <c r="J2057" t="str">
        <f t="shared" si="45"/>
        <v>GUARDIAN</v>
      </c>
    </row>
    <row r="2058" spans="1:10" x14ac:dyDescent="0.3">
      <c r="A2058" t="str">
        <f>""</f>
        <v/>
      </c>
      <c r="B2058" t="str">
        <f>""</f>
        <v/>
      </c>
      <c r="G2058" t="str">
        <f>""</f>
        <v/>
      </c>
      <c r="H2058" t="str">
        <f>""</f>
        <v/>
      </c>
      <c r="J2058" t="str">
        <f t="shared" si="45"/>
        <v>GUARDIAN</v>
      </c>
    </row>
    <row r="2059" spans="1:10" x14ac:dyDescent="0.3">
      <c r="A2059" t="str">
        <f>""</f>
        <v/>
      </c>
      <c r="B2059" t="str">
        <f>""</f>
        <v/>
      </c>
      <c r="G2059" t="str">
        <f>""</f>
        <v/>
      </c>
      <c r="H2059" t="str">
        <f>""</f>
        <v/>
      </c>
      <c r="J2059" t="str">
        <f t="shared" si="45"/>
        <v>GUARDIAN</v>
      </c>
    </row>
    <row r="2060" spans="1:10" x14ac:dyDescent="0.3">
      <c r="A2060" t="str">
        <f>""</f>
        <v/>
      </c>
      <c r="B2060" t="str">
        <f>""</f>
        <v/>
      </c>
      <c r="G2060" t="str">
        <f>""</f>
        <v/>
      </c>
      <c r="H2060" t="str">
        <f>""</f>
        <v/>
      </c>
      <c r="J2060" t="str">
        <f t="shared" si="45"/>
        <v>GUARDIAN</v>
      </c>
    </row>
    <row r="2061" spans="1:10" x14ac:dyDescent="0.3">
      <c r="A2061" t="str">
        <f>""</f>
        <v/>
      </c>
      <c r="B2061" t="str">
        <f>""</f>
        <v/>
      </c>
      <c r="G2061" t="str">
        <f>""</f>
        <v/>
      </c>
      <c r="H2061" t="str">
        <f>""</f>
        <v/>
      </c>
      <c r="J2061" t="str">
        <f t="shared" si="45"/>
        <v>GUARDIAN</v>
      </c>
    </row>
    <row r="2062" spans="1:10" x14ac:dyDescent="0.3">
      <c r="A2062" t="str">
        <f>""</f>
        <v/>
      </c>
      <c r="B2062" t="str">
        <f>""</f>
        <v/>
      </c>
      <c r="G2062" t="str">
        <f>""</f>
        <v/>
      </c>
      <c r="H2062" t="str">
        <f>""</f>
        <v/>
      </c>
      <c r="J2062" t="str">
        <f t="shared" si="45"/>
        <v>GUARDIAN</v>
      </c>
    </row>
    <row r="2063" spans="1:10" x14ac:dyDescent="0.3">
      <c r="A2063" t="str">
        <f>""</f>
        <v/>
      </c>
      <c r="B2063" t="str">
        <f>""</f>
        <v/>
      </c>
      <c r="G2063" t="str">
        <f>""</f>
        <v/>
      </c>
      <c r="H2063" t="str">
        <f>""</f>
        <v/>
      </c>
      <c r="J2063" t="str">
        <f t="shared" si="45"/>
        <v>GUARDIAN</v>
      </c>
    </row>
    <row r="2064" spans="1:10" x14ac:dyDescent="0.3">
      <c r="A2064" t="str">
        <f>""</f>
        <v/>
      </c>
      <c r="B2064" t="str">
        <f>""</f>
        <v/>
      </c>
      <c r="G2064" t="str">
        <f>""</f>
        <v/>
      </c>
      <c r="H2064" t="str">
        <f>""</f>
        <v/>
      </c>
      <c r="J2064" t="str">
        <f t="shared" si="45"/>
        <v>GUARDIAN</v>
      </c>
    </row>
    <row r="2065" spans="1:10" x14ac:dyDescent="0.3">
      <c r="A2065" t="str">
        <f>""</f>
        <v/>
      </c>
      <c r="B2065" t="str">
        <f>""</f>
        <v/>
      </c>
      <c r="G2065" t="str">
        <f>""</f>
        <v/>
      </c>
      <c r="H2065" t="str">
        <f>""</f>
        <v/>
      </c>
      <c r="J2065" t="str">
        <f t="shared" si="45"/>
        <v>GUARDIAN</v>
      </c>
    </row>
    <row r="2066" spans="1:10" x14ac:dyDescent="0.3">
      <c r="A2066" t="str">
        <f>""</f>
        <v/>
      </c>
      <c r="B2066" t="str">
        <f>""</f>
        <v/>
      </c>
      <c r="G2066" t="str">
        <f>""</f>
        <v/>
      </c>
      <c r="H2066" t="str">
        <f>""</f>
        <v/>
      </c>
      <c r="J2066" t="str">
        <f t="shared" si="45"/>
        <v>GUARDIAN</v>
      </c>
    </row>
    <row r="2067" spans="1:10" x14ac:dyDescent="0.3">
      <c r="A2067" t="str">
        <f>""</f>
        <v/>
      </c>
      <c r="B2067" t="str">
        <f>""</f>
        <v/>
      </c>
      <c r="G2067" t="str">
        <f>""</f>
        <v/>
      </c>
      <c r="H2067" t="str">
        <f>""</f>
        <v/>
      </c>
      <c r="J2067" t="str">
        <f t="shared" si="45"/>
        <v>GUARDIAN</v>
      </c>
    </row>
    <row r="2068" spans="1:10" x14ac:dyDescent="0.3">
      <c r="A2068" t="str">
        <f>""</f>
        <v/>
      </c>
      <c r="B2068" t="str">
        <f>""</f>
        <v/>
      </c>
      <c r="G2068" t="str">
        <f>""</f>
        <v/>
      </c>
      <c r="H2068" t="str">
        <f>""</f>
        <v/>
      </c>
      <c r="J2068" t="str">
        <f t="shared" si="45"/>
        <v>GUARDIAN</v>
      </c>
    </row>
    <row r="2069" spans="1:10" x14ac:dyDescent="0.3">
      <c r="A2069" t="str">
        <f>""</f>
        <v/>
      </c>
      <c r="B2069" t="str">
        <f>""</f>
        <v/>
      </c>
      <c r="G2069" t="str">
        <f>""</f>
        <v/>
      </c>
      <c r="H2069" t="str">
        <f>""</f>
        <v/>
      </c>
      <c r="J2069" t="str">
        <f t="shared" si="45"/>
        <v>GUARDIAN</v>
      </c>
    </row>
    <row r="2070" spans="1:10" x14ac:dyDescent="0.3">
      <c r="A2070" t="str">
        <f>""</f>
        <v/>
      </c>
      <c r="B2070" t="str">
        <f>""</f>
        <v/>
      </c>
      <c r="G2070" t="str">
        <f>""</f>
        <v/>
      </c>
      <c r="H2070" t="str">
        <f>""</f>
        <v/>
      </c>
      <c r="J2070" t="str">
        <f t="shared" si="45"/>
        <v>GUARDIAN</v>
      </c>
    </row>
    <row r="2071" spans="1:10" x14ac:dyDescent="0.3">
      <c r="A2071" t="str">
        <f>""</f>
        <v/>
      </c>
      <c r="B2071" t="str">
        <f>""</f>
        <v/>
      </c>
      <c r="G2071" t="str">
        <f>""</f>
        <v/>
      </c>
      <c r="H2071" t="str">
        <f>""</f>
        <v/>
      </c>
      <c r="J2071" t="str">
        <f t="shared" si="45"/>
        <v>GUARDIAN</v>
      </c>
    </row>
    <row r="2072" spans="1:10" x14ac:dyDescent="0.3">
      <c r="A2072" t="str">
        <f>""</f>
        <v/>
      </c>
      <c r="B2072" t="str">
        <f>""</f>
        <v/>
      </c>
      <c r="G2072" t="str">
        <f>""</f>
        <v/>
      </c>
      <c r="H2072" t="str">
        <f>""</f>
        <v/>
      </c>
      <c r="J2072" t="str">
        <f t="shared" si="45"/>
        <v>GUARDIAN</v>
      </c>
    </row>
    <row r="2073" spans="1:10" x14ac:dyDescent="0.3">
      <c r="A2073" t="str">
        <f>""</f>
        <v/>
      </c>
      <c r="B2073" t="str">
        <f>""</f>
        <v/>
      </c>
      <c r="G2073" t="str">
        <f>""</f>
        <v/>
      </c>
      <c r="H2073" t="str">
        <f>""</f>
        <v/>
      </c>
      <c r="J2073" t="str">
        <f t="shared" si="45"/>
        <v>GUARDIAN</v>
      </c>
    </row>
    <row r="2074" spans="1:10" x14ac:dyDescent="0.3">
      <c r="A2074" t="str">
        <f>""</f>
        <v/>
      </c>
      <c r="B2074" t="str">
        <f>""</f>
        <v/>
      </c>
      <c r="G2074" t="str">
        <f>""</f>
        <v/>
      </c>
      <c r="H2074" t="str">
        <f>""</f>
        <v/>
      </c>
      <c r="J2074" t="str">
        <f t="shared" si="45"/>
        <v>GUARDIAN</v>
      </c>
    </row>
    <row r="2075" spans="1:10" x14ac:dyDescent="0.3">
      <c r="A2075" t="str">
        <f>""</f>
        <v/>
      </c>
      <c r="B2075" t="str">
        <f>""</f>
        <v/>
      </c>
      <c r="G2075" t="str">
        <f>""</f>
        <v/>
      </c>
      <c r="H2075" t="str">
        <f>""</f>
        <v/>
      </c>
      <c r="J2075" t="str">
        <f t="shared" si="45"/>
        <v>GUARDIAN</v>
      </c>
    </row>
    <row r="2076" spans="1:10" x14ac:dyDescent="0.3">
      <c r="A2076" t="str">
        <f>""</f>
        <v/>
      </c>
      <c r="B2076" t="str">
        <f>""</f>
        <v/>
      </c>
      <c r="G2076" t="str">
        <f>""</f>
        <v/>
      </c>
      <c r="H2076" t="str">
        <f>""</f>
        <v/>
      </c>
      <c r="J2076" t="str">
        <f t="shared" si="45"/>
        <v>GUARDIAN</v>
      </c>
    </row>
    <row r="2077" spans="1:10" x14ac:dyDescent="0.3">
      <c r="A2077" t="str">
        <f>""</f>
        <v/>
      </c>
      <c r="B2077" t="str">
        <f>""</f>
        <v/>
      </c>
      <c r="G2077" t="str">
        <f>""</f>
        <v/>
      </c>
      <c r="H2077" t="str">
        <f>""</f>
        <v/>
      </c>
      <c r="J2077" t="str">
        <f t="shared" si="45"/>
        <v>GUARDIAN</v>
      </c>
    </row>
    <row r="2078" spans="1:10" x14ac:dyDescent="0.3">
      <c r="A2078" t="str">
        <f>""</f>
        <v/>
      </c>
      <c r="B2078" t="str">
        <f>""</f>
        <v/>
      </c>
      <c r="G2078" t="str">
        <f>""</f>
        <v/>
      </c>
      <c r="H2078" t="str">
        <f>""</f>
        <v/>
      </c>
      <c r="J2078" t="str">
        <f t="shared" si="45"/>
        <v>GUARDIAN</v>
      </c>
    </row>
    <row r="2079" spans="1:10" x14ac:dyDescent="0.3">
      <c r="A2079" t="str">
        <f>""</f>
        <v/>
      </c>
      <c r="B2079" t="str">
        <f>""</f>
        <v/>
      </c>
      <c r="G2079" t="str">
        <f>""</f>
        <v/>
      </c>
      <c r="H2079" t="str">
        <f>""</f>
        <v/>
      </c>
      <c r="J2079" t="str">
        <f t="shared" si="45"/>
        <v>GUARDIAN</v>
      </c>
    </row>
    <row r="2080" spans="1:10" x14ac:dyDescent="0.3">
      <c r="A2080" t="str">
        <f>""</f>
        <v/>
      </c>
      <c r="B2080" t="str">
        <f>""</f>
        <v/>
      </c>
      <c r="G2080" t="str">
        <f>""</f>
        <v/>
      </c>
      <c r="H2080" t="str">
        <f>""</f>
        <v/>
      </c>
      <c r="J2080" t="str">
        <f t="shared" si="45"/>
        <v>GUARDIAN</v>
      </c>
    </row>
    <row r="2081" spans="1:10" x14ac:dyDescent="0.3">
      <c r="A2081" t="str">
        <f>""</f>
        <v/>
      </c>
      <c r="B2081" t="str">
        <f>""</f>
        <v/>
      </c>
      <c r="G2081" t="str">
        <f>""</f>
        <v/>
      </c>
      <c r="H2081" t="str">
        <f>""</f>
        <v/>
      </c>
      <c r="J2081" t="str">
        <f t="shared" si="45"/>
        <v>GUARDIAN</v>
      </c>
    </row>
    <row r="2082" spans="1:10" x14ac:dyDescent="0.3">
      <c r="A2082" t="str">
        <f>""</f>
        <v/>
      </c>
      <c r="B2082" t="str">
        <f>""</f>
        <v/>
      </c>
      <c r="G2082" t="str">
        <f>""</f>
        <v/>
      </c>
      <c r="H2082" t="str">
        <f>""</f>
        <v/>
      </c>
      <c r="J2082" t="str">
        <f t="shared" si="45"/>
        <v>GUARDIAN</v>
      </c>
    </row>
    <row r="2083" spans="1:10" x14ac:dyDescent="0.3">
      <c r="A2083" t="str">
        <f>""</f>
        <v/>
      </c>
      <c r="B2083" t="str">
        <f>""</f>
        <v/>
      </c>
      <c r="G2083" t="str">
        <f>""</f>
        <v/>
      </c>
      <c r="H2083" t="str">
        <f>""</f>
        <v/>
      </c>
      <c r="J2083" t="str">
        <f t="shared" si="45"/>
        <v>GUARDIAN</v>
      </c>
    </row>
    <row r="2084" spans="1:10" x14ac:dyDescent="0.3">
      <c r="A2084" t="str">
        <f>""</f>
        <v/>
      </c>
      <c r="B2084" t="str">
        <f>""</f>
        <v/>
      </c>
      <c r="G2084" t="str">
        <f>""</f>
        <v/>
      </c>
      <c r="H2084" t="str">
        <f>""</f>
        <v/>
      </c>
      <c r="J2084" t="str">
        <f t="shared" si="45"/>
        <v>GUARDIAN</v>
      </c>
    </row>
    <row r="2085" spans="1:10" x14ac:dyDescent="0.3">
      <c r="A2085" t="str">
        <f>""</f>
        <v/>
      </c>
      <c r="B2085" t="str">
        <f>""</f>
        <v/>
      </c>
      <c r="G2085" t="str">
        <f>""</f>
        <v/>
      </c>
      <c r="H2085" t="str">
        <f>""</f>
        <v/>
      </c>
      <c r="J2085" t="str">
        <f t="shared" si="45"/>
        <v>GUARDIAN</v>
      </c>
    </row>
    <row r="2086" spans="1:10" x14ac:dyDescent="0.3">
      <c r="A2086" t="str">
        <f>""</f>
        <v/>
      </c>
      <c r="B2086" t="str">
        <f>""</f>
        <v/>
      </c>
      <c r="G2086" t="str">
        <f>""</f>
        <v/>
      </c>
      <c r="H2086" t="str">
        <f>""</f>
        <v/>
      </c>
      <c r="J2086" t="str">
        <f t="shared" ref="J2086:J2117" si="46">"GUARDIAN"</f>
        <v>GUARDIAN</v>
      </c>
    </row>
    <row r="2087" spans="1:10" x14ac:dyDescent="0.3">
      <c r="A2087" t="str">
        <f>""</f>
        <v/>
      </c>
      <c r="B2087" t="str">
        <f>""</f>
        <v/>
      </c>
      <c r="G2087" t="str">
        <f>""</f>
        <v/>
      </c>
      <c r="H2087" t="str">
        <f>""</f>
        <v/>
      </c>
      <c r="J2087" t="str">
        <f t="shared" si="46"/>
        <v>GUARDIAN</v>
      </c>
    </row>
    <row r="2088" spans="1:10" x14ac:dyDescent="0.3">
      <c r="A2088" t="str">
        <f>""</f>
        <v/>
      </c>
      <c r="B2088" t="str">
        <f>""</f>
        <v/>
      </c>
      <c r="G2088" t="str">
        <f>"LIE201708094187"</f>
        <v>LIE201708094187</v>
      </c>
      <c r="H2088" t="str">
        <f>"GUARDIAN"</f>
        <v>GUARDIAN</v>
      </c>
      <c r="I2088" s="2">
        <v>134.1</v>
      </c>
      <c r="J2088" t="str">
        <f t="shared" si="46"/>
        <v>GUARDIAN</v>
      </c>
    </row>
    <row r="2089" spans="1:10" x14ac:dyDescent="0.3">
      <c r="A2089" t="str">
        <f>""</f>
        <v/>
      </c>
      <c r="B2089" t="str">
        <f>""</f>
        <v/>
      </c>
      <c r="G2089" t="str">
        <f>""</f>
        <v/>
      </c>
      <c r="H2089" t="str">
        <f>""</f>
        <v/>
      </c>
      <c r="J2089" t="str">
        <f t="shared" si="46"/>
        <v>GUARDIAN</v>
      </c>
    </row>
    <row r="2090" spans="1:10" x14ac:dyDescent="0.3">
      <c r="A2090" t="str">
        <f>""</f>
        <v/>
      </c>
      <c r="B2090" t="str">
        <f>""</f>
        <v/>
      </c>
      <c r="G2090" t="str">
        <f>"LIE201708234445"</f>
        <v>LIE201708234445</v>
      </c>
      <c r="H2090" t="str">
        <f>"GUARDIAN"</f>
        <v>GUARDIAN</v>
      </c>
      <c r="I2090" s="2">
        <v>3020.95</v>
      </c>
      <c r="J2090" t="str">
        <f t="shared" si="46"/>
        <v>GUARDIAN</v>
      </c>
    </row>
    <row r="2091" spans="1:10" x14ac:dyDescent="0.3">
      <c r="A2091" t="str">
        <f>""</f>
        <v/>
      </c>
      <c r="B2091" t="str">
        <f>""</f>
        <v/>
      </c>
      <c r="G2091" t="str">
        <f>""</f>
        <v/>
      </c>
      <c r="H2091" t="str">
        <f>""</f>
        <v/>
      </c>
      <c r="J2091" t="str">
        <f t="shared" si="46"/>
        <v>GUARDIAN</v>
      </c>
    </row>
    <row r="2092" spans="1:10" x14ac:dyDescent="0.3">
      <c r="A2092" t="str">
        <f>""</f>
        <v/>
      </c>
      <c r="B2092" t="str">
        <f>""</f>
        <v/>
      </c>
      <c r="G2092" t="str">
        <f>""</f>
        <v/>
      </c>
      <c r="H2092" t="str">
        <f>""</f>
        <v/>
      </c>
      <c r="J2092" t="str">
        <f t="shared" si="46"/>
        <v>GUARDIAN</v>
      </c>
    </row>
    <row r="2093" spans="1:10" x14ac:dyDescent="0.3">
      <c r="A2093" t="str">
        <f>""</f>
        <v/>
      </c>
      <c r="B2093" t="str">
        <f>""</f>
        <v/>
      </c>
      <c r="G2093" t="str">
        <f>""</f>
        <v/>
      </c>
      <c r="H2093" t="str">
        <f>""</f>
        <v/>
      </c>
      <c r="J2093" t="str">
        <f t="shared" si="46"/>
        <v>GUARDIAN</v>
      </c>
    </row>
    <row r="2094" spans="1:10" x14ac:dyDescent="0.3">
      <c r="A2094" t="str">
        <f>""</f>
        <v/>
      </c>
      <c r="B2094" t="str">
        <f>""</f>
        <v/>
      </c>
      <c r="G2094" t="str">
        <f>""</f>
        <v/>
      </c>
      <c r="H2094" t="str">
        <f>""</f>
        <v/>
      </c>
      <c r="J2094" t="str">
        <f t="shared" si="46"/>
        <v>GUARDIAN</v>
      </c>
    </row>
    <row r="2095" spans="1:10" x14ac:dyDescent="0.3">
      <c r="A2095" t="str">
        <f>""</f>
        <v/>
      </c>
      <c r="B2095" t="str">
        <f>""</f>
        <v/>
      </c>
      <c r="G2095" t="str">
        <f>""</f>
        <v/>
      </c>
      <c r="H2095" t="str">
        <f>""</f>
        <v/>
      </c>
      <c r="J2095" t="str">
        <f t="shared" si="46"/>
        <v>GUARDIAN</v>
      </c>
    </row>
    <row r="2096" spans="1:10" x14ac:dyDescent="0.3">
      <c r="A2096" t="str">
        <f>""</f>
        <v/>
      </c>
      <c r="B2096" t="str">
        <f>""</f>
        <v/>
      </c>
      <c r="G2096" t="str">
        <f>""</f>
        <v/>
      </c>
      <c r="H2096" t="str">
        <f>""</f>
        <v/>
      </c>
      <c r="J2096" t="str">
        <f t="shared" si="46"/>
        <v>GUARDIAN</v>
      </c>
    </row>
    <row r="2097" spans="1:10" x14ac:dyDescent="0.3">
      <c r="A2097" t="str">
        <f>""</f>
        <v/>
      </c>
      <c r="B2097" t="str">
        <f>""</f>
        <v/>
      </c>
      <c r="G2097" t="str">
        <f>""</f>
        <v/>
      </c>
      <c r="H2097" t="str">
        <f>""</f>
        <v/>
      </c>
      <c r="J2097" t="str">
        <f t="shared" si="46"/>
        <v>GUARDIAN</v>
      </c>
    </row>
    <row r="2098" spans="1:10" x14ac:dyDescent="0.3">
      <c r="A2098" t="str">
        <f>""</f>
        <v/>
      </c>
      <c r="B2098" t="str">
        <f>""</f>
        <v/>
      </c>
      <c r="G2098" t="str">
        <f>""</f>
        <v/>
      </c>
      <c r="H2098" t="str">
        <f>""</f>
        <v/>
      </c>
      <c r="J2098" t="str">
        <f t="shared" si="46"/>
        <v>GUARDIAN</v>
      </c>
    </row>
    <row r="2099" spans="1:10" x14ac:dyDescent="0.3">
      <c r="A2099" t="str">
        <f>""</f>
        <v/>
      </c>
      <c r="B2099" t="str">
        <f>""</f>
        <v/>
      </c>
      <c r="G2099" t="str">
        <f>""</f>
        <v/>
      </c>
      <c r="H2099" t="str">
        <f>""</f>
        <v/>
      </c>
      <c r="J2099" t="str">
        <f t="shared" si="46"/>
        <v>GUARDIAN</v>
      </c>
    </row>
    <row r="2100" spans="1:10" x14ac:dyDescent="0.3">
      <c r="A2100" t="str">
        <f>""</f>
        <v/>
      </c>
      <c r="B2100" t="str">
        <f>""</f>
        <v/>
      </c>
      <c r="G2100" t="str">
        <f>""</f>
        <v/>
      </c>
      <c r="H2100" t="str">
        <f>""</f>
        <v/>
      </c>
      <c r="J2100" t="str">
        <f t="shared" si="46"/>
        <v>GUARDIAN</v>
      </c>
    </row>
    <row r="2101" spans="1:10" x14ac:dyDescent="0.3">
      <c r="A2101" t="str">
        <f>""</f>
        <v/>
      </c>
      <c r="B2101" t="str">
        <f>""</f>
        <v/>
      </c>
      <c r="G2101" t="str">
        <f>""</f>
        <v/>
      </c>
      <c r="H2101" t="str">
        <f>""</f>
        <v/>
      </c>
      <c r="J2101" t="str">
        <f t="shared" si="46"/>
        <v>GUARDIAN</v>
      </c>
    </row>
    <row r="2102" spans="1:10" x14ac:dyDescent="0.3">
      <c r="A2102" t="str">
        <f>""</f>
        <v/>
      </c>
      <c r="B2102" t="str">
        <f>""</f>
        <v/>
      </c>
      <c r="G2102" t="str">
        <f>""</f>
        <v/>
      </c>
      <c r="H2102" t="str">
        <f>""</f>
        <v/>
      </c>
      <c r="J2102" t="str">
        <f t="shared" si="46"/>
        <v>GUARDIAN</v>
      </c>
    </row>
    <row r="2103" spans="1:10" x14ac:dyDescent="0.3">
      <c r="A2103" t="str">
        <f>""</f>
        <v/>
      </c>
      <c r="B2103" t="str">
        <f>""</f>
        <v/>
      </c>
      <c r="G2103" t="str">
        <f>""</f>
        <v/>
      </c>
      <c r="H2103" t="str">
        <f>""</f>
        <v/>
      </c>
      <c r="J2103" t="str">
        <f t="shared" si="46"/>
        <v>GUARDIAN</v>
      </c>
    </row>
    <row r="2104" spans="1:10" x14ac:dyDescent="0.3">
      <c r="A2104" t="str">
        <f>""</f>
        <v/>
      </c>
      <c r="B2104" t="str">
        <f>""</f>
        <v/>
      </c>
      <c r="G2104" t="str">
        <f>""</f>
        <v/>
      </c>
      <c r="H2104" t="str">
        <f>""</f>
        <v/>
      </c>
      <c r="J2104" t="str">
        <f t="shared" si="46"/>
        <v>GUARDIAN</v>
      </c>
    </row>
    <row r="2105" spans="1:10" x14ac:dyDescent="0.3">
      <c r="A2105" t="str">
        <f>""</f>
        <v/>
      </c>
      <c r="B2105" t="str">
        <f>""</f>
        <v/>
      </c>
      <c r="G2105" t="str">
        <f>""</f>
        <v/>
      </c>
      <c r="H2105" t="str">
        <f>""</f>
        <v/>
      </c>
      <c r="J2105" t="str">
        <f t="shared" si="46"/>
        <v>GUARDIAN</v>
      </c>
    </row>
    <row r="2106" spans="1:10" x14ac:dyDescent="0.3">
      <c r="A2106" t="str">
        <f>""</f>
        <v/>
      </c>
      <c r="B2106" t="str">
        <f>""</f>
        <v/>
      </c>
      <c r="G2106" t="str">
        <f>""</f>
        <v/>
      </c>
      <c r="H2106" t="str">
        <f>""</f>
        <v/>
      </c>
      <c r="J2106" t="str">
        <f t="shared" si="46"/>
        <v>GUARDIAN</v>
      </c>
    </row>
    <row r="2107" spans="1:10" x14ac:dyDescent="0.3">
      <c r="A2107" t="str">
        <f>""</f>
        <v/>
      </c>
      <c r="B2107" t="str">
        <f>""</f>
        <v/>
      </c>
      <c r="G2107" t="str">
        <f>""</f>
        <v/>
      </c>
      <c r="H2107" t="str">
        <f>""</f>
        <v/>
      </c>
      <c r="J2107" t="str">
        <f t="shared" si="46"/>
        <v>GUARDIAN</v>
      </c>
    </row>
    <row r="2108" spans="1:10" x14ac:dyDescent="0.3">
      <c r="A2108" t="str">
        <f>""</f>
        <v/>
      </c>
      <c r="B2108" t="str">
        <f>""</f>
        <v/>
      </c>
      <c r="G2108" t="str">
        <f>""</f>
        <v/>
      </c>
      <c r="H2108" t="str">
        <f>""</f>
        <v/>
      </c>
      <c r="J2108" t="str">
        <f t="shared" si="46"/>
        <v>GUARDIAN</v>
      </c>
    </row>
    <row r="2109" spans="1:10" x14ac:dyDescent="0.3">
      <c r="A2109" t="str">
        <f>""</f>
        <v/>
      </c>
      <c r="B2109" t="str">
        <f>""</f>
        <v/>
      </c>
      <c r="G2109" t="str">
        <f>""</f>
        <v/>
      </c>
      <c r="H2109" t="str">
        <f>""</f>
        <v/>
      </c>
      <c r="J2109" t="str">
        <f t="shared" si="46"/>
        <v>GUARDIAN</v>
      </c>
    </row>
    <row r="2110" spans="1:10" x14ac:dyDescent="0.3">
      <c r="A2110" t="str">
        <f>""</f>
        <v/>
      </c>
      <c r="B2110" t="str">
        <f>""</f>
        <v/>
      </c>
      <c r="G2110" t="str">
        <f>""</f>
        <v/>
      </c>
      <c r="H2110" t="str">
        <f>""</f>
        <v/>
      </c>
      <c r="J2110" t="str">
        <f t="shared" si="46"/>
        <v>GUARDIAN</v>
      </c>
    </row>
    <row r="2111" spans="1:10" x14ac:dyDescent="0.3">
      <c r="A2111" t="str">
        <f>""</f>
        <v/>
      </c>
      <c r="B2111" t="str">
        <f>""</f>
        <v/>
      </c>
      <c r="G2111" t="str">
        <f>""</f>
        <v/>
      </c>
      <c r="H2111" t="str">
        <f>""</f>
        <v/>
      </c>
      <c r="J2111" t="str">
        <f t="shared" si="46"/>
        <v>GUARDIAN</v>
      </c>
    </row>
    <row r="2112" spans="1:10" x14ac:dyDescent="0.3">
      <c r="A2112" t="str">
        <f>""</f>
        <v/>
      </c>
      <c r="B2112" t="str">
        <f>""</f>
        <v/>
      </c>
      <c r="G2112" t="str">
        <f>""</f>
        <v/>
      </c>
      <c r="H2112" t="str">
        <f>""</f>
        <v/>
      </c>
      <c r="J2112" t="str">
        <f t="shared" si="46"/>
        <v>GUARDIAN</v>
      </c>
    </row>
    <row r="2113" spans="1:10" x14ac:dyDescent="0.3">
      <c r="A2113" t="str">
        <f>""</f>
        <v/>
      </c>
      <c r="B2113" t="str">
        <f>""</f>
        <v/>
      </c>
      <c r="G2113" t="str">
        <f>""</f>
        <v/>
      </c>
      <c r="H2113" t="str">
        <f>""</f>
        <v/>
      </c>
      <c r="J2113" t="str">
        <f t="shared" si="46"/>
        <v>GUARDIAN</v>
      </c>
    </row>
    <row r="2114" spans="1:10" x14ac:dyDescent="0.3">
      <c r="A2114" t="str">
        <f>""</f>
        <v/>
      </c>
      <c r="B2114" t="str">
        <f>""</f>
        <v/>
      </c>
      <c r="G2114" t="str">
        <f>""</f>
        <v/>
      </c>
      <c r="H2114" t="str">
        <f>""</f>
        <v/>
      </c>
      <c r="J2114" t="str">
        <f t="shared" si="46"/>
        <v>GUARDIAN</v>
      </c>
    </row>
    <row r="2115" spans="1:10" x14ac:dyDescent="0.3">
      <c r="A2115" t="str">
        <f>""</f>
        <v/>
      </c>
      <c r="B2115" t="str">
        <f>""</f>
        <v/>
      </c>
      <c r="G2115" t="str">
        <f>""</f>
        <v/>
      </c>
      <c r="H2115" t="str">
        <f>""</f>
        <v/>
      </c>
      <c r="J2115" t="str">
        <f t="shared" si="46"/>
        <v>GUARDIAN</v>
      </c>
    </row>
    <row r="2116" spans="1:10" x14ac:dyDescent="0.3">
      <c r="A2116" t="str">
        <f>""</f>
        <v/>
      </c>
      <c r="B2116" t="str">
        <f>""</f>
        <v/>
      </c>
      <c r="G2116" t="str">
        <f>""</f>
        <v/>
      </c>
      <c r="H2116" t="str">
        <f>""</f>
        <v/>
      </c>
      <c r="J2116" t="str">
        <f t="shared" si="46"/>
        <v>GUARDIAN</v>
      </c>
    </row>
    <row r="2117" spans="1:10" x14ac:dyDescent="0.3">
      <c r="A2117" t="str">
        <f>""</f>
        <v/>
      </c>
      <c r="B2117" t="str">
        <f>""</f>
        <v/>
      </c>
      <c r="G2117" t="str">
        <f>""</f>
        <v/>
      </c>
      <c r="H2117" t="str">
        <f>""</f>
        <v/>
      </c>
      <c r="J2117" t="str">
        <f t="shared" si="46"/>
        <v>GUARDIAN</v>
      </c>
    </row>
    <row r="2118" spans="1:10" x14ac:dyDescent="0.3">
      <c r="A2118" t="str">
        <f>""</f>
        <v/>
      </c>
      <c r="B2118" t="str">
        <f>""</f>
        <v/>
      </c>
      <c r="G2118" t="str">
        <f>""</f>
        <v/>
      </c>
      <c r="H2118" t="str">
        <f>""</f>
        <v/>
      </c>
      <c r="J2118" t="str">
        <f t="shared" ref="J2118:J2153" si="47">"GUARDIAN"</f>
        <v>GUARDIAN</v>
      </c>
    </row>
    <row r="2119" spans="1:10" x14ac:dyDescent="0.3">
      <c r="A2119" t="str">
        <f>""</f>
        <v/>
      </c>
      <c r="B2119" t="str">
        <f>""</f>
        <v/>
      </c>
      <c r="G2119" t="str">
        <f>""</f>
        <v/>
      </c>
      <c r="H2119" t="str">
        <f>""</f>
        <v/>
      </c>
      <c r="J2119" t="str">
        <f t="shared" si="47"/>
        <v>GUARDIAN</v>
      </c>
    </row>
    <row r="2120" spans="1:10" x14ac:dyDescent="0.3">
      <c r="A2120" t="str">
        <f>""</f>
        <v/>
      </c>
      <c r="B2120" t="str">
        <f>""</f>
        <v/>
      </c>
      <c r="G2120" t="str">
        <f>""</f>
        <v/>
      </c>
      <c r="H2120" t="str">
        <f>""</f>
        <v/>
      </c>
      <c r="J2120" t="str">
        <f t="shared" si="47"/>
        <v>GUARDIAN</v>
      </c>
    </row>
    <row r="2121" spans="1:10" x14ac:dyDescent="0.3">
      <c r="A2121" t="str">
        <f>""</f>
        <v/>
      </c>
      <c r="B2121" t="str">
        <f>""</f>
        <v/>
      </c>
      <c r="G2121" t="str">
        <f>""</f>
        <v/>
      </c>
      <c r="H2121" t="str">
        <f>""</f>
        <v/>
      </c>
      <c r="J2121" t="str">
        <f t="shared" si="47"/>
        <v>GUARDIAN</v>
      </c>
    </row>
    <row r="2122" spans="1:10" x14ac:dyDescent="0.3">
      <c r="A2122" t="str">
        <f>""</f>
        <v/>
      </c>
      <c r="B2122" t="str">
        <f>""</f>
        <v/>
      </c>
      <c r="G2122" t="str">
        <f>""</f>
        <v/>
      </c>
      <c r="H2122" t="str">
        <f>""</f>
        <v/>
      </c>
      <c r="J2122" t="str">
        <f t="shared" si="47"/>
        <v>GUARDIAN</v>
      </c>
    </row>
    <row r="2123" spans="1:10" x14ac:dyDescent="0.3">
      <c r="A2123" t="str">
        <f>""</f>
        <v/>
      </c>
      <c r="B2123" t="str">
        <f>""</f>
        <v/>
      </c>
      <c r="G2123" t="str">
        <f>""</f>
        <v/>
      </c>
      <c r="H2123" t="str">
        <f>""</f>
        <v/>
      </c>
      <c r="J2123" t="str">
        <f t="shared" si="47"/>
        <v>GUARDIAN</v>
      </c>
    </row>
    <row r="2124" spans="1:10" x14ac:dyDescent="0.3">
      <c r="A2124" t="str">
        <f>""</f>
        <v/>
      </c>
      <c r="B2124" t="str">
        <f>""</f>
        <v/>
      </c>
      <c r="G2124" t="str">
        <f>""</f>
        <v/>
      </c>
      <c r="H2124" t="str">
        <f>""</f>
        <v/>
      </c>
      <c r="J2124" t="str">
        <f t="shared" si="47"/>
        <v>GUARDIAN</v>
      </c>
    </row>
    <row r="2125" spans="1:10" x14ac:dyDescent="0.3">
      <c r="A2125" t="str">
        <f>""</f>
        <v/>
      </c>
      <c r="B2125" t="str">
        <f>""</f>
        <v/>
      </c>
      <c r="G2125" t="str">
        <f>""</f>
        <v/>
      </c>
      <c r="H2125" t="str">
        <f>""</f>
        <v/>
      </c>
      <c r="J2125" t="str">
        <f t="shared" si="47"/>
        <v>GUARDIAN</v>
      </c>
    </row>
    <row r="2126" spans="1:10" x14ac:dyDescent="0.3">
      <c r="A2126" t="str">
        <f>""</f>
        <v/>
      </c>
      <c r="B2126" t="str">
        <f>""</f>
        <v/>
      </c>
      <c r="G2126" t="str">
        <f>""</f>
        <v/>
      </c>
      <c r="H2126" t="str">
        <f>""</f>
        <v/>
      </c>
      <c r="J2126" t="str">
        <f t="shared" si="47"/>
        <v>GUARDIAN</v>
      </c>
    </row>
    <row r="2127" spans="1:10" x14ac:dyDescent="0.3">
      <c r="A2127" t="str">
        <f>""</f>
        <v/>
      </c>
      <c r="B2127" t="str">
        <f>""</f>
        <v/>
      </c>
      <c r="G2127" t="str">
        <f>""</f>
        <v/>
      </c>
      <c r="H2127" t="str">
        <f>""</f>
        <v/>
      </c>
      <c r="J2127" t="str">
        <f t="shared" si="47"/>
        <v>GUARDIAN</v>
      </c>
    </row>
    <row r="2128" spans="1:10" x14ac:dyDescent="0.3">
      <c r="A2128" t="str">
        <f>""</f>
        <v/>
      </c>
      <c r="B2128" t="str">
        <f>""</f>
        <v/>
      </c>
      <c r="G2128" t="str">
        <f>""</f>
        <v/>
      </c>
      <c r="H2128" t="str">
        <f>""</f>
        <v/>
      </c>
      <c r="J2128" t="str">
        <f t="shared" si="47"/>
        <v>GUARDIAN</v>
      </c>
    </row>
    <row r="2129" spans="1:10" x14ac:dyDescent="0.3">
      <c r="A2129" t="str">
        <f>""</f>
        <v/>
      </c>
      <c r="B2129" t="str">
        <f>""</f>
        <v/>
      </c>
      <c r="G2129" t="str">
        <f>""</f>
        <v/>
      </c>
      <c r="H2129" t="str">
        <f>""</f>
        <v/>
      </c>
      <c r="J2129" t="str">
        <f t="shared" si="47"/>
        <v>GUARDIAN</v>
      </c>
    </row>
    <row r="2130" spans="1:10" x14ac:dyDescent="0.3">
      <c r="A2130" t="str">
        <f>""</f>
        <v/>
      </c>
      <c r="B2130" t="str">
        <f>""</f>
        <v/>
      </c>
      <c r="G2130" t="str">
        <f>""</f>
        <v/>
      </c>
      <c r="H2130" t="str">
        <f>""</f>
        <v/>
      </c>
      <c r="J2130" t="str">
        <f t="shared" si="47"/>
        <v>GUARDIAN</v>
      </c>
    </row>
    <row r="2131" spans="1:10" x14ac:dyDescent="0.3">
      <c r="A2131" t="str">
        <f>""</f>
        <v/>
      </c>
      <c r="B2131" t="str">
        <f>""</f>
        <v/>
      </c>
      <c r="G2131" t="str">
        <f>""</f>
        <v/>
      </c>
      <c r="H2131" t="str">
        <f>""</f>
        <v/>
      </c>
      <c r="J2131" t="str">
        <f t="shared" si="47"/>
        <v>GUARDIAN</v>
      </c>
    </row>
    <row r="2132" spans="1:10" x14ac:dyDescent="0.3">
      <c r="A2132" t="str">
        <f>""</f>
        <v/>
      </c>
      <c r="B2132" t="str">
        <f>""</f>
        <v/>
      </c>
      <c r="G2132" t="str">
        <f>""</f>
        <v/>
      </c>
      <c r="H2132" t="str">
        <f>""</f>
        <v/>
      </c>
      <c r="J2132" t="str">
        <f t="shared" si="47"/>
        <v>GUARDIAN</v>
      </c>
    </row>
    <row r="2133" spans="1:10" x14ac:dyDescent="0.3">
      <c r="A2133" t="str">
        <f>""</f>
        <v/>
      </c>
      <c r="B2133" t="str">
        <f>""</f>
        <v/>
      </c>
      <c r="G2133" t="str">
        <f>""</f>
        <v/>
      </c>
      <c r="H2133" t="str">
        <f>""</f>
        <v/>
      </c>
      <c r="J2133" t="str">
        <f t="shared" si="47"/>
        <v>GUARDIAN</v>
      </c>
    </row>
    <row r="2134" spans="1:10" x14ac:dyDescent="0.3">
      <c r="A2134" t="str">
        <f>""</f>
        <v/>
      </c>
      <c r="B2134" t="str">
        <f>""</f>
        <v/>
      </c>
      <c r="G2134" t="str">
        <f>""</f>
        <v/>
      </c>
      <c r="H2134" t="str">
        <f>""</f>
        <v/>
      </c>
      <c r="J2134" t="str">
        <f t="shared" si="47"/>
        <v>GUARDIAN</v>
      </c>
    </row>
    <row r="2135" spans="1:10" x14ac:dyDescent="0.3">
      <c r="A2135" t="str">
        <f>""</f>
        <v/>
      </c>
      <c r="B2135" t="str">
        <f>""</f>
        <v/>
      </c>
      <c r="G2135" t="str">
        <f>""</f>
        <v/>
      </c>
      <c r="H2135" t="str">
        <f>""</f>
        <v/>
      </c>
      <c r="J2135" t="str">
        <f t="shared" si="47"/>
        <v>GUARDIAN</v>
      </c>
    </row>
    <row r="2136" spans="1:10" x14ac:dyDescent="0.3">
      <c r="A2136" t="str">
        <f>""</f>
        <v/>
      </c>
      <c r="B2136" t="str">
        <f>""</f>
        <v/>
      </c>
      <c r="G2136" t="str">
        <f>""</f>
        <v/>
      </c>
      <c r="H2136" t="str">
        <f>""</f>
        <v/>
      </c>
      <c r="J2136" t="str">
        <f t="shared" si="47"/>
        <v>GUARDIAN</v>
      </c>
    </row>
    <row r="2137" spans="1:10" x14ac:dyDescent="0.3">
      <c r="A2137" t="str">
        <f>""</f>
        <v/>
      </c>
      <c r="B2137" t="str">
        <f>""</f>
        <v/>
      </c>
      <c r="G2137" t="str">
        <f>""</f>
        <v/>
      </c>
      <c r="H2137" t="str">
        <f>""</f>
        <v/>
      </c>
      <c r="J2137" t="str">
        <f t="shared" si="47"/>
        <v>GUARDIAN</v>
      </c>
    </row>
    <row r="2138" spans="1:10" x14ac:dyDescent="0.3">
      <c r="A2138" t="str">
        <f>""</f>
        <v/>
      </c>
      <c r="B2138" t="str">
        <f>""</f>
        <v/>
      </c>
      <c r="G2138" t="str">
        <f>""</f>
        <v/>
      </c>
      <c r="H2138" t="str">
        <f>""</f>
        <v/>
      </c>
      <c r="J2138" t="str">
        <f t="shared" si="47"/>
        <v>GUARDIAN</v>
      </c>
    </row>
    <row r="2139" spans="1:10" x14ac:dyDescent="0.3">
      <c r="A2139" t="str">
        <f>""</f>
        <v/>
      </c>
      <c r="B2139" t="str">
        <f>""</f>
        <v/>
      </c>
      <c r="G2139" t="str">
        <f>""</f>
        <v/>
      </c>
      <c r="H2139" t="str">
        <f>""</f>
        <v/>
      </c>
      <c r="J2139" t="str">
        <f t="shared" si="47"/>
        <v>GUARDIAN</v>
      </c>
    </row>
    <row r="2140" spans="1:10" x14ac:dyDescent="0.3">
      <c r="A2140" t="str">
        <f>""</f>
        <v/>
      </c>
      <c r="B2140" t="str">
        <f>""</f>
        <v/>
      </c>
      <c r="G2140" t="str">
        <f>"LIE201708244446"</f>
        <v>LIE201708244446</v>
      </c>
      <c r="H2140" t="str">
        <f>"GUARDIAN"</f>
        <v>GUARDIAN</v>
      </c>
      <c r="I2140" s="2">
        <v>134.1</v>
      </c>
      <c r="J2140" t="str">
        <f t="shared" si="47"/>
        <v>GUARDIAN</v>
      </c>
    </row>
    <row r="2141" spans="1:10" x14ac:dyDescent="0.3">
      <c r="A2141" t="str">
        <f>""</f>
        <v/>
      </c>
      <c r="B2141" t="str">
        <f>""</f>
        <v/>
      </c>
      <c r="G2141" t="str">
        <f>""</f>
        <v/>
      </c>
      <c r="H2141" t="str">
        <f>""</f>
        <v/>
      </c>
      <c r="J2141" t="str">
        <f t="shared" si="47"/>
        <v>GUARDIAN</v>
      </c>
    </row>
    <row r="2142" spans="1:10" x14ac:dyDescent="0.3">
      <c r="A2142" t="str">
        <f>""</f>
        <v/>
      </c>
      <c r="B2142" t="str">
        <f>""</f>
        <v/>
      </c>
      <c r="G2142" t="str">
        <f>"LIS201708094186"</f>
        <v>LIS201708094186</v>
      </c>
      <c r="H2142" t="str">
        <f t="shared" ref="H2142:H2153" si="48">"GUARDIAN"</f>
        <v>GUARDIAN</v>
      </c>
      <c r="I2142" s="2">
        <v>423.42</v>
      </c>
      <c r="J2142" t="str">
        <f t="shared" si="47"/>
        <v>GUARDIAN</v>
      </c>
    </row>
    <row r="2143" spans="1:10" x14ac:dyDescent="0.3">
      <c r="A2143" t="str">
        <f>""</f>
        <v/>
      </c>
      <c r="B2143" t="str">
        <f>""</f>
        <v/>
      </c>
      <c r="G2143" t="str">
        <f>"LIS201708094187"</f>
        <v>LIS201708094187</v>
      </c>
      <c r="H2143" t="str">
        <f t="shared" si="48"/>
        <v>GUARDIAN</v>
      </c>
      <c r="I2143" s="2">
        <v>33.33</v>
      </c>
      <c r="J2143" t="str">
        <f t="shared" si="47"/>
        <v>GUARDIAN</v>
      </c>
    </row>
    <row r="2144" spans="1:10" x14ac:dyDescent="0.3">
      <c r="A2144" t="str">
        <f>""</f>
        <v/>
      </c>
      <c r="B2144" t="str">
        <f>""</f>
        <v/>
      </c>
      <c r="G2144" t="str">
        <f>"LIS201708234445"</f>
        <v>LIS201708234445</v>
      </c>
      <c r="H2144" t="str">
        <f t="shared" si="48"/>
        <v>GUARDIAN</v>
      </c>
      <c r="I2144" s="2">
        <v>397.62</v>
      </c>
      <c r="J2144" t="str">
        <f t="shared" si="47"/>
        <v>GUARDIAN</v>
      </c>
    </row>
    <row r="2145" spans="1:10" x14ac:dyDescent="0.3">
      <c r="A2145" t="str">
        <f>""</f>
        <v/>
      </c>
      <c r="B2145" t="str">
        <f>""</f>
        <v/>
      </c>
      <c r="G2145" t="str">
        <f>"LIS201708244446"</f>
        <v>LIS201708244446</v>
      </c>
      <c r="H2145" t="str">
        <f t="shared" si="48"/>
        <v>GUARDIAN</v>
      </c>
      <c r="I2145" s="2">
        <v>33.33</v>
      </c>
      <c r="J2145" t="str">
        <f t="shared" si="47"/>
        <v>GUARDIAN</v>
      </c>
    </row>
    <row r="2146" spans="1:10" x14ac:dyDescent="0.3">
      <c r="A2146" t="str">
        <f>""</f>
        <v/>
      </c>
      <c r="B2146" t="str">
        <f>""</f>
        <v/>
      </c>
      <c r="G2146" t="str">
        <f>"LTD201708094186"</f>
        <v>LTD201708094186</v>
      </c>
      <c r="H2146" t="str">
        <f t="shared" si="48"/>
        <v>GUARDIAN</v>
      </c>
      <c r="I2146" s="2">
        <v>780.69</v>
      </c>
      <c r="J2146" t="str">
        <f t="shared" si="47"/>
        <v>GUARDIAN</v>
      </c>
    </row>
    <row r="2147" spans="1:10" x14ac:dyDescent="0.3">
      <c r="A2147" t="str">
        <f>""</f>
        <v/>
      </c>
      <c r="B2147" t="str">
        <f>""</f>
        <v/>
      </c>
      <c r="G2147" t="str">
        <f>"LTD201708094187"</f>
        <v>LTD201708094187</v>
      </c>
      <c r="H2147" t="str">
        <f t="shared" si="48"/>
        <v>GUARDIAN</v>
      </c>
      <c r="I2147" s="2">
        <v>62.54</v>
      </c>
      <c r="J2147" t="str">
        <f t="shared" si="47"/>
        <v>GUARDIAN</v>
      </c>
    </row>
    <row r="2148" spans="1:10" x14ac:dyDescent="0.3">
      <c r="A2148" t="str">
        <f>""</f>
        <v/>
      </c>
      <c r="B2148" t="str">
        <f>""</f>
        <v/>
      </c>
      <c r="G2148" t="str">
        <f>"LTD201708234445"</f>
        <v>LTD201708234445</v>
      </c>
      <c r="H2148" t="str">
        <f t="shared" si="48"/>
        <v>GUARDIAN</v>
      </c>
      <c r="I2148" s="2">
        <v>718.87</v>
      </c>
      <c r="J2148" t="str">
        <f t="shared" si="47"/>
        <v>GUARDIAN</v>
      </c>
    </row>
    <row r="2149" spans="1:10" x14ac:dyDescent="0.3">
      <c r="A2149" t="str">
        <f>""</f>
        <v/>
      </c>
      <c r="B2149" t="str">
        <f>""</f>
        <v/>
      </c>
      <c r="G2149" t="str">
        <f>"LTD201708244446"</f>
        <v>LTD201708244446</v>
      </c>
      <c r="H2149" t="str">
        <f t="shared" si="48"/>
        <v>GUARDIAN</v>
      </c>
      <c r="I2149" s="2">
        <v>62.54</v>
      </c>
      <c r="J2149" t="str">
        <f t="shared" si="47"/>
        <v>GUARDIAN</v>
      </c>
    </row>
    <row r="2150" spans="1:10" x14ac:dyDescent="0.3">
      <c r="A2150" t="str">
        <f>"01"</f>
        <v>01</v>
      </c>
      <c r="B2150" t="str">
        <f>"GUARDI"</f>
        <v>GUARDI</v>
      </c>
      <c r="C2150" t="s">
        <v>468</v>
      </c>
      <c r="D2150">
        <v>0</v>
      </c>
      <c r="E2150" s="2">
        <v>126.32</v>
      </c>
      <c r="F2150" s="1">
        <v>42978</v>
      </c>
      <c r="G2150" t="str">
        <f>"AEG201708094186"</f>
        <v>AEG201708094186</v>
      </c>
      <c r="H2150" t="str">
        <f t="shared" si="48"/>
        <v>GUARDIAN</v>
      </c>
      <c r="I2150" s="2">
        <v>9.51</v>
      </c>
      <c r="J2150" t="str">
        <f t="shared" si="47"/>
        <v>GUARDIAN</v>
      </c>
    </row>
    <row r="2151" spans="1:10" x14ac:dyDescent="0.3">
      <c r="A2151" t="str">
        <f>""</f>
        <v/>
      </c>
      <c r="B2151" t="str">
        <f>""</f>
        <v/>
      </c>
      <c r="G2151" t="str">
        <f>"AEG201708234445"</f>
        <v>AEG201708234445</v>
      </c>
      <c r="H2151" t="str">
        <f t="shared" si="48"/>
        <v>GUARDIAN</v>
      </c>
      <c r="I2151" s="2">
        <v>9.51</v>
      </c>
      <c r="J2151" t="str">
        <f t="shared" si="47"/>
        <v>GUARDIAN</v>
      </c>
    </row>
    <row r="2152" spans="1:10" x14ac:dyDescent="0.3">
      <c r="A2152" t="str">
        <f>""</f>
        <v/>
      </c>
      <c r="B2152" t="str">
        <f>""</f>
        <v/>
      </c>
      <c r="G2152" t="str">
        <f>"AFG201708094186"</f>
        <v>AFG201708094186</v>
      </c>
      <c r="H2152" t="str">
        <f t="shared" si="48"/>
        <v>GUARDIAN</v>
      </c>
      <c r="I2152" s="2">
        <v>53.65</v>
      </c>
      <c r="J2152" t="str">
        <f t="shared" si="47"/>
        <v>GUARDIAN</v>
      </c>
    </row>
    <row r="2153" spans="1:10" x14ac:dyDescent="0.3">
      <c r="A2153" t="str">
        <f>""</f>
        <v/>
      </c>
      <c r="B2153" t="str">
        <f>""</f>
        <v/>
      </c>
      <c r="G2153" t="str">
        <f>"AFG201708234445"</f>
        <v>AFG201708234445</v>
      </c>
      <c r="H2153" t="str">
        <f t="shared" si="48"/>
        <v>GUARDIAN</v>
      </c>
      <c r="I2153" s="2">
        <v>53.65</v>
      </c>
      <c r="J2153" t="str">
        <f t="shared" si="47"/>
        <v>GUARDIAN</v>
      </c>
    </row>
    <row r="2154" spans="1:10" x14ac:dyDescent="0.3">
      <c r="A2154" t="str">
        <f>"01"</f>
        <v>01</v>
      </c>
      <c r="B2154" t="str">
        <f>"IRSACS"</f>
        <v>IRSACS</v>
      </c>
      <c r="C2154" t="s">
        <v>469</v>
      </c>
      <c r="D2154">
        <v>45781</v>
      </c>
      <c r="E2154" s="2">
        <v>238.43</v>
      </c>
      <c r="F2154" s="1">
        <v>42958</v>
      </c>
      <c r="G2154" t="str">
        <f>"IJ2201708094186"</f>
        <v>IJ2201708094186</v>
      </c>
      <c r="H2154" t="str">
        <f>"LISA JACKSON 2 IRS LEVY"</f>
        <v>LISA JACKSON 2 IRS LEVY</v>
      </c>
      <c r="I2154" s="2">
        <v>238.43</v>
      </c>
      <c r="J2154" t="str">
        <f>"LISA JACKSON 2 IRS LEVY"</f>
        <v>LISA JACKSON 2 IRS LEVY</v>
      </c>
    </row>
    <row r="2155" spans="1:10" x14ac:dyDescent="0.3">
      <c r="A2155" t="str">
        <f>"01"</f>
        <v>01</v>
      </c>
      <c r="B2155" t="str">
        <f>"IRSACS"</f>
        <v>IRSACS</v>
      </c>
      <c r="C2155" t="s">
        <v>469</v>
      </c>
      <c r="D2155">
        <v>45807</v>
      </c>
      <c r="E2155" s="2">
        <v>238.43</v>
      </c>
      <c r="F2155" s="1">
        <v>42972</v>
      </c>
      <c r="G2155" t="str">
        <f>"IJ2201708234445"</f>
        <v>IJ2201708234445</v>
      </c>
      <c r="H2155" t="str">
        <f>"LISA JACKSON 2 IRS LEVY"</f>
        <v>LISA JACKSON 2 IRS LEVY</v>
      </c>
      <c r="I2155" s="2">
        <v>238.43</v>
      </c>
      <c r="J2155" t="str">
        <f>"LISA JACKSON 2 IRS LEVY"</f>
        <v>LISA JACKSON 2 IRS LEVY</v>
      </c>
    </row>
    <row r="2156" spans="1:10" x14ac:dyDescent="0.3">
      <c r="A2156" t="str">
        <f>"01"</f>
        <v>01</v>
      </c>
      <c r="B2156" t="str">
        <f>"IRSPY"</f>
        <v>IRSPY</v>
      </c>
      <c r="C2156" t="s">
        <v>470</v>
      </c>
      <c r="D2156">
        <v>0</v>
      </c>
      <c r="E2156" s="2">
        <v>219489.45</v>
      </c>
      <c r="F2156" s="1">
        <v>42958</v>
      </c>
      <c r="G2156" t="str">
        <f>"T1 201708094186"</f>
        <v>T1 201708094186</v>
      </c>
      <c r="H2156" t="str">
        <f>"FEDERAL WITHHOLDING"</f>
        <v>FEDERAL WITHHOLDING</v>
      </c>
      <c r="I2156" s="2">
        <v>79782.8</v>
      </c>
      <c r="J2156" t="str">
        <f>"FEDERAL WITHHOLDING"</f>
        <v>FEDERAL WITHHOLDING</v>
      </c>
    </row>
    <row r="2157" spans="1:10" x14ac:dyDescent="0.3">
      <c r="A2157" t="str">
        <f>""</f>
        <v/>
      </c>
      <c r="B2157" t="str">
        <f>""</f>
        <v/>
      </c>
      <c r="G2157" t="str">
        <f>"T1 201708094187"</f>
        <v>T1 201708094187</v>
      </c>
      <c r="H2157" t="str">
        <f>"FEDERAL WITHHOLDING"</f>
        <v>FEDERAL WITHHOLDING</v>
      </c>
      <c r="I2157" s="2">
        <v>3392.87</v>
      </c>
      <c r="J2157" t="str">
        <f>"FEDERAL WITHHOLDING"</f>
        <v>FEDERAL WITHHOLDING</v>
      </c>
    </row>
    <row r="2158" spans="1:10" x14ac:dyDescent="0.3">
      <c r="A2158" t="str">
        <f>""</f>
        <v/>
      </c>
      <c r="B2158" t="str">
        <f>""</f>
        <v/>
      </c>
      <c r="G2158" t="str">
        <f>"T1 201708094188"</f>
        <v>T1 201708094188</v>
      </c>
      <c r="H2158" t="str">
        <f>"FEDERAL WITHHOLDING"</f>
        <v>FEDERAL WITHHOLDING</v>
      </c>
      <c r="I2158" s="2">
        <v>4488.1000000000004</v>
      </c>
      <c r="J2158" t="str">
        <f>"FEDERAL WITHHOLDING"</f>
        <v>FEDERAL WITHHOLDING</v>
      </c>
    </row>
    <row r="2159" spans="1:10" x14ac:dyDescent="0.3">
      <c r="A2159" t="str">
        <f>""</f>
        <v/>
      </c>
      <c r="B2159" t="str">
        <f>""</f>
        <v/>
      </c>
      <c r="G2159" t="str">
        <f>"T3 201708094186"</f>
        <v>T3 201708094186</v>
      </c>
      <c r="H2159" t="str">
        <f>"SOCIAL SECURITY TAXES"</f>
        <v>SOCIAL SECURITY TAXES</v>
      </c>
      <c r="I2159" s="2">
        <v>97452.4</v>
      </c>
      <c r="J2159" t="str">
        <f t="shared" ref="J2159:J2190" si="49">"SOCIAL SECURITY TAXES"</f>
        <v>SOCIAL SECURITY TAXES</v>
      </c>
    </row>
    <row r="2160" spans="1:10" x14ac:dyDescent="0.3">
      <c r="A2160" t="str">
        <f>""</f>
        <v/>
      </c>
      <c r="B2160" t="str">
        <f>""</f>
        <v/>
      </c>
      <c r="G2160" t="str">
        <f>""</f>
        <v/>
      </c>
      <c r="H2160" t="str">
        <f>""</f>
        <v/>
      </c>
      <c r="J2160" t="str">
        <f t="shared" si="49"/>
        <v>SOCIAL SECURITY TAXES</v>
      </c>
    </row>
    <row r="2161" spans="1:10" x14ac:dyDescent="0.3">
      <c r="A2161" t="str">
        <f>""</f>
        <v/>
      </c>
      <c r="B2161" t="str">
        <f>""</f>
        <v/>
      </c>
      <c r="G2161" t="str">
        <f>""</f>
        <v/>
      </c>
      <c r="H2161" t="str">
        <f>""</f>
        <v/>
      </c>
      <c r="J2161" t="str">
        <f t="shared" si="49"/>
        <v>SOCIAL SECURITY TAXES</v>
      </c>
    </row>
    <row r="2162" spans="1:10" x14ac:dyDescent="0.3">
      <c r="A2162" t="str">
        <f>""</f>
        <v/>
      </c>
      <c r="B2162" t="str">
        <f>""</f>
        <v/>
      </c>
      <c r="G2162" t="str">
        <f>""</f>
        <v/>
      </c>
      <c r="H2162" t="str">
        <f>""</f>
        <v/>
      </c>
      <c r="J2162" t="str">
        <f t="shared" si="49"/>
        <v>SOCIAL SECURITY TAXES</v>
      </c>
    </row>
    <row r="2163" spans="1:10" x14ac:dyDescent="0.3">
      <c r="A2163" t="str">
        <f>""</f>
        <v/>
      </c>
      <c r="B2163" t="str">
        <f>""</f>
        <v/>
      </c>
      <c r="G2163" t="str">
        <f>""</f>
        <v/>
      </c>
      <c r="H2163" t="str">
        <f>""</f>
        <v/>
      </c>
      <c r="J2163" t="str">
        <f t="shared" si="49"/>
        <v>SOCIAL SECURITY TAXES</v>
      </c>
    </row>
    <row r="2164" spans="1:10" x14ac:dyDescent="0.3">
      <c r="A2164" t="str">
        <f>""</f>
        <v/>
      </c>
      <c r="B2164" t="str">
        <f>""</f>
        <v/>
      </c>
      <c r="G2164" t="str">
        <f>""</f>
        <v/>
      </c>
      <c r="H2164" t="str">
        <f>""</f>
        <v/>
      </c>
      <c r="J2164" t="str">
        <f t="shared" si="49"/>
        <v>SOCIAL SECURITY TAXES</v>
      </c>
    </row>
    <row r="2165" spans="1:10" x14ac:dyDescent="0.3">
      <c r="A2165" t="str">
        <f>""</f>
        <v/>
      </c>
      <c r="B2165" t="str">
        <f>""</f>
        <v/>
      </c>
      <c r="G2165" t="str">
        <f>""</f>
        <v/>
      </c>
      <c r="H2165" t="str">
        <f>""</f>
        <v/>
      </c>
      <c r="J2165" t="str">
        <f t="shared" si="49"/>
        <v>SOCIAL SECURITY TAXES</v>
      </c>
    </row>
    <row r="2166" spans="1:10" x14ac:dyDescent="0.3">
      <c r="A2166" t="str">
        <f>""</f>
        <v/>
      </c>
      <c r="B2166" t="str">
        <f>""</f>
        <v/>
      </c>
      <c r="G2166" t="str">
        <f>""</f>
        <v/>
      </c>
      <c r="H2166" t="str">
        <f>""</f>
        <v/>
      </c>
      <c r="J2166" t="str">
        <f t="shared" si="49"/>
        <v>SOCIAL SECURITY TAXES</v>
      </c>
    </row>
    <row r="2167" spans="1:10" x14ac:dyDescent="0.3">
      <c r="A2167" t="str">
        <f>""</f>
        <v/>
      </c>
      <c r="B2167" t="str">
        <f>""</f>
        <v/>
      </c>
      <c r="G2167" t="str">
        <f>""</f>
        <v/>
      </c>
      <c r="H2167" t="str">
        <f>""</f>
        <v/>
      </c>
      <c r="J2167" t="str">
        <f t="shared" si="49"/>
        <v>SOCIAL SECURITY TAXES</v>
      </c>
    </row>
    <row r="2168" spans="1:10" x14ac:dyDescent="0.3">
      <c r="A2168" t="str">
        <f>""</f>
        <v/>
      </c>
      <c r="B2168" t="str">
        <f>""</f>
        <v/>
      </c>
      <c r="G2168" t="str">
        <f>""</f>
        <v/>
      </c>
      <c r="H2168" t="str">
        <f>""</f>
        <v/>
      </c>
      <c r="J2168" t="str">
        <f t="shared" si="49"/>
        <v>SOCIAL SECURITY TAXES</v>
      </c>
    </row>
    <row r="2169" spans="1:10" x14ac:dyDescent="0.3">
      <c r="A2169" t="str">
        <f>""</f>
        <v/>
      </c>
      <c r="B2169" t="str">
        <f>""</f>
        <v/>
      </c>
      <c r="G2169" t="str">
        <f>""</f>
        <v/>
      </c>
      <c r="H2169" t="str">
        <f>""</f>
        <v/>
      </c>
      <c r="J2169" t="str">
        <f t="shared" si="49"/>
        <v>SOCIAL SECURITY TAXES</v>
      </c>
    </row>
    <row r="2170" spans="1:10" x14ac:dyDescent="0.3">
      <c r="A2170" t="str">
        <f>""</f>
        <v/>
      </c>
      <c r="B2170" t="str">
        <f>""</f>
        <v/>
      </c>
      <c r="G2170" t="str">
        <f>""</f>
        <v/>
      </c>
      <c r="H2170" t="str">
        <f>""</f>
        <v/>
      </c>
      <c r="J2170" t="str">
        <f t="shared" si="49"/>
        <v>SOCIAL SECURITY TAXES</v>
      </c>
    </row>
    <row r="2171" spans="1:10" x14ac:dyDescent="0.3">
      <c r="A2171" t="str">
        <f>""</f>
        <v/>
      </c>
      <c r="B2171" t="str">
        <f>""</f>
        <v/>
      </c>
      <c r="G2171" t="str">
        <f>""</f>
        <v/>
      </c>
      <c r="H2171" t="str">
        <f>""</f>
        <v/>
      </c>
      <c r="J2171" t="str">
        <f t="shared" si="49"/>
        <v>SOCIAL SECURITY TAXES</v>
      </c>
    </row>
    <row r="2172" spans="1:10" x14ac:dyDescent="0.3">
      <c r="A2172" t="str">
        <f>""</f>
        <v/>
      </c>
      <c r="B2172" t="str">
        <f>""</f>
        <v/>
      </c>
      <c r="G2172" t="str">
        <f>""</f>
        <v/>
      </c>
      <c r="H2172" t="str">
        <f>""</f>
        <v/>
      </c>
      <c r="J2172" t="str">
        <f t="shared" si="49"/>
        <v>SOCIAL SECURITY TAXES</v>
      </c>
    </row>
    <row r="2173" spans="1:10" x14ac:dyDescent="0.3">
      <c r="A2173" t="str">
        <f>""</f>
        <v/>
      </c>
      <c r="B2173" t="str">
        <f>""</f>
        <v/>
      </c>
      <c r="G2173" t="str">
        <f>""</f>
        <v/>
      </c>
      <c r="H2173" t="str">
        <f>""</f>
        <v/>
      </c>
      <c r="J2173" t="str">
        <f t="shared" si="49"/>
        <v>SOCIAL SECURITY TAXES</v>
      </c>
    </row>
    <row r="2174" spans="1:10" x14ac:dyDescent="0.3">
      <c r="A2174" t="str">
        <f>""</f>
        <v/>
      </c>
      <c r="B2174" t="str">
        <f>""</f>
        <v/>
      </c>
      <c r="G2174" t="str">
        <f>""</f>
        <v/>
      </c>
      <c r="H2174" t="str">
        <f>""</f>
        <v/>
      </c>
      <c r="J2174" t="str">
        <f t="shared" si="49"/>
        <v>SOCIAL SECURITY TAXES</v>
      </c>
    </row>
    <row r="2175" spans="1:10" x14ac:dyDescent="0.3">
      <c r="A2175" t="str">
        <f>""</f>
        <v/>
      </c>
      <c r="B2175" t="str">
        <f>""</f>
        <v/>
      </c>
      <c r="G2175" t="str">
        <f>""</f>
        <v/>
      </c>
      <c r="H2175" t="str">
        <f>""</f>
        <v/>
      </c>
      <c r="J2175" t="str">
        <f t="shared" si="49"/>
        <v>SOCIAL SECURITY TAXES</v>
      </c>
    </row>
    <row r="2176" spans="1:10" x14ac:dyDescent="0.3">
      <c r="A2176" t="str">
        <f>""</f>
        <v/>
      </c>
      <c r="B2176" t="str">
        <f>""</f>
        <v/>
      </c>
      <c r="G2176" t="str">
        <f>""</f>
        <v/>
      </c>
      <c r="H2176" t="str">
        <f>""</f>
        <v/>
      </c>
      <c r="J2176" t="str">
        <f t="shared" si="49"/>
        <v>SOCIAL SECURITY TAXES</v>
      </c>
    </row>
    <row r="2177" spans="1:10" x14ac:dyDescent="0.3">
      <c r="A2177" t="str">
        <f>""</f>
        <v/>
      </c>
      <c r="B2177" t="str">
        <f>""</f>
        <v/>
      </c>
      <c r="G2177" t="str">
        <f>""</f>
        <v/>
      </c>
      <c r="H2177" t="str">
        <f>""</f>
        <v/>
      </c>
      <c r="J2177" t="str">
        <f t="shared" si="49"/>
        <v>SOCIAL SECURITY TAXES</v>
      </c>
    </row>
    <row r="2178" spans="1:10" x14ac:dyDescent="0.3">
      <c r="A2178" t="str">
        <f>""</f>
        <v/>
      </c>
      <c r="B2178" t="str">
        <f>""</f>
        <v/>
      </c>
      <c r="G2178" t="str">
        <f>""</f>
        <v/>
      </c>
      <c r="H2178" t="str">
        <f>""</f>
        <v/>
      </c>
      <c r="J2178" t="str">
        <f t="shared" si="49"/>
        <v>SOCIAL SECURITY TAXES</v>
      </c>
    </row>
    <row r="2179" spans="1:10" x14ac:dyDescent="0.3">
      <c r="A2179" t="str">
        <f>""</f>
        <v/>
      </c>
      <c r="B2179" t="str">
        <f>""</f>
        <v/>
      </c>
      <c r="G2179" t="str">
        <f>""</f>
        <v/>
      </c>
      <c r="H2179" t="str">
        <f>""</f>
        <v/>
      </c>
      <c r="J2179" t="str">
        <f t="shared" si="49"/>
        <v>SOCIAL SECURITY TAXES</v>
      </c>
    </row>
    <row r="2180" spans="1:10" x14ac:dyDescent="0.3">
      <c r="A2180" t="str">
        <f>""</f>
        <v/>
      </c>
      <c r="B2180" t="str">
        <f>""</f>
        <v/>
      </c>
      <c r="G2180" t="str">
        <f>""</f>
        <v/>
      </c>
      <c r="H2180" t="str">
        <f>""</f>
        <v/>
      </c>
      <c r="J2180" t="str">
        <f t="shared" si="49"/>
        <v>SOCIAL SECURITY TAXES</v>
      </c>
    </row>
    <row r="2181" spans="1:10" x14ac:dyDescent="0.3">
      <c r="A2181" t="str">
        <f>""</f>
        <v/>
      </c>
      <c r="B2181" t="str">
        <f>""</f>
        <v/>
      </c>
      <c r="G2181" t="str">
        <f>""</f>
        <v/>
      </c>
      <c r="H2181" t="str">
        <f>""</f>
        <v/>
      </c>
      <c r="J2181" t="str">
        <f t="shared" si="49"/>
        <v>SOCIAL SECURITY TAXES</v>
      </c>
    </row>
    <row r="2182" spans="1:10" x14ac:dyDescent="0.3">
      <c r="A2182" t="str">
        <f>""</f>
        <v/>
      </c>
      <c r="B2182" t="str">
        <f>""</f>
        <v/>
      </c>
      <c r="G2182" t="str">
        <f>""</f>
        <v/>
      </c>
      <c r="H2182" t="str">
        <f>""</f>
        <v/>
      </c>
      <c r="J2182" t="str">
        <f t="shared" si="49"/>
        <v>SOCIAL SECURITY TAXES</v>
      </c>
    </row>
    <row r="2183" spans="1:10" x14ac:dyDescent="0.3">
      <c r="A2183" t="str">
        <f>""</f>
        <v/>
      </c>
      <c r="B2183" t="str">
        <f>""</f>
        <v/>
      </c>
      <c r="G2183" t="str">
        <f>""</f>
        <v/>
      </c>
      <c r="H2183" t="str">
        <f>""</f>
        <v/>
      </c>
      <c r="J2183" t="str">
        <f t="shared" si="49"/>
        <v>SOCIAL SECURITY TAXES</v>
      </c>
    </row>
    <row r="2184" spans="1:10" x14ac:dyDescent="0.3">
      <c r="A2184" t="str">
        <f>""</f>
        <v/>
      </c>
      <c r="B2184" t="str">
        <f>""</f>
        <v/>
      </c>
      <c r="G2184" t="str">
        <f>""</f>
        <v/>
      </c>
      <c r="H2184" t="str">
        <f>""</f>
        <v/>
      </c>
      <c r="J2184" t="str">
        <f t="shared" si="49"/>
        <v>SOCIAL SECURITY TAXES</v>
      </c>
    </row>
    <row r="2185" spans="1:10" x14ac:dyDescent="0.3">
      <c r="A2185" t="str">
        <f>""</f>
        <v/>
      </c>
      <c r="B2185" t="str">
        <f>""</f>
        <v/>
      </c>
      <c r="G2185" t="str">
        <f>""</f>
        <v/>
      </c>
      <c r="H2185" t="str">
        <f>""</f>
        <v/>
      </c>
      <c r="J2185" t="str">
        <f t="shared" si="49"/>
        <v>SOCIAL SECURITY TAXES</v>
      </c>
    </row>
    <row r="2186" spans="1:10" x14ac:dyDescent="0.3">
      <c r="A2186" t="str">
        <f>""</f>
        <v/>
      </c>
      <c r="B2186" t="str">
        <f>""</f>
        <v/>
      </c>
      <c r="G2186" t="str">
        <f>""</f>
        <v/>
      </c>
      <c r="H2186" t="str">
        <f>""</f>
        <v/>
      </c>
      <c r="J2186" t="str">
        <f t="shared" si="49"/>
        <v>SOCIAL SECURITY TAXES</v>
      </c>
    </row>
    <row r="2187" spans="1:10" x14ac:dyDescent="0.3">
      <c r="A2187" t="str">
        <f>""</f>
        <v/>
      </c>
      <c r="B2187" t="str">
        <f>""</f>
        <v/>
      </c>
      <c r="G2187" t="str">
        <f>""</f>
        <v/>
      </c>
      <c r="H2187" t="str">
        <f>""</f>
        <v/>
      </c>
      <c r="J2187" t="str">
        <f t="shared" si="49"/>
        <v>SOCIAL SECURITY TAXES</v>
      </c>
    </row>
    <row r="2188" spans="1:10" x14ac:dyDescent="0.3">
      <c r="A2188" t="str">
        <f>""</f>
        <v/>
      </c>
      <c r="B2188" t="str">
        <f>""</f>
        <v/>
      </c>
      <c r="G2188" t="str">
        <f>""</f>
        <v/>
      </c>
      <c r="H2188" t="str">
        <f>""</f>
        <v/>
      </c>
      <c r="J2188" t="str">
        <f t="shared" si="49"/>
        <v>SOCIAL SECURITY TAXES</v>
      </c>
    </row>
    <row r="2189" spans="1:10" x14ac:dyDescent="0.3">
      <c r="A2189" t="str">
        <f>""</f>
        <v/>
      </c>
      <c r="B2189" t="str">
        <f>""</f>
        <v/>
      </c>
      <c r="G2189" t="str">
        <f>""</f>
        <v/>
      </c>
      <c r="H2189" t="str">
        <f>""</f>
        <v/>
      </c>
      <c r="J2189" t="str">
        <f t="shared" si="49"/>
        <v>SOCIAL SECURITY TAXES</v>
      </c>
    </row>
    <row r="2190" spans="1:10" x14ac:dyDescent="0.3">
      <c r="A2190" t="str">
        <f>""</f>
        <v/>
      </c>
      <c r="B2190" t="str">
        <f>""</f>
        <v/>
      </c>
      <c r="G2190" t="str">
        <f>""</f>
        <v/>
      </c>
      <c r="H2190" t="str">
        <f>""</f>
        <v/>
      </c>
      <c r="J2190" t="str">
        <f t="shared" si="49"/>
        <v>SOCIAL SECURITY TAXES</v>
      </c>
    </row>
    <row r="2191" spans="1:10" x14ac:dyDescent="0.3">
      <c r="A2191" t="str">
        <f>""</f>
        <v/>
      </c>
      <c r="B2191" t="str">
        <f>""</f>
        <v/>
      </c>
      <c r="G2191" t="str">
        <f>""</f>
        <v/>
      </c>
      <c r="H2191" t="str">
        <f>""</f>
        <v/>
      </c>
      <c r="J2191" t="str">
        <f t="shared" ref="J2191:J2214" si="50">"SOCIAL SECURITY TAXES"</f>
        <v>SOCIAL SECURITY TAXES</v>
      </c>
    </row>
    <row r="2192" spans="1:10" x14ac:dyDescent="0.3">
      <c r="A2192" t="str">
        <f>""</f>
        <v/>
      </c>
      <c r="B2192" t="str">
        <f>""</f>
        <v/>
      </c>
      <c r="G2192" t="str">
        <f>""</f>
        <v/>
      </c>
      <c r="H2192" t="str">
        <f>""</f>
        <v/>
      </c>
      <c r="J2192" t="str">
        <f t="shared" si="50"/>
        <v>SOCIAL SECURITY TAXES</v>
      </c>
    </row>
    <row r="2193" spans="1:10" x14ac:dyDescent="0.3">
      <c r="A2193" t="str">
        <f>""</f>
        <v/>
      </c>
      <c r="B2193" t="str">
        <f>""</f>
        <v/>
      </c>
      <c r="G2193" t="str">
        <f>""</f>
        <v/>
      </c>
      <c r="H2193" t="str">
        <f>""</f>
        <v/>
      </c>
      <c r="J2193" t="str">
        <f t="shared" si="50"/>
        <v>SOCIAL SECURITY TAXES</v>
      </c>
    </row>
    <row r="2194" spans="1:10" x14ac:dyDescent="0.3">
      <c r="A2194" t="str">
        <f>""</f>
        <v/>
      </c>
      <c r="B2194" t="str">
        <f>""</f>
        <v/>
      </c>
      <c r="G2194" t="str">
        <f>""</f>
        <v/>
      </c>
      <c r="H2194" t="str">
        <f>""</f>
        <v/>
      </c>
      <c r="J2194" t="str">
        <f t="shared" si="50"/>
        <v>SOCIAL SECURITY TAXES</v>
      </c>
    </row>
    <row r="2195" spans="1:10" x14ac:dyDescent="0.3">
      <c r="A2195" t="str">
        <f>""</f>
        <v/>
      </c>
      <c r="B2195" t="str">
        <f>""</f>
        <v/>
      </c>
      <c r="G2195" t="str">
        <f>""</f>
        <v/>
      </c>
      <c r="H2195" t="str">
        <f>""</f>
        <v/>
      </c>
      <c r="J2195" t="str">
        <f t="shared" si="50"/>
        <v>SOCIAL SECURITY TAXES</v>
      </c>
    </row>
    <row r="2196" spans="1:10" x14ac:dyDescent="0.3">
      <c r="A2196" t="str">
        <f>""</f>
        <v/>
      </c>
      <c r="B2196" t="str">
        <f>""</f>
        <v/>
      </c>
      <c r="G2196" t="str">
        <f>""</f>
        <v/>
      </c>
      <c r="H2196" t="str">
        <f>""</f>
        <v/>
      </c>
      <c r="J2196" t="str">
        <f t="shared" si="50"/>
        <v>SOCIAL SECURITY TAXES</v>
      </c>
    </row>
    <row r="2197" spans="1:10" x14ac:dyDescent="0.3">
      <c r="A2197" t="str">
        <f>""</f>
        <v/>
      </c>
      <c r="B2197" t="str">
        <f>""</f>
        <v/>
      </c>
      <c r="G2197" t="str">
        <f>""</f>
        <v/>
      </c>
      <c r="H2197" t="str">
        <f>""</f>
        <v/>
      </c>
      <c r="J2197" t="str">
        <f t="shared" si="50"/>
        <v>SOCIAL SECURITY TAXES</v>
      </c>
    </row>
    <row r="2198" spans="1:10" x14ac:dyDescent="0.3">
      <c r="A2198" t="str">
        <f>""</f>
        <v/>
      </c>
      <c r="B2198" t="str">
        <f>""</f>
        <v/>
      </c>
      <c r="G2198" t="str">
        <f>""</f>
        <v/>
      </c>
      <c r="H2198" t="str">
        <f>""</f>
        <v/>
      </c>
      <c r="J2198" t="str">
        <f t="shared" si="50"/>
        <v>SOCIAL SECURITY TAXES</v>
      </c>
    </row>
    <row r="2199" spans="1:10" x14ac:dyDescent="0.3">
      <c r="A2199" t="str">
        <f>""</f>
        <v/>
      </c>
      <c r="B2199" t="str">
        <f>""</f>
        <v/>
      </c>
      <c r="G2199" t="str">
        <f>""</f>
        <v/>
      </c>
      <c r="H2199" t="str">
        <f>""</f>
        <v/>
      </c>
      <c r="J2199" t="str">
        <f t="shared" si="50"/>
        <v>SOCIAL SECURITY TAXES</v>
      </c>
    </row>
    <row r="2200" spans="1:10" x14ac:dyDescent="0.3">
      <c r="A2200" t="str">
        <f>""</f>
        <v/>
      </c>
      <c r="B2200" t="str">
        <f>""</f>
        <v/>
      </c>
      <c r="G2200" t="str">
        <f>""</f>
        <v/>
      </c>
      <c r="H2200" t="str">
        <f>""</f>
        <v/>
      </c>
      <c r="J2200" t="str">
        <f t="shared" si="50"/>
        <v>SOCIAL SECURITY TAXES</v>
      </c>
    </row>
    <row r="2201" spans="1:10" x14ac:dyDescent="0.3">
      <c r="A2201" t="str">
        <f>""</f>
        <v/>
      </c>
      <c r="B2201" t="str">
        <f>""</f>
        <v/>
      </c>
      <c r="G2201" t="str">
        <f>""</f>
        <v/>
      </c>
      <c r="H2201" t="str">
        <f>""</f>
        <v/>
      </c>
      <c r="J2201" t="str">
        <f t="shared" si="50"/>
        <v>SOCIAL SECURITY TAXES</v>
      </c>
    </row>
    <row r="2202" spans="1:10" x14ac:dyDescent="0.3">
      <c r="A2202" t="str">
        <f>""</f>
        <v/>
      </c>
      <c r="B2202" t="str">
        <f>""</f>
        <v/>
      </c>
      <c r="G2202" t="str">
        <f>""</f>
        <v/>
      </c>
      <c r="H2202" t="str">
        <f>""</f>
        <v/>
      </c>
      <c r="J2202" t="str">
        <f t="shared" si="50"/>
        <v>SOCIAL SECURITY TAXES</v>
      </c>
    </row>
    <row r="2203" spans="1:10" x14ac:dyDescent="0.3">
      <c r="A2203" t="str">
        <f>""</f>
        <v/>
      </c>
      <c r="B2203" t="str">
        <f>""</f>
        <v/>
      </c>
      <c r="G2203" t="str">
        <f>""</f>
        <v/>
      </c>
      <c r="H2203" t="str">
        <f>""</f>
        <v/>
      </c>
      <c r="J2203" t="str">
        <f t="shared" si="50"/>
        <v>SOCIAL SECURITY TAXES</v>
      </c>
    </row>
    <row r="2204" spans="1:10" x14ac:dyDescent="0.3">
      <c r="A2204" t="str">
        <f>""</f>
        <v/>
      </c>
      <c r="B2204" t="str">
        <f>""</f>
        <v/>
      </c>
      <c r="G2204" t="str">
        <f>""</f>
        <v/>
      </c>
      <c r="H2204" t="str">
        <f>""</f>
        <v/>
      </c>
      <c r="J2204" t="str">
        <f t="shared" si="50"/>
        <v>SOCIAL SECURITY TAXES</v>
      </c>
    </row>
    <row r="2205" spans="1:10" x14ac:dyDescent="0.3">
      <c r="A2205" t="str">
        <f>""</f>
        <v/>
      </c>
      <c r="B2205" t="str">
        <f>""</f>
        <v/>
      </c>
      <c r="G2205" t="str">
        <f>""</f>
        <v/>
      </c>
      <c r="H2205" t="str">
        <f>""</f>
        <v/>
      </c>
      <c r="J2205" t="str">
        <f t="shared" si="50"/>
        <v>SOCIAL SECURITY TAXES</v>
      </c>
    </row>
    <row r="2206" spans="1:10" x14ac:dyDescent="0.3">
      <c r="A2206" t="str">
        <f>""</f>
        <v/>
      </c>
      <c r="B2206" t="str">
        <f>""</f>
        <v/>
      </c>
      <c r="G2206" t="str">
        <f>""</f>
        <v/>
      </c>
      <c r="H2206" t="str">
        <f>""</f>
        <v/>
      </c>
      <c r="J2206" t="str">
        <f t="shared" si="50"/>
        <v>SOCIAL SECURITY TAXES</v>
      </c>
    </row>
    <row r="2207" spans="1:10" x14ac:dyDescent="0.3">
      <c r="A2207" t="str">
        <f>""</f>
        <v/>
      </c>
      <c r="B2207" t="str">
        <f>""</f>
        <v/>
      </c>
      <c r="G2207" t="str">
        <f>""</f>
        <v/>
      </c>
      <c r="H2207" t="str">
        <f>""</f>
        <v/>
      </c>
      <c r="J2207" t="str">
        <f t="shared" si="50"/>
        <v>SOCIAL SECURITY TAXES</v>
      </c>
    </row>
    <row r="2208" spans="1:10" x14ac:dyDescent="0.3">
      <c r="A2208" t="str">
        <f>""</f>
        <v/>
      </c>
      <c r="B2208" t="str">
        <f>""</f>
        <v/>
      </c>
      <c r="G2208" t="str">
        <f>""</f>
        <v/>
      </c>
      <c r="H2208" t="str">
        <f>""</f>
        <v/>
      </c>
      <c r="J2208" t="str">
        <f t="shared" si="50"/>
        <v>SOCIAL SECURITY TAXES</v>
      </c>
    </row>
    <row r="2209" spans="1:10" x14ac:dyDescent="0.3">
      <c r="A2209" t="str">
        <f>""</f>
        <v/>
      </c>
      <c r="B2209" t="str">
        <f>""</f>
        <v/>
      </c>
      <c r="G2209" t="str">
        <f>""</f>
        <v/>
      </c>
      <c r="H2209" t="str">
        <f>""</f>
        <v/>
      </c>
      <c r="J2209" t="str">
        <f t="shared" si="50"/>
        <v>SOCIAL SECURITY TAXES</v>
      </c>
    </row>
    <row r="2210" spans="1:10" x14ac:dyDescent="0.3">
      <c r="A2210" t="str">
        <f>""</f>
        <v/>
      </c>
      <c r="B2210" t="str">
        <f>""</f>
        <v/>
      </c>
      <c r="G2210" t="str">
        <f>""</f>
        <v/>
      </c>
      <c r="H2210" t="str">
        <f>""</f>
        <v/>
      </c>
      <c r="J2210" t="str">
        <f t="shared" si="50"/>
        <v>SOCIAL SECURITY TAXES</v>
      </c>
    </row>
    <row r="2211" spans="1:10" x14ac:dyDescent="0.3">
      <c r="A2211" t="str">
        <f>""</f>
        <v/>
      </c>
      <c r="B2211" t="str">
        <f>""</f>
        <v/>
      </c>
      <c r="G2211" t="str">
        <f>"T3 201708094187"</f>
        <v>T3 201708094187</v>
      </c>
      <c r="H2211" t="str">
        <f>"SOCIAL SECURITY TAXES"</f>
        <v>SOCIAL SECURITY TAXES</v>
      </c>
      <c r="I2211" s="2">
        <v>3878.66</v>
      </c>
      <c r="J2211" t="str">
        <f t="shared" si="50"/>
        <v>SOCIAL SECURITY TAXES</v>
      </c>
    </row>
    <row r="2212" spans="1:10" x14ac:dyDescent="0.3">
      <c r="A2212" t="str">
        <f>""</f>
        <v/>
      </c>
      <c r="B2212" t="str">
        <f>""</f>
        <v/>
      </c>
      <c r="G2212" t="str">
        <f>""</f>
        <v/>
      </c>
      <c r="H2212" t="str">
        <f>""</f>
        <v/>
      </c>
      <c r="J2212" t="str">
        <f t="shared" si="50"/>
        <v>SOCIAL SECURITY TAXES</v>
      </c>
    </row>
    <row r="2213" spans="1:10" x14ac:dyDescent="0.3">
      <c r="A2213" t="str">
        <f>""</f>
        <v/>
      </c>
      <c r="B2213" t="str">
        <f>""</f>
        <v/>
      </c>
      <c r="G2213" t="str">
        <f>"T3 201708094188"</f>
        <v>T3 201708094188</v>
      </c>
      <c r="H2213" t="str">
        <f>"SOCIAL SECURITY TAXES"</f>
        <v>SOCIAL SECURITY TAXES</v>
      </c>
      <c r="I2213" s="2">
        <v>5507.96</v>
      </c>
      <c r="J2213" t="str">
        <f t="shared" si="50"/>
        <v>SOCIAL SECURITY TAXES</v>
      </c>
    </row>
    <row r="2214" spans="1:10" x14ac:dyDescent="0.3">
      <c r="A2214" t="str">
        <f>""</f>
        <v/>
      </c>
      <c r="B2214" t="str">
        <f>""</f>
        <v/>
      </c>
      <c r="G2214" t="str">
        <f>""</f>
        <v/>
      </c>
      <c r="H2214" t="str">
        <f>""</f>
        <v/>
      </c>
      <c r="J2214" t="str">
        <f t="shared" si="50"/>
        <v>SOCIAL SECURITY TAXES</v>
      </c>
    </row>
    <row r="2215" spans="1:10" x14ac:dyDescent="0.3">
      <c r="A2215" t="str">
        <f>""</f>
        <v/>
      </c>
      <c r="B2215" t="str">
        <f>""</f>
        <v/>
      </c>
      <c r="G2215" t="str">
        <f>"T4 201708094186"</f>
        <v>T4 201708094186</v>
      </c>
      <c r="H2215" t="str">
        <f>"MEDICARE TAXES"</f>
        <v>MEDICARE TAXES</v>
      </c>
      <c r="I2215" s="2">
        <v>22791.4</v>
      </c>
      <c r="J2215" t="str">
        <f t="shared" ref="J2215:J2246" si="51">"MEDICARE TAXES"</f>
        <v>MEDICARE TAXES</v>
      </c>
    </row>
    <row r="2216" spans="1:10" x14ac:dyDescent="0.3">
      <c r="A2216" t="str">
        <f>""</f>
        <v/>
      </c>
      <c r="B2216" t="str">
        <f>""</f>
        <v/>
      </c>
      <c r="G2216" t="str">
        <f>""</f>
        <v/>
      </c>
      <c r="H2216" t="str">
        <f>""</f>
        <v/>
      </c>
      <c r="J2216" t="str">
        <f t="shared" si="51"/>
        <v>MEDICARE TAXES</v>
      </c>
    </row>
    <row r="2217" spans="1:10" x14ac:dyDescent="0.3">
      <c r="A2217" t="str">
        <f>""</f>
        <v/>
      </c>
      <c r="B2217" t="str">
        <f>""</f>
        <v/>
      </c>
      <c r="G2217" t="str">
        <f>""</f>
        <v/>
      </c>
      <c r="H2217" t="str">
        <f>""</f>
        <v/>
      </c>
      <c r="J2217" t="str">
        <f t="shared" si="51"/>
        <v>MEDICARE TAXES</v>
      </c>
    </row>
    <row r="2218" spans="1:10" x14ac:dyDescent="0.3">
      <c r="A2218" t="str">
        <f>""</f>
        <v/>
      </c>
      <c r="B2218" t="str">
        <f>""</f>
        <v/>
      </c>
      <c r="G2218" t="str">
        <f>""</f>
        <v/>
      </c>
      <c r="H2218" t="str">
        <f>""</f>
        <v/>
      </c>
      <c r="J2218" t="str">
        <f t="shared" si="51"/>
        <v>MEDICARE TAXES</v>
      </c>
    </row>
    <row r="2219" spans="1:10" x14ac:dyDescent="0.3">
      <c r="A2219" t="str">
        <f>""</f>
        <v/>
      </c>
      <c r="B2219" t="str">
        <f>""</f>
        <v/>
      </c>
      <c r="G2219" t="str">
        <f>""</f>
        <v/>
      </c>
      <c r="H2219" t="str">
        <f>""</f>
        <v/>
      </c>
      <c r="J2219" t="str">
        <f t="shared" si="51"/>
        <v>MEDICARE TAXES</v>
      </c>
    </row>
    <row r="2220" spans="1:10" x14ac:dyDescent="0.3">
      <c r="A2220" t="str">
        <f>""</f>
        <v/>
      </c>
      <c r="B2220" t="str">
        <f>""</f>
        <v/>
      </c>
      <c r="G2220" t="str">
        <f>""</f>
        <v/>
      </c>
      <c r="H2220" t="str">
        <f>""</f>
        <v/>
      </c>
      <c r="J2220" t="str">
        <f t="shared" si="51"/>
        <v>MEDICARE TAXES</v>
      </c>
    </row>
    <row r="2221" spans="1:10" x14ac:dyDescent="0.3">
      <c r="A2221" t="str">
        <f>""</f>
        <v/>
      </c>
      <c r="B2221" t="str">
        <f>""</f>
        <v/>
      </c>
      <c r="G2221" t="str">
        <f>""</f>
        <v/>
      </c>
      <c r="H2221" t="str">
        <f>""</f>
        <v/>
      </c>
      <c r="J2221" t="str">
        <f t="shared" si="51"/>
        <v>MEDICARE TAXES</v>
      </c>
    </row>
    <row r="2222" spans="1:10" x14ac:dyDescent="0.3">
      <c r="A2222" t="str">
        <f>""</f>
        <v/>
      </c>
      <c r="B2222" t="str">
        <f>""</f>
        <v/>
      </c>
      <c r="G2222" t="str">
        <f>""</f>
        <v/>
      </c>
      <c r="H2222" t="str">
        <f>""</f>
        <v/>
      </c>
      <c r="J2222" t="str">
        <f t="shared" si="51"/>
        <v>MEDICARE TAXES</v>
      </c>
    </row>
    <row r="2223" spans="1:10" x14ac:dyDescent="0.3">
      <c r="A2223" t="str">
        <f>""</f>
        <v/>
      </c>
      <c r="B2223" t="str">
        <f>""</f>
        <v/>
      </c>
      <c r="G2223" t="str">
        <f>""</f>
        <v/>
      </c>
      <c r="H2223" t="str">
        <f>""</f>
        <v/>
      </c>
      <c r="J2223" t="str">
        <f t="shared" si="51"/>
        <v>MEDICARE TAXES</v>
      </c>
    </row>
    <row r="2224" spans="1:10" x14ac:dyDescent="0.3">
      <c r="A2224" t="str">
        <f>""</f>
        <v/>
      </c>
      <c r="B2224" t="str">
        <f>""</f>
        <v/>
      </c>
      <c r="G2224" t="str">
        <f>""</f>
        <v/>
      </c>
      <c r="H2224" t="str">
        <f>""</f>
        <v/>
      </c>
      <c r="J2224" t="str">
        <f t="shared" si="51"/>
        <v>MEDICARE TAXES</v>
      </c>
    </row>
    <row r="2225" spans="1:10" x14ac:dyDescent="0.3">
      <c r="A2225" t="str">
        <f>""</f>
        <v/>
      </c>
      <c r="B2225" t="str">
        <f>""</f>
        <v/>
      </c>
      <c r="G2225" t="str">
        <f>""</f>
        <v/>
      </c>
      <c r="H2225" t="str">
        <f>""</f>
        <v/>
      </c>
      <c r="J2225" t="str">
        <f t="shared" si="51"/>
        <v>MEDICARE TAXES</v>
      </c>
    </row>
    <row r="2226" spans="1:10" x14ac:dyDescent="0.3">
      <c r="A2226" t="str">
        <f>""</f>
        <v/>
      </c>
      <c r="B2226" t="str">
        <f>""</f>
        <v/>
      </c>
      <c r="G2226" t="str">
        <f>""</f>
        <v/>
      </c>
      <c r="H2226" t="str">
        <f>""</f>
        <v/>
      </c>
      <c r="J2226" t="str">
        <f t="shared" si="51"/>
        <v>MEDICARE TAXES</v>
      </c>
    </row>
    <row r="2227" spans="1:10" x14ac:dyDescent="0.3">
      <c r="A2227" t="str">
        <f>""</f>
        <v/>
      </c>
      <c r="B2227" t="str">
        <f>""</f>
        <v/>
      </c>
      <c r="G2227" t="str">
        <f>""</f>
        <v/>
      </c>
      <c r="H2227" t="str">
        <f>""</f>
        <v/>
      </c>
      <c r="J2227" t="str">
        <f t="shared" si="51"/>
        <v>MEDICARE TAXES</v>
      </c>
    </row>
    <row r="2228" spans="1:10" x14ac:dyDescent="0.3">
      <c r="A2228" t="str">
        <f>""</f>
        <v/>
      </c>
      <c r="B2228" t="str">
        <f>""</f>
        <v/>
      </c>
      <c r="G2228" t="str">
        <f>""</f>
        <v/>
      </c>
      <c r="H2228" t="str">
        <f>""</f>
        <v/>
      </c>
      <c r="J2228" t="str">
        <f t="shared" si="51"/>
        <v>MEDICARE TAXES</v>
      </c>
    </row>
    <row r="2229" spans="1:10" x14ac:dyDescent="0.3">
      <c r="A2229" t="str">
        <f>""</f>
        <v/>
      </c>
      <c r="B2229" t="str">
        <f>""</f>
        <v/>
      </c>
      <c r="G2229" t="str">
        <f>""</f>
        <v/>
      </c>
      <c r="H2229" t="str">
        <f>""</f>
        <v/>
      </c>
      <c r="J2229" t="str">
        <f t="shared" si="51"/>
        <v>MEDICARE TAXES</v>
      </c>
    </row>
    <row r="2230" spans="1:10" x14ac:dyDescent="0.3">
      <c r="A2230" t="str">
        <f>""</f>
        <v/>
      </c>
      <c r="B2230" t="str">
        <f>""</f>
        <v/>
      </c>
      <c r="G2230" t="str">
        <f>""</f>
        <v/>
      </c>
      <c r="H2230" t="str">
        <f>""</f>
        <v/>
      </c>
      <c r="J2230" t="str">
        <f t="shared" si="51"/>
        <v>MEDICARE TAXES</v>
      </c>
    </row>
    <row r="2231" spans="1:10" x14ac:dyDescent="0.3">
      <c r="A2231" t="str">
        <f>""</f>
        <v/>
      </c>
      <c r="B2231" t="str">
        <f>""</f>
        <v/>
      </c>
      <c r="G2231" t="str">
        <f>""</f>
        <v/>
      </c>
      <c r="H2231" t="str">
        <f>""</f>
        <v/>
      </c>
      <c r="J2231" t="str">
        <f t="shared" si="51"/>
        <v>MEDICARE TAXES</v>
      </c>
    </row>
    <row r="2232" spans="1:10" x14ac:dyDescent="0.3">
      <c r="A2232" t="str">
        <f>""</f>
        <v/>
      </c>
      <c r="B2232" t="str">
        <f>""</f>
        <v/>
      </c>
      <c r="G2232" t="str">
        <f>""</f>
        <v/>
      </c>
      <c r="H2232" t="str">
        <f>""</f>
        <v/>
      </c>
      <c r="J2232" t="str">
        <f t="shared" si="51"/>
        <v>MEDICARE TAXES</v>
      </c>
    </row>
    <row r="2233" spans="1:10" x14ac:dyDescent="0.3">
      <c r="A2233" t="str">
        <f>""</f>
        <v/>
      </c>
      <c r="B2233" t="str">
        <f>""</f>
        <v/>
      </c>
      <c r="G2233" t="str">
        <f>""</f>
        <v/>
      </c>
      <c r="H2233" t="str">
        <f>""</f>
        <v/>
      </c>
      <c r="J2233" t="str">
        <f t="shared" si="51"/>
        <v>MEDICARE TAXES</v>
      </c>
    </row>
    <row r="2234" spans="1:10" x14ac:dyDescent="0.3">
      <c r="A2234" t="str">
        <f>""</f>
        <v/>
      </c>
      <c r="B2234" t="str">
        <f>""</f>
        <v/>
      </c>
      <c r="G2234" t="str">
        <f>""</f>
        <v/>
      </c>
      <c r="H2234" t="str">
        <f>""</f>
        <v/>
      </c>
      <c r="J2234" t="str">
        <f t="shared" si="51"/>
        <v>MEDICARE TAXES</v>
      </c>
    </row>
    <row r="2235" spans="1:10" x14ac:dyDescent="0.3">
      <c r="A2235" t="str">
        <f>""</f>
        <v/>
      </c>
      <c r="B2235" t="str">
        <f>""</f>
        <v/>
      </c>
      <c r="G2235" t="str">
        <f>""</f>
        <v/>
      </c>
      <c r="H2235" t="str">
        <f>""</f>
        <v/>
      </c>
      <c r="J2235" t="str">
        <f t="shared" si="51"/>
        <v>MEDICARE TAXES</v>
      </c>
    </row>
    <row r="2236" spans="1:10" x14ac:dyDescent="0.3">
      <c r="A2236" t="str">
        <f>""</f>
        <v/>
      </c>
      <c r="B2236" t="str">
        <f>""</f>
        <v/>
      </c>
      <c r="G2236" t="str">
        <f>""</f>
        <v/>
      </c>
      <c r="H2236" t="str">
        <f>""</f>
        <v/>
      </c>
      <c r="J2236" t="str">
        <f t="shared" si="51"/>
        <v>MEDICARE TAXES</v>
      </c>
    </row>
    <row r="2237" spans="1:10" x14ac:dyDescent="0.3">
      <c r="A2237" t="str">
        <f>""</f>
        <v/>
      </c>
      <c r="B2237" t="str">
        <f>""</f>
        <v/>
      </c>
      <c r="G2237" t="str">
        <f>""</f>
        <v/>
      </c>
      <c r="H2237" t="str">
        <f>""</f>
        <v/>
      </c>
      <c r="J2237" t="str">
        <f t="shared" si="51"/>
        <v>MEDICARE TAXES</v>
      </c>
    </row>
    <row r="2238" spans="1:10" x14ac:dyDescent="0.3">
      <c r="A2238" t="str">
        <f>""</f>
        <v/>
      </c>
      <c r="B2238" t="str">
        <f>""</f>
        <v/>
      </c>
      <c r="G2238" t="str">
        <f>""</f>
        <v/>
      </c>
      <c r="H2238" t="str">
        <f>""</f>
        <v/>
      </c>
      <c r="J2238" t="str">
        <f t="shared" si="51"/>
        <v>MEDICARE TAXES</v>
      </c>
    </row>
    <row r="2239" spans="1:10" x14ac:dyDescent="0.3">
      <c r="A2239" t="str">
        <f>""</f>
        <v/>
      </c>
      <c r="B2239" t="str">
        <f>""</f>
        <v/>
      </c>
      <c r="G2239" t="str">
        <f>""</f>
        <v/>
      </c>
      <c r="H2239" t="str">
        <f>""</f>
        <v/>
      </c>
      <c r="J2239" t="str">
        <f t="shared" si="51"/>
        <v>MEDICARE TAXES</v>
      </c>
    </row>
    <row r="2240" spans="1:10" x14ac:dyDescent="0.3">
      <c r="A2240" t="str">
        <f>""</f>
        <v/>
      </c>
      <c r="B2240" t="str">
        <f>""</f>
        <v/>
      </c>
      <c r="G2240" t="str">
        <f>""</f>
        <v/>
      </c>
      <c r="H2240" t="str">
        <f>""</f>
        <v/>
      </c>
      <c r="J2240" t="str">
        <f t="shared" si="51"/>
        <v>MEDICARE TAXES</v>
      </c>
    </row>
    <row r="2241" spans="1:10" x14ac:dyDescent="0.3">
      <c r="A2241" t="str">
        <f>""</f>
        <v/>
      </c>
      <c r="B2241" t="str">
        <f>""</f>
        <v/>
      </c>
      <c r="G2241" t="str">
        <f>""</f>
        <v/>
      </c>
      <c r="H2241" t="str">
        <f>""</f>
        <v/>
      </c>
      <c r="J2241" t="str">
        <f t="shared" si="51"/>
        <v>MEDICARE TAXES</v>
      </c>
    </row>
    <row r="2242" spans="1:10" x14ac:dyDescent="0.3">
      <c r="A2242" t="str">
        <f>""</f>
        <v/>
      </c>
      <c r="B2242" t="str">
        <f>""</f>
        <v/>
      </c>
      <c r="G2242" t="str">
        <f>""</f>
        <v/>
      </c>
      <c r="H2242" t="str">
        <f>""</f>
        <v/>
      </c>
      <c r="J2242" t="str">
        <f t="shared" si="51"/>
        <v>MEDICARE TAXES</v>
      </c>
    </row>
    <row r="2243" spans="1:10" x14ac:dyDescent="0.3">
      <c r="A2243" t="str">
        <f>""</f>
        <v/>
      </c>
      <c r="B2243" t="str">
        <f>""</f>
        <v/>
      </c>
      <c r="G2243" t="str">
        <f>""</f>
        <v/>
      </c>
      <c r="H2243" t="str">
        <f>""</f>
        <v/>
      </c>
      <c r="J2243" t="str">
        <f t="shared" si="51"/>
        <v>MEDICARE TAXES</v>
      </c>
    </row>
    <row r="2244" spans="1:10" x14ac:dyDescent="0.3">
      <c r="A2244" t="str">
        <f>""</f>
        <v/>
      </c>
      <c r="B2244" t="str">
        <f>""</f>
        <v/>
      </c>
      <c r="G2244" t="str">
        <f>""</f>
        <v/>
      </c>
      <c r="H2244" t="str">
        <f>""</f>
        <v/>
      </c>
      <c r="J2244" t="str">
        <f t="shared" si="51"/>
        <v>MEDICARE TAXES</v>
      </c>
    </row>
    <row r="2245" spans="1:10" x14ac:dyDescent="0.3">
      <c r="A2245" t="str">
        <f>""</f>
        <v/>
      </c>
      <c r="B2245" t="str">
        <f>""</f>
        <v/>
      </c>
      <c r="G2245" t="str">
        <f>""</f>
        <v/>
      </c>
      <c r="H2245" t="str">
        <f>""</f>
        <v/>
      </c>
      <c r="J2245" t="str">
        <f t="shared" si="51"/>
        <v>MEDICARE TAXES</v>
      </c>
    </row>
    <row r="2246" spans="1:10" x14ac:dyDescent="0.3">
      <c r="A2246" t="str">
        <f>""</f>
        <v/>
      </c>
      <c r="B2246" t="str">
        <f>""</f>
        <v/>
      </c>
      <c r="G2246" t="str">
        <f>""</f>
        <v/>
      </c>
      <c r="H2246" t="str">
        <f>""</f>
        <v/>
      </c>
      <c r="J2246" t="str">
        <f t="shared" si="51"/>
        <v>MEDICARE TAXES</v>
      </c>
    </row>
    <row r="2247" spans="1:10" x14ac:dyDescent="0.3">
      <c r="A2247" t="str">
        <f>""</f>
        <v/>
      </c>
      <c r="B2247" t="str">
        <f>""</f>
        <v/>
      </c>
      <c r="G2247" t="str">
        <f>""</f>
        <v/>
      </c>
      <c r="H2247" t="str">
        <f>""</f>
        <v/>
      </c>
      <c r="J2247" t="str">
        <f t="shared" ref="J2247:J2270" si="52">"MEDICARE TAXES"</f>
        <v>MEDICARE TAXES</v>
      </c>
    </row>
    <row r="2248" spans="1:10" x14ac:dyDescent="0.3">
      <c r="A2248" t="str">
        <f>""</f>
        <v/>
      </c>
      <c r="B2248" t="str">
        <f>""</f>
        <v/>
      </c>
      <c r="G2248" t="str">
        <f>""</f>
        <v/>
      </c>
      <c r="H2248" t="str">
        <f>""</f>
        <v/>
      </c>
      <c r="J2248" t="str">
        <f t="shared" si="52"/>
        <v>MEDICARE TAXES</v>
      </c>
    </row>
    <row r="2249" spans="1:10" x14ac:dyDescent="0.3">
      <c r="A2249" t="str">
        <f>""</f>
        <v/>
      </c>
      <c r="B2249" t="str">
        <f>""</f>
        <v/>
      </c>
      <c r="G2249" t="str">
        <f>""</f>
        <v/>
      </c>
      <c r="H2249" t="str">
        <f>""</f>
        <v/>
      </c>
      <c r="J2249" t="str">
        <f t="shared" si="52"/>
        <v>MEDICARE TAXES</v>
      </c>
    </row>
    <row r="2250" spans="1:10" x14ac:dyDescent="0.3">
      <c r="A2250" t="str">
        <f>""</f>
        <v/>
      </c>
      <c r="B2250" t="str">
        <f>""</f>
        <v/>
      </c>
      <c r="G2250" t="str">
        <f>""</f>
        <v/>
      </c>
      <c r="H2250" t="str">
        <f>""</f>
        <v/>
      </c>
      <c r="J2250" t="str">
        <f t="shared" si="52"/>
        <v>MEDICARE TAXES</v>
      </c>
    </row>
    <row r="2251" spans="1:10" x14ac:dyDescent="0.3">
      <c r="A2251" t="str">
        <f>""</f>
        <v/>
      </c>
      <c r="B2251" t="str">
        <f>""</f>
        <v/>
      </c>
      <c r="G2251" t="str">
        <f>""</f>
        <v/>
      </c>
      <c r="H2251" t="str">
        <f>""</f>
        <v/>
      </c>
      <c r="J2251" t="str">
        <f t="shared" si="52"/>
        <v>MEDICARE TAXES</v>
      </c>
    </row>
    <row r="2252" spans="1:10" x14ac:dyDescent="0.3">
      <c r="A2252" t="str">
        <f>""</f>
        <v/>
      </c>
      <c r="B2252" t="str">
        <f>""</f>
        <v/>
      </c>
      <c r="G2252" t="str">
        <f>""</f>
        <v/>
      </c>
      <c r="H2252" t="str">
        <f>""</f>
        <v/>
      </c>
      <c r="J2252" t="str">
        <f t="shared" si="52"/>
        <v>MEDICARE TAXES</v>
      </c>
    </row>
    <row r="2253" spans="1:10" x14ac:dyDescent="0.3">
      <c r="A2253" t="str">
        <f>""</f>
        <v/>
      </c>
      <c r="B2253" t="str">
        <f>""</f>
        <v/>
      </c>
      <c r="G2253" t="str">
        <f>""</f>
        <v/>
      </c>
      <c r="H2253" t="str">
        <f>""</f>
        <v/>
      </c>
      <c r="J2253" t="str">
        <f t="shared" si="52"/>
        <v>MEDICARE TAXES</v>
      </c>
    </row>
    <row r="2254" spans="1:10" x14ac:dyDescent="0.3">
      <c r="A2254" t="str">
        <f>""</f>
        <v/>
      </c>
      <c r="B2254" t="str">
        <f>""</f>
        <v/>
      </c>
      <c r="G2254" t="str">
        <f>""</f>
        <v/>
      </c>
      <c r="H2254" t="str">
        <f>""</f>
        <v/>
      </c>
      <c r="J2254" t="str">
        <f t="shared" si="52"/>
        <v>MEDICARE TAXES</v>
      </c>
    </row>
    <row r="2255" spans="1:10" x14ac:dyDescent="0.3">
      <c r="A2255" t="str">
        <f>""</f>
        <v/>
      </c>
      <c r="B2255" t="str">
        <f>""</f>
        <v/>
      </c>
      <c r="G2255" t="str">
        <f>""</f>
        <v/>
      </c>
      <c r="H2255" t="str">
        <f>""</f>
        <v/>
      </c>
      <c r="J2255" t="str">
        <f t="shared" si="52"/>
        <v>MEDICARE TAXES</v>
      </c>
    </row>
    <row r="2256" spans="1:10" x14ac:dyDescent="0.3">
      <c r="A2256" t="str">
        <f>""</f>
        <v/>
      </c>
      <c r="B2256" t="str">
        <f>""</f>
        <v/>
      </c>
      <c r="G2256" t="str">
        <f>""</f>
        <v/>
      </c>
      <c r="H2256" t="str">
        <f>""</f>
        <v/>
      </c>
      <c r="J2256" t="str">
        <f t="shared" si="52"/>
        <v>MEDICARE TAXES</v>
      </c>
    </row>
    <row r="2257" spans="1:10" x14ac:dyDescent="0.3">
      <c r="A2257" t="str">
        <f>""</f>
        <v/>
      </c>
      <c r="B2257" t="str">
        <f>""</f>
        <v/>
      </c>
      <c r="G2257" t="str">
        <f>""</f>
        <v/>
      </c>
      <c r="H2257" t="str">
        <f>""</f>
        <v/>
      </c>
      <c r="J2257" t="str">
        <f t="shared" si="52"/>
        <v>MEDICARE TAXES</v>
      </c>
    </row>
    <row r="2258" spans="1:10" x14ac:dyDescent="0.3">
      <c r="A2258" t="str">
        <f>""</f>
        <v/>
      </c>
      <c r="B2258" t="str">
        <f>""</f>
        <v/>
      </c>
      <c r="G2258" t="str">
        <f>""</f>
        <v/>
      </c>
      <c r="H2258" t="str">
        <f>""</f>
        <v/>
      </c>
      <c r="J2258" t="str">
        <f t="shared" si="52"/>
        <v>MEDICARE TAXES</v>
      </c>
    </row>
    <row r="2259" spans="1:10" x14ac:dyDescent="0.3">
      <c r="A2259" t="str">
        <f>""</f>
        <v/>
      </c>
      <c r="B2259" t="str">
        <f>""</f>
        <v/>
      </c>
      <c r="G2259" t="str">
        <f>""</f>
        <v/>
      </c>
      <c r="H2259" t="str">
        <f>""</f>
        <v/>
      </c>
      <c r="J2259" t="str">
        <f t="shared" si="52"/>
        <v>MEDICARE TAXES</v>
      </c>
    </row>
    <row r="2260" spans="1:10" x14ac:dyDescent="0.3">
      <c r="A2260" t="str">
        <f>""</f>
        <v/>
      </c>
      <c r="B2260" t="str">
        <f>""</f>
        <v/>
      </c>
      <c r="G2260" t="str">
        <f>""</f>
        <v/>
      </c>
      <c r="H2260" t="str">
        <f>""</f>
        <v/>
      </c>
      <c r="J2260" t="str">
        <f t="shared" si="52"/>
        <v>MEDICARE TAXES</v>
      </c>
    </row>
    <row r="2261" spans="1:10" x14ac:dyDescent="0.3">
      <c r="A2261" t="str">
        <f>""</f>
        <v/>
      </c>
      <c r="B2261" t="str">
        <f>""</f>
        <v/>
      </c>
      <c r="G2261" t="str">
        <f>""</f>
        <v/>
      </c>
      <c r="H2261" t="str">
        <f>""</f>
        <v/>
      </c>
      <c r="J2261" t="str">
        <f t="shared" si="52"/>
        <v>MEDICARE TAXES</v>
      </c>
    </row>
    <row r="2262" spans="1:10" x14ac:dyDescent="0.3">
      <c r="A2262" t="str">
        <f>""</f>
        <v/>
      </c>
      <c r="B2262" t="str">
        <f>""</f>
        <v/>
      </c>
      <c r="G2262" t="str">
        <f>""</f>
        <v/>
      </c>
      <c r="H2262" t="str">
        <f>""</f>
        <v/>
      </c>
      <c r="J2262" t="str">
        <f t="shared" si="52"/>
        <v>MEDICARE TAXES</v>
      </c>
    </row>
    <row r="2263" spans="1:10" x14ac:dyDescent="0.3">
      <c r="A2263" t="str">
        <f>""</f>
        <v/>
      </c>
      <c r="B2263" t="str">
        <f>""</f>
        <v/>
      </c>
      <c r="G2263" t="str">
        <f>""</f>
        <v/>
      </c>
      <c r="H2263" t="str">
        <f>""</f>
        <v/>
      </c>
      <c r="J2263" t="str">
        <f t="shared" si="52"/>
        <v>MEDICARE TAXES</v>
      </c>
    </row>
    <row r="2264" spans="1:10" x14ac:dyDescent="0.3">
      <c r="A2264" t="str">
        <f>""</f>
        <v/>
      </c>
      <c r="B2264" t="str">
        <f>""</f>
        <v/>
      </c>
      <c r="G2264" t="str">
        <f>""</f>
        <v/>
      </c>
      <c r="H2264" t="str">
        <f>""</f>
        <v/>
      </c>
      <c r="J2264" t="str">
        <f t="shared" si="52"/>
        <v>MEDICARE TAXES</v>
      </c>
    </row>
    <row r="2265" spans="1:10" x14ac:dyDescent="0.3">
      <c r="A2265" t="str">
        <f>""</f>
        <v/>
      </c>
      <c r="B2265" t="str">
        <f>""</f>
        <v/>
      </c>
      <c r="G2265" t="str">
        <f>""</f>
        <v/>
      </c>
      <c r="H2265" t="str">
        <f>""</f>
        <v/>
      </c>
      <c r="J2265" t="str">
        <f t="shared" si="52"/>
        <v>MEDICARE TAXES</v>
      </c>
    </row>
    <row r="2266" spans="1:10" x14ac:dyDescent="0.3">
      <c r="A2266" t="str">
        <f>""</f>
        <v/>
      </c>
      <c r="B2266" t="str">
        <f>""</f>
        <v/>
      </c>
      <c r="G2266" t="str">
        <f>""</f>
        <v/>
      </c>
      <c r="H2266" t="str">
        <f>""</f>
        <v/>
      </c>
      <c r="J2266" t="str">
        <f t="shared" si="52"/>
        <v>MEDICARE TAXES</v>
      </c>
    </row>
    <row r="2267" spans="1:10" x14ac:dyDescent="0.3">
      <c r="A2267" t="str">
        <f>""</f>
        <v/>
      </c>
      <c r="B2267" t="str">
        <f>""</f>
        <v/>
      </c>
      <c r="G2267" t="str">
        <f>"T4 201708094187"</f>
        <v>T4 201708094187</v>
      </c>
      <c r="H2267" t="str">
        <f>"MEDICARE TAXES"</f>
        <v>MEDICARE TAXES</v>
      </c>
      <c r="I2267" s="2">
        <v>907.12</v>
      </c>
      <c r="J2267" t="str">
        <f t="shared" si="52"/>
        <v>MEDICARE TAXES</v>
      </c>
    </row>
    <row r="2268" spans="1:10" x14ac:dyDescent="0.3">
      <c r="A2268" t="str">
        <f>""</f>
        <v/>
      </c>
      <c r="B2268" t="str">
        <f>""</f>
        <v/>
      </c>
      <c r="G2268" t="str">
        <f>""</f>
        <v/>
      </c>
      <c r="H2268" t="str">
        <f>""</f>
        <v/>
      </c>
      <c r="J2268" t="str">
        <f t="shared" si="52"/>
        <v>MEDICARE TAXES</v>
      </c>
    </row>
    <row r="2269" spans="1:10" x14ac:dyDescent="0.3">
      <c r="A2269" t="str">
        <f>""</f>
        <v/>
      </c>
      <c r="B2269" t="str">
        <f>""</f>
        <v/>
      </c>
      <c r="G2269" t="str">
        <f>"T4 201708094188"</f>
        <v>T4 201708094188</v>
      </c>
      <c r="H2269" t="str">
        <f>"MEDICARE TAXES"</f>
        <v>MEDICARE TAXES</v>
      </c>
      <c r="I2269" s="2">
        <v>1288.1400000000001</v>
      </c>
      <c r="J2269" t="str">
        <f t="shared" si="52"/>
        <v>MEDICARE TAXES</v>
      </c>
    </row>
    <row r="2270" spans="1:10" x14ac:dyDescent="0.3">
      <c r="A2270" t="str">
        <f>""</f>
        <v/>
      </c>
      <c r="B2270" t="str">
        <f>""</f>
        <v/>
      </c>
      <c r="G2270" t="str">
        <f>""</f>
        <v/>
      </c>
      <c r="H2270" t="str">
        <f>""</f>
        <v/>
      </c>
      <c r="J2270" t="str">
        <f t="shared" si="52"/>
        <v>MEDICARE TAXES</v>
      </c>
    </row>
    <row r="2271" spans="1:10" x14ac:dyDescent="0.3">
      <c r="A2271" t="str">
        <f>"01"</f>
        <v>01</v>
      </c>
      <c r="B2271" t="str">
        <f>"IRSPY"</f>
        <v>IRSPY</v>
      </c>
      <c r="C2271" t="s">
        <v>470</v>
      </c>
      <c r="D2271">
        <v>0</v>
      </c>
      <c r="E2271" s="2">
        <v>214347.79</v>
      </c>
      <c r="F2271" s="1">
        <v>42972</v>
      </c>
      <c r="G2271" t="str">
        <f>"T1 201708234445"</f>
        <v>T1 201708234445</v>
      </c>
      <c r="H2271" t="str">
        <f>"FEDERAL WITHHOLDING"</f>
        <v>FEDERAL WITHHOLDING</v>
      </c>
      <c r="I2271" s="2">
        <v>77199.66</v>
      </c>
      <c r="J2271" t="str">
        <f>"FEDERAL WITHHOLDING"</f>
        <v>FEDERAL WITHHOLDING</v>
      </c>
    </row>
    <row r="2272" spans="1:10" x14ac:dyDescent="0.3">
      <c r="A2272" t="str">
        <f>""</f>
        <v/>
      </c>
      <c r="B2272" t="str">
        <f>""</f>
        <v/>
      </c>
      <c r="G2272" t="str">
        <f>"T1 201708244446"</f>
        <v>T1 201708244446</v>
      </c>
      <c r="H2272" t="str">
        <f>"FEDERAL WITHHOLDING"</f>
        <v>FEDERAL WITHHOLDING</v>
      </c>
      <c r="I2272" s="2">
        <v>3398.12</v>
      </c>
      <c r="J2272" t="str">
        <f>"FEDERAL WITHHOLDING"</f>
        <v>FEDERAL WITHHOLDING</v>
      </c>
    </row>
    <row r="2273" spans="1:10" x14ac:dyDescent="0.3">
      <c r="A2273" t="str">
        <f>""</f>
        <v/>
      </c>
      <c r="B2273" t="str">
        <f>""</f>
        <v/>
      </c>
      <c r="G2273" t="str">
        <f>"T1 201708244447"</f>
        <v>T1 201708244447</v>
      </c>
      <c r="H2273" t="str">
        <f>"FEDERAL WITHHOLDING"</f>
        <v>FEDERAL WITHHOLDING</v>
      </c>
      <c r="I2273" s="2">
        <v>4713.37</v>
      </c>
      <c r="J2273" t="str">
        <f>"FEDERAL WITHHOLDING"</f>
        <v>FEDERAL WITHHOLDING</v>
      </c>
    </row>
    <row r="2274" spans="1:10" x14ac:dyDescent="0.3">
      <c r="A2274" t="str">
        <f>""</f>
        <v/>
      </c>
      <c r="B2274" t="str">
        <f>""</f>
        <v/>
      </c>
      <c r="G2274" t="str">
        <f>"T3 201708234445"</f>
        <v>T3 201708234445</v>
      </c>
      <c r="H2274" t="str">
        <f>"SOCIAL SECURITY TAXES"</f>
        <v>SOCIAL SECURITY TAXES</v>
      </c>
      <c r="I2274" s="2">
        <v>95068.38</v>
      </c>
      <c r="J2274" t="str">
        <f t="shared" ref="J2274:J2305" si="53">"SOCIAL SECURITY TAXES"</f>
        <v>SOCIAL SECURITY TAXES</v>
      </c>
    </row>
    <row r="2275" spans="1:10" x14ac:dyDescent="0.3">
      <c r="A2275" t="str">
        <f>""</f>
        <v/>
      </c>
      <c r="B2275" t="str">
        <f>""</f>
        <v/>
      </c>
      <c r="G2275" t="str">
        <f>""</f>
        <v/>
      </c>
      <c r="H2275" t="str">
        <f>""</f>
        <v/>
      </c>
      <c r="J2275" t="str">
        <f t="shared" si="53"/>
        <v>SOCIAL SECURITY TAXES</v>
      </c>
    </row>
    <row r="2276" spans="1:10" x14ac:dyDescent="0.3">
      <c r="A2276" t="str">
        <f>""</f>
        <v/>
      </c>
      <c r="B2276" t="str">
        <f>""</f>
        <v/>
      </c>
      <c r="G2276" t="str">
        <f>""</f>
        <v/>
      </c>
      <c r="H2276" t="str">
        <f>""</f>
        <v/>
      </c>
      <c r="J2276" t="str">
        <f t="shared" si="53"/>
        <v>SOCIAL SECURITY TAXES</v>
      </c>
    </row>
    <row r="2277" spans="1:10" x14ac:dyDescent="0.3">
      <c r="A2277" t="str">
        <f>""</f>
        <v/>
      </c>
      <c r="B2277" t="str">
        <f>""</f>
        <v/>
      </c>
      <c r="G2277" t="str">
        <f>""</f>
        <v/>
      </c>
      <c r="H2277" t="str">
        <f>""</f>
        <v/>
      </c>
      <c r="J2277" t="str">
        <f t="shared" si="53"/>
        <v>SOCIAL SECURITY TAXES</v>
      </c>
    </row>
    <row r="2278" spans="1:10" x14ac:dyDescent="0.3">
      <c r="A2278" t="str">
        <f>""</f>
        <v/>
      </c>
      <c r="B2278" t="str">
        <f>""</f>
        <v/>
      </c>
      <c r="G2278" t="str">
        <f>""</f>
        <v/>
      </c>
      <c r="H2278" t="str">
        <f>""</f>
        <v/>
      </c>
      <c r="J2278" t="str">
        <f t="shared" si="53"/>
        <v>SOCIAL SECURITY TAXES</v>
      </c>
    </row>
    <row r="2279" spans="1:10" x14ac:dyDescent="0.3">
      <c r="A2279" t="str">
        <f>""</f>
        <v/>
      </c>
      <c r="B2279" t="str">
        <f>""</f>
        <v/>
      </c>
      <c r="G2279" t="str">
        <f>""</f>
        <v/>
      </c>
      <c r="H2279" t="str">
        <f>""</f>
        <v/>
      </c>
      <c r="J2279" t="str">
        <f t="shared" si="53"/>
        <v>SOCIAL SECURITY TAXES</v>
      </c>
    </row>
    <row r="2280" spans="1:10" x14ac:dyDescent="0.3">
      <c r="A2280" t="str">
        <f>""</f>
        <v/>
      </c>
      <c r="B2280" t="str">
        <f>""</f>
        <v/>
      </c>
      <c r="G2280" t="str">
        <f>""</f>
        <v/>
      </c>
      <c r="H2280" t="str">
        <f>""</f>
        <v/>
      </c>
      <c r="J2280" t="str">
        <f t="shared" si="53"/>
        <v>SOCIAL SECURITY TAXES</v>
      </c>
    </row>
    <row r="2281" spans="1:10" x14ac:dyDescent="0.3">
      <c r="A2281" t="str">
        <f>""</f>
        <v/>
      </c>
      <c r="B2281" t="str">
        <f>""</f>
        <v/>
      </c>
      <c r="G2281" t="str">
        <f>""</f>
        <v/>
      </c>
      <c r="H2281" t="str">
        <f>""</f>
        <v/>
      </c>
      <c r="J2281" t="str">
        <f t="shared" si="53"/>
        <v>SOCIAL SECURITY TAXES</v>
      </c>
    </row>
    <row r="2282" spans="1:10" x14ac:dyDescent="0.3">
      <c r="A2282" t="str">
        <f>""</f>
        <v/>
      </c>
      <c r="B2282" t="str">
        <f>""</f>
        <v/>
      </c>
      <c r="G2282" t="str">
        <f>""</f>
        <v/>
      </c>
      <c r="H2282" t="str">
        <f>""</f>
        <v/>
      </c>
      <c r="J2282" t="str">
        <f t="shared" si="53"/>
        <v>SOCIAL SECURITY TAXES</v>
      </c>
    </row>
    <row r="2283" spans="1:10" x14ac:dyDescent="0.3">
      <c r="A2283" t="str">
        <f>""</f>
        <v/>
      </c>
      <c r="B2283" t="str">
        <f>""</f>
        <v/>
      </c>
      <c r="G2283" t="str">
        <f>""</f>
        <v/>
      </c>
      <c r="H2283" t="str">
        <f>""</f>
        <v/>
      </c>
      <c r="J2283" t="str">
        <f t="shared" si="53"/>
        <v>SOCIAL SECURITY TAXES</v>
      </c>
    </row>
    <row r="2284" spans="1:10" x14ac:dyDescent="0.3">
      <c r="A2284" t="str">
        <f>""</f>
        <v/>
      </c>
      <c r="B2284" t="str">
        <f>""</f>
        <v/>
      </c>
      <c r="G2284" t="str">
        <f>""</f>
        <v/>
      </c>
      <c r="H2284" t="str">
        <f>""</f>
        <v/>
      </c>
      <c r="J2284" t="str">
        <f t="shared" si="53"/>
        <v>SOCIAL SECURITY TAXES</v>
      </c>
    </row>
    <row r="2285" spans="1:10" x14ac:dyDescent="0.3">
      <c r="A2285" t="str">
        <f>""</f>
        <v/>
      </c>
      <c r="B2285" t="str">
        <f>""</f>
        <v/>
      </c>
      <c r="G2285" t="str">
        <f>""</f>
        <v/>
      </c>
      <c r="H2285" t="str">
        <f>""</f>
        <v/>
      </c>
      <c r="J2285" t="str">
        <f t="shared" si="53"/>
        <v>SOCIAL SECURITY TAXES</v>
      </c>
    </row>
    <row r="2286" spans="1:10" x14ac:dyDescent="0.3">
      <c r="A2286" t="str">
        <f>""</f>
        <v/>
      </c>
      <c r="B2286" t="str">
        <f>""</f>
        <v/>
      </c>
      <c r="G2286" t="str">
        <f>""</f>
        <v/>
      </c>
      <c r="H2286" t="str">
        <f>""</f>
        <v/>
      </c>
      <c r="J2286" t="str">
        <f t="shared" si="53"/>
        <v>SOCIAL SECURITY TAXES</v>
      </c>
    </row>
    <row r="2287" spans="1:10" x14ac:dyDescent="0.3">
      <c r="A2287" t="str">
        <f>""</f>
        <v/>
      </c>
      <c r="B2287" t="str">
        <f>""</f>
        <v/>
      </c>
      <c r="G2287" t="str">
        <f>""</f>
        <v/>
      </c>
      <c r="H2287" t="str">
        <f>""</f>
        <v/>
      </c>
      <c r="J2287" t="str">
        <f t="shared" si="53"/>
        <v>SOCIAL SECURITY TAXES</v>
      </c>
    </row>
    <row r="2288" spans="1:10" x14ac:dyDescent="0.3">
      <c r="A2288" t="str">
        <f>""</f>
        <v/>
      </c>
      <c r="B2288" t="str">
        <f>""</f>
        <v/>
      </c>
      <c r="G2288" t="str">
        <f>""</f>
        <v/>
      </c>
      <c r="H2288" t="str">
        <f>""</f>
        <v/>
      </c>
      <c r="J2288" t="str">
        <f t="shared" si="53"/>
        <v>SOCIAL SECURITY TAXES</v>
      </c>
    </row>
    <row r="2289" spans="1:10" x14ac:dyDescent="0.3">
      <c r="A2289" t="str">
        <f>""</f>
        <v/>
      </c>
      <c r="B2289" t="str">
        <f>""</f>
        <v/>
      </c>
      <c r="G2289" t="str">
        <f>""</f>
        <v/>
      </c>
      <c r="H2289" t="str">
        <f>""</f>
        <v/>
      </c>
      <c r="J2289" t="str">
        <f t="shared" si="53"/>
        <v>SOCIAL SECURITY TAXES</v>
      </c>
    </row>
    <row r="2290" spans="1:10" x14ac:dyDescent="0.3">
      <c r="A2290" t="str">
        <f>""</f>
        <v/>
      </c>
      <c r="B2290" t="str">
        <f>""</f>
        <v/>
      </c>
      <c r="G2290" t="str">
        <f>""</f>
        <v/>
      </c>
      <c r="H2290" t="str">
        <f>""</f>
        <v/>
      </c>
      <c r="J2290" t="str">
        <f t="shared" si="53"/>
        <v>SOCIAL SECURITY TAXES</v>
      </c>
    </row>
    <row r="2291" spans="1:10" x14ac:dyDescent="0.3">
      <c r="A2291" t="str">
        <f>""</f>
        <v/>
      </c>
      <c r="B2291" t="str">
        <f>""</f>
        <v/>
      </c>
      <c r="G2291" t="str">
        <f>""</f>
        <v/>
      </c>
      <c r="H2291" t="str">
        <f>""</f>
        <v/>
      </c>
      <c r="J2291" t="str">
        <f t="shared" si="53"/>
        <v>SOCIAL SECURITY TAXES</v>
      </c>
    </row>
    <row r="2292" spans="1:10" x14ac:dyDescent="0.3">
      <c r="A2292" t="str">
        <f>""</f>
        <v/>
      </c>
      <c r="B2292" t="str">
        <f>""</f>
        <v/>
      </c>
      <c r="G2292" t="str">
        <f>""</f>
        <v/>
      </c>
      <c r="H2292" t="str">
        <f>""</f>
        <v/>
      </c>
      <c r="J2292" t="str">
        <f t="shared" si="53"/>
        <v>SOCIAL SECURITY TAXES</v>
      </c>
    </row>
    <row r="2293" spans="1:10" x14ac:dyDescent="0.3">
      <c r="A2293" t="str">
        <f>""</f>
        <v/>
      </c>
      <c r="B2293" t="str">
        <f>""</f>
        <v/>
      </c>
      <c r="G2293" t="str">
        <f>""</f>
        <v/>
      </c>
      <c r="H2293" t="str">
        <f>""</f>
        <v/>
      </c>
      <c r="J2293" t="str">
        <f t="shared" si="53"/>
        <v>SOCIAL SECURITY TAXES</v>
      </c>
    </row>
    <row r="2294" spans="1:10" x14ac:dyDescent="0.3">
      <c r="A2294" t="str">
        <f>""</f>
        <v/>
      </c>
      <c r="B2294" t="str">
        <f>""</f>
        <v/>
      </c>
      <c r="G2294" t="str">
        <f>""</f>
        <v/>
      </c>
      <c r="H2294" t="str">
        <f>""</f>
        <v/>
      </c>
      <c r="J2294" t="str">
        <f t="shared" si="53"/>
        <v>SOCIAL SECURITY TAXES</v>
      </c>
    </row>
    <row r="2295" spans="1:10" x14ac:dyDescent="0.3">
      <c r="A2295" t="str">
        <f>""</f>
        <v/>
      </c>
      <c r="B2295" t="str">
        <f>""</f>
        <v/>
      </c>
      <c r="G2295" t="str">
        <f>""</f>
        <v/>
      </c>
      <c r="H2295" t="str">
        <f>""</f>
        <v/>
      </c>
      <c r="J2295" t="str">
        <f t="shared" si="53"/>
        <v>SOCIAL SECURITY TAXES</v>
      </c>
    </row>
    <row r="2296" spans="1:10" x14ac:dyDescent="0.3">
      <c r="A2296" t="str">
        <f>""</f>
        <v/>
      </c>
      <c r="B2296" t="str">
        <f>""</f>
        <v/>
      </c>
      <c r="G2296" t="str">
        <f>""</f>
        <v/>
      </c>
      <c r="H2296" t="str">
        <f>""</f>
        <v/>
      </c>
      <c r="J2296" t="str">
        <f t="shared" si="53"/>
        <v>SOCIAL SECURITY TAXES</v>
      </c>
    </row>
    <row r="2297" spans="1:10" x14ac:dyDescent="0.3">
      <c r="A2297" t="str">
        <f>""</f>
        <v/>
      </c>
      <c r="B2297" t="str">
        <f>""</f>
        <v/>
      </c>
      <c r="G2297" t="str">
        <f>""</f>
        <v/>
      </c>
      <c r="H2297" t="str">
        <f>""</f>
        <v/>
      </c>
      <c r="J2297" t="str">
        <f t="shared" si="53"/>
        <v>SOCIAL SECURITY TAXES</v>
      </c>
    </row>
    <row r="2298" spans="1:10" x14ac:dyDescent="0.3">
      <c r="A2298" t="str">
        <f>""</f>
        <v/>
      </c>
      <c r="B2298" t="str">
        <f>""</f>
        <v/>
      </c>
      <c r="G2298" t="str">
        <f>""</f>
        <v/>
      </c>
      <c r="H2298" t="str">
        <f>""</f>
        <v/>
      </c>
      <c r="J2298" t="str">
        <f t="shared" si="53"/>
        <v>SOCIAL SECURITY TAXES</v>
      </c>
    </row>
    <row r="2299" spans="1:10" x14ac:dyDescent="0.3">
      <c r="A2299" t="str">
        <f>""</f>
        <v/>
      </c>
      <c r="B2299" t="str">
        <f>""</f>
        <v/>
      </c>
      <c r="G2299" t="str">
        <f>""</f>
        <v/>
      </c>
      <c r="H2299" t="str">
        <f>""</f>
        <v/>
      </c>
      <c r="J2299" t="str">
        <f t="shared" si="53"/>
        <v>SOCIAL SECURITY TAXES</v>
      </c>
    </row>
    <row r="2300" spans="1:10" x14ac:dyDescent="0.3">
      <c r="A2300" t="str">
        <f>""</f>
        <v/>
      </c>
      <c r="B2300" t="str">
        <f>""</f>
        <v/>
      </c>
      <c r="G2300" t="str">
        <f>""</f>
        <v/>
      </c>
      <c r="H2300" t="str">
        <f>""</f>
        <v/>
      </c>
      <c r="J2300" t="str">
        <f t="shared" si="53"/>
        <v>SOCIAL SECURITY TAXES</v>
      </c>
    </row>
    <row r="2301" spans="1:10" x14ac:dyDescent="0.3">
      <c r="A2301" t="str">
        <f>""</f>
        <v/>
      </c>
      <c r="B2301" t="str">
        <f>""</f>
        <v/>
      </c>
      <c r="G2301" t="str">
        <f>""</f>
        <v/>
      </c>
      <c r="H2301" t="str">
        <f>""</f>
        <v/>
      </c>
      <c r="J2301" t="str">
        <f t="shared" si="53"/>
        <v>SOCIAL SECURITY TAXES</v>
      </c>
    </row>
    <row r="2302" spans="1:10" x14ac:dyDescent="0.3">
      <c r="A2302" t="str">
        <f>""</f>
        <v/>
      </c>
      <c r="B2302" t="str">
        <f>""</f>
        <v/>
      </c>
      <c r="G2302" t="str">
        <f>""</f>
        <v/>
      </c>
      <c r="H2302" t="str">
        <f>""</f>
        <v/>
      </c>
      <c r="J2302" t="str">
        <f t="shared" si="53"/>
        <v>SOCIAL SECURITY TAXES</v>
      </c>
    </row>
    <row r="2303" spans="1:10" x14ac:dyDescent="0.3">
      <c r="A2303" t="str">
        <f>""</f>
        <v/>
      </c>
      <c r="B2303" t="str">
        <f>""</f>
        <v/>
      </c>
      <c r="G2303" t="str">
        <f>""</f>
        <v/>
      </c>
      <c r="H2303" t="str">
        <f>""</f>
        <v/>
      </c>
      <c r="J2303" t="str">
        <f t="shared" si="53"/>
        <v>SOCIAL SECURITY TAXES</v>
      </c>
    </row>
    <row r="2304" spans="1:10" x14ac:dyDescent="0.3">
      <c r="A2304" t="str">
        <f>""</f>
        <v/>
      </c>
      <c r="B2304" t="str">
        <f>""</f>
        <v/>
      </c>
      <c r="G2304" t="str">
        <f>""</f>
        <v/>
      </c>
      <c r="H2304" t="str">
        <f>""</f>
        <v/>
      </c>
      <c r="J2304" t="str">
        <f t="shared" si="53"/>
        <v>SOCIAL SECURITY TAXES</v>
      </c>
    </row>
    <row r="2305" spans="1:10" x14ac:dyDescent="0.3">
      <c r="A2305" t="str">
        <f>""</f>
        <v/>
      </c>
      <c r="B2305" t="str">
        <f>""</f>
        <v/>
      </c>
      <c r="G2305" t="str">
        <f>""</f>
        <v/>
      </c>
      <c r="H2305" t="str">
        <f>""</f>
        <v/>
      </c>
      <c r="J2305" t="str">
        <f t="shared" si="53"/>
        <v>SOCIAL SECURITY TAXES</v>
      </c>
    </row>
    <row r="2306" spans="1:10" x14ac:dyDescent="0.3">
      <c r="A2306" t="str">
        <f>""</f>
        <v/>
      </c>
      <c r="B2306" t="str">
        <f>""</f>
        <v/>
      </c>
      <c r="G2306" t="str">
        <f>""</f>
        <v/>
      </c>
      <c r="H2306" t="str">
        <f>""</f>
        <v/>
      </c>
      <c r="J2306" t="str">
        <f t="shared" ref="J2306:J2329" si="54">"SOCIAL SECURITY TAXES"</f>
        <v>SOCIAL SECURITY TAXES</v>
      </c>
    </row>
    <row r="2307" spans="1:10" x14ac:dyDescent="0.3">
      <c r="A2307" t="str">
        <f>""</f>
        <v/>
      </c>
      <c r="B2307" t="str">
        <f>""</f>
        <v/>
      </c>
      <c r="G2307" t="str">
        <f>""</f>
        <v/>
      </c>
      <c r="H2307" t="str">
        <f>""</f>
        <v/>
      </c>
      <c r="J2307" t="str">
        <f t="shared" si="54"/>
        <v>SOCIAL SECURITY TAXES</v>
      </c>
    </row>
    <row r="2308" spans="1:10" x14ac:dyDescent="0.3">
      <c r="A2308" t="str">
        <f>""</f>
        <v/>
      </c>
      <c r="B2308" t="str">
        <f>""</f>
        <v/>
      </c>
      <c r="G2308" t="str">
        <f>""</f>
        <v/>
      </c>
      <c r="H2308" t="str">
        <f>""</f>
        <v/>
      </c>
      <c r="J2308" t="str">
        <f t="shared" si="54"/>
        <v>SOCIAL SECURITY TAXES</v>
      </c>
    </row>
    <row r="2309" spans="1:10" x14ac:dyDescent="0.3">
      <c r="A2309" t="str">
        <f>""</f>
        <v/>
      </c>
      <c r="B2309" t="str">
        <f>""</f>
        <v/>
      </c>
      <c r="G2309" t="str">
        <f>""</f>
        <v/>
      </c>
      <c r="H2309" t="str">
        <f>""</f>
        <v/>
      </c>
      <c r="J2309" t="str">
        <f t="shared" si="54"/>
        <v>SOCIAL SECURITY TAXES</v>
      </c>
    </row>
    <row r="2310" spans="1:10" x14ac:dyDescent="0.3">
      <c r="A2310" t="str">
        <f>""</f>
        <v/>
      </c>
      <c r="B2310" t="str">
        <f>""</f>
        <v/>
      </c>
      <c r="G2310" t="str">
        <f>""</f>
        <v/>
      </c>
      <c r="H2310" t="str">
        <f>""</f>
        <v/>
      </c>
      <c r="J2310" t="str">
        <f t="shared" si="54"/>
        <v>SOCIAL SECURITY TAXES</v>
      </c>
    </row>
    <row r="2311" spans="1:10" x14ac:dyDescent="0.3">
      <c r="A2311" t="str">
        <f>""</f>
        <v/>
      </c>
      <c r="B2311" t="str">
        <f>""</f>
        <v/>
      </c>
      <c r="G2311" t="str">
        <f>""</f>
        <v/>
      </c>
      <c r="H2311" t="str">
        <f>""</f>
        <v/>
      </c>
      <c r="J2311" t="str">
        <f t="shared" si="54"/>
        <v>SOCIAL SECURITY TAXES</v>
      </c>
    </row>
    <row r="2312" spans="1:10" x14ac:dyDescent="0.3">
      <c r="A2312" t="str">
        <f>""</f>
        <v/>
      </c>
      <c r="B2312" t="str">
        <f>""</f>
        <v/>
      </c>
      <c r="G2312" t="str">
        <f>""</f>
        <v/>
      </c>
      <c r="H2312" t="str">
        <f>""</f>
        <v/>
      </c>
      <c r="J2312" t="str">
        <f t="shared" si="54"/>
        <v>SOCIAL SECURITY TAXES</v>
      </c>
    </row>
    <row r="2313" spans="1:10" x14ac:dyDescent="0.3">
      <c r="A2313" t="str">
        <f>""</f>
        <v/>
      </c>
      <c r="B2313" t="str">
        <f>""</f>
        <v/>
      </c>
      <c r="G2313" t="str">
        <f>""</f>
        <v/>
      </c>
      <c r="H2313" t="str">
        <f>""</f>
        <v/>
      </c>
      <c r="J2313" t="str">
        <f t="shared" si="54"/>
        <v>SOCIAL SECURITY TAXES</v>
      </c>
    </row>
    <row r="2314" spans="1:10" x14ac:dyDescent="0.3">
      <c r="A2314" t="str">
        <f>""</f>
        <v/>
      </c>
      <c r="B2314" t="str">
        <f>""</f>
        <v/>
      </c>
      <c r="G2314" t="str">
        <f>""</f>
        <v/>
      </c>
      <c r="H2314" t="str">
        <f>""</f>
        <v/>
      </c>
      <c r="J2314" t="str">
        <f t="shared" si="54"/>
        <v>SOCIAL SECURITY TAXES</v>
      </c>
    </row>
    <row r="2315" spans="1:10" x14ac:dyDescent="0.3">
      <c r="A2315" t="str">
        <f>""</f>
        <v/>
      </c>
      <c r="B2315" t="str">
        <f>""</f>
        <v/>
      </c>
      <c r="G2315" t="str">
        <f>""</f>
        <v/>
      </c>
      <c r="H2315" t="str">
        <f>""</f>
        <v/>
      </c>
      <c r="J2315" t="str">
        <f t="shared" si="54"/>
        <v>SOCIAL SECURITY TAXES</v>
      </c>
    </row>
    <row r="2316" spans="1:10" x14ac:dyDescent="0.3">
      <c r="A2316" t="str">
        <f>""</f>
        <v/>
      </c>
      <c r="B2316" t="str">
        <f>""</f>
        <v/>
      </c>
      <c r="G2316" t="str">
        <f>""</f>
        <v/>
      </c>
      <c r="H2316" t="str">
        <f>""</f>
        <v/>
      </c>
      <c r="J2316" t="str">
        <f t="shared" si="54"/>
        <v>SOCIAL SECURITY TAXES</v>
      </c>
    </row>
    <row r="2317" spans="1:10" x14ac:dyDescent="0.3">
      <c r="A2317" t="str">
        <f>""</f>
        <v/>
      </c>
      <c r="B2317" t="str">
        <f>""</f>
        <v/>
      </c>
      <c r="G2317" t="str">
        <f>""</f>
        <v/>
      </c>
      <c r="H2317" t="str">
        <f>""</f>
        <v/>
      </c>
      <c r="J2317" t="str">
        <f t="shared" si="54"/>
        <v>SOCIAL SECURITY TAXES</v>
      </c>
    </row>
    <row r="2318" spans="1:10" x14ac:dyDescent="0.3">
      <c r="A2318" t="str">
        <f>""</f>
        <v/>
      </c>
      <c r="B2318" t="str">
        <f>""</f>
        <v/>
      </c>
      <c r="G2318" t="str">
        <f>""</f>
        <v/>
      </c>
      <c r="H2318" t="str">
        <f>""</f>
        <v/>
      </c>
      <c r="J2318" t="str">
        <f t="shared" si="54"/>
        <v>SOCIAL SECURITY TAXES</v>
      </c>
    </row>
    <row r="2319" spans="1:10" x14ac:dyDescent="0.3">
      <c r="A2319" t="str">
        <f>""</f>
        <v/>
      </c>
      <c r="B2319" t="str">
        <f>""</f>
        <v/>
      </c>
      <c r="G2319" t="str">
        <f>""</f>
        <v/>
      </c>
      <c r="H2319" t="str">
        <f>""</f>
        <v/>
      </c>
      <c r="J2319" t="str">
        <f t="shared" si="54"/>
        <v>SOCIAL SECURITY TAXES</v>
      </c>
    </row>
    <row r="2320" spans="1:10" x14ac:dyDescent="0.3">
      <c r="A2320" t="str">
        <f>""</f>
        <v/>
      </c>
      <c r="B2320" t="str">
        <f>""</f>
        <v/>
      </c>
      <c r="G2320" t="str">
        <f>""</f>
        <v/>
      </c>
      <c r="H2320" t="str">
        <f>""</f>
        <v/>
      </c>
      <c r="J2320" t="str">
        <f t="shared" si="54"/>
        <v>SOCIAL SECURITY TAXES</v>
      </c>
    </row>
    <row r="2321" spans="1:10" x14ac:dyDescent="0.3">
      <c r="A2321" t="str">
        <f>""</f>
        <v/>
      </c>
      <c r="B2321" t="str">
        <f>""</f>
        <v/>
      </c>
      <c r="G2321" t="str">
        <f>""</f>
        <v/>
      </c>
      <c r="H2321" t="str">
        <f>""</f>
        <v/>
      </c>
      <c r="J2321" t="str">
        <f t="shared" si="54"/>
        <v>SOCIAL SECURITY TAXES</v>
      </c>
    </row>
    <row r="2322" spans="1:10" x14ac:dyDescent="0.3">
      <c r="A2322" t="str">
        <f>""</f>
        <v/>
      </c>
      <c r="B2322" t="str">
        <f>""</f>
        <v/>
      </c>
      <c r="G2322" t="str">
        <f>""</f>
        <v/>
      </c>
      <c r="H2322" t="str">
        <f>""</f>
        <v/>
      </c>
      <c r="J2322" t="str">
        <f t="shared" si="54"/>
        <v>SOCIAL SECURITY TAXES</v>
      </c>
    </row>
    <row r="2323" spans="1:10" x14ac:dyDescent="0.3">
      <c r="A2323" t="str">
        <f>""</f>
        <v/>
      </c>
      <c r="B2323" t="str">
        <f>""</f>
        <v/>
      </c>
      <c r="G2323" t="str">
        <f>""</f>
        <v/>
      </c>
      <c r="H2323" t="str">
        <f>""</f>
        <v/>
      </c>
      <c r="J2323" t="str">
        <f t="shared" si="54"/>
        <v>SOCIAL SECURITY TAXES</v>
      </c>
    </row>
    <row r="2324" spans="1:10" x14ac:dyDescent="0.3">
      <c r="A2324" t="str">
        <f>""</f>
        <v/>
      </c>
      <c r="B2324" t="str">
        <f>""</f>
        <v/>
      </c>
      <c r="G2324" t="str">
        <f>""</f>
        <v/>
      </c>
      <c r="H2324" t="str">
        <f>""</f>
        <v/>
      </c>
      <c r="J2324" t="str">
        <f t="shared" si="54"/>
        <v>SOCIAL SECURITY TAXES</v>
      </c>
    </row>
    <row r="2325" spans="1:10" x14ac:dyDescent="0.3">
      <c r="A2325" t="str">
        <f>""</f>
        <v/>
      </c>
      <c r="B2325" t="str">
        <f>""</f>
        <v/>
      </c>
      <c r="G2325" t="str">
        <f>""</f>
        <v/>
      </c>
      <c r="H2325" t="str">
        <f>""</f>
        <v/>
      </c>
      <c r="J2325" t="str">
        <f t="shared" si="54"/>
        <v>SOCIAL SECURITY TAXES</v>
      </c>
    </row>
    <row r="2326" spans="1:10" x14ac:dyDescent="0.3">
      <c r="A2326" t="str">
        <f>""</f>
        <v/>
      </c>
      <c r="B2326" t="str">
        <f>""</f>
        <v/>
      </c>
      <c r="G2326" t="str">
        <f>"T3 201708244446"</f>
        <v>T3 201708244446</v>
      </c>
      <c r="H2326" t="str">
        <f>"SOCIAL SECURITY TAXES"</f>
        <v>SOCIAL SECURITY TAXES</v>
      </c>
      <c r="I2326" s="2">
        <v>3883.3</v>
      </c>
      <c r="J2326" t="str">
        <f t="shared" si="54"/>
        <v>SOCIAL SECURITY TAXES</v>
      </c>
    </row>
    <row r="2327" spans="1:10" x14ac:dyDescent="0.3">
      <c r="A2327" t="str">
        <f>""</f>
        <v/>
      </c>
      <c r="B2327" t="str">
        <f>""</f>
        <v/>
      </c>
      <c r="G2327" t="str">
        <f>""</f>
        <v/>
      </c>
      <c r="H2327" t="str">
        <f>""</f>
        <v/>
      </c>
      <c r="J2327" t="str">
        <f t="shared" si="54"/>
        <v>SOCIAL SECURITY TAXES</v>
      </c>
    </row>
    <row r="2328" spans="1:10" x14ac:dyDescent="0.3">
      <c r="A2328" t="str">
        <f>""</f>
        <v/>
      </c>
      <c r="B2328" t="str">
        <f>""</f>
        <v/>
      </c>
      <c r="G2328" t="str">
        <f>"T3 201708244447"</f>
        <v>T3 201708244447</v>
      </c>
      <c r="H2328" t="str">
        <f>"SOCIAL SECURITY TAXES"</f>
        <v>SOCIAL SECURITY TAXES</v>
      </c>
      <c r="I2328" s="2">
        <v>5626.84</v>
      </c>
      <c r="J2328" t="str">
        <f t="shared" si="54"/>
        <v>SOCIAL SECURITY TAXES</v>
      </c>
    </row>
    <row r="2329" spans="1:10" x14ac:dyDescent="0.3">
      <c r="A2329" t="str">
        <f>""</f>
        <v/>
      </c>
      <c r="B2329" t="str">
        <f>""</f>
        <v/>
      </c>
      <c r="G2329" t="str">
        <f>""</f>
        <v/>
      </c>
      <c r="H2329" t="str">
        <f>""</f>
        <v/>
      </c>
      <c r="J2329" t="str">
        <f t="shared" si="54"/>
        <v>SOCIAL SECURITY TAXES</v>
      </c>
    </row>
    <row r="2330" spans="1:10" x14ac:dyDescent="0.3">
      <c r="A2330" t="str">
        <f>""</f>
        <v/>
      </c>
      <c r="B2330" t="str">
        <f>""</f>
        <v/>
      </c>
      <c r="G2330" t="str">
        <f>"T4 201708234445"</f>
        <v>T4 201708234445</v>
      </c>
      <c r="H2330" t="str">
        <f>"MEDICARE TAXES"</f>
        <v>MEDICARE TAXES</v>
      </c>
      <c r="I2330" s="2">
        <v>22233.98</v>
      </c>
      <c r="J2330" t="str">
        <f t="shared" ref="J2330:J2361" si="55">"MEDICARE TAXES"</f>
        <v>MEDICARE TAXES</v>
      </c>
    </row>
    <row r="2331" spans="1:10" x14ac:dyDescent="0.3">
      <c r="A2331" t="str">
        <f>""</f>
        <v/>
      </c>
      <c r="B2331" t="str">
        <f>""</f>
        <v/>
      </c>
      <c r="G2331" t="str">
        <f>""</f>
        <v/>
      </c>
      <c r="H2331" t="str">
        <f>""</f>
        <v/>
      </c>
      <c r="J2331" t="str">
        <f t="shared" si="55"/>
        <v>MEDICARE TAXES</v>
      </c>
    </row>
    <row r="2332" spans="1:10" x14ac:dyDescent="0.3">
      <c r="A2332" t="str">
        <f>""</f>
        <v/>
      </c>
      <c r="B2332" t="str">
        <f>""</f>
        <v/>
      </c>
      <c r="G2332" t="str">
        <f>""</f>
        <v/>
      </c>
      <c r="H2332" t="str">
        <f>""</f>
        <v/>
      </c>
      <c r="J2332" t="str">
        <f t="shared" si="55"/>
        <v>MEDICARE TAXES</v>
      </c>
    </row>
    <row r="2333" spans="1:10" x14ac:dyDescent="0.3">
      <c r="A2333" t="str">
        <f>""</f>
        <v/>
      </c>
      <c r="B2333" t="str">
        <f>""</f>
        <v/>
      </c>
      <c r="G2333" t="str">
        <f>""</f>
        <v/>
      </c>
      <c r="H2333" t="str">
        <f>""</f>
        <v/>
      </c>
      <c r="J2333" t="str">
        <f t="shared" si="55"/>
        <v>MEDICARE TAXES</v>
      </c>
    </row>
    <row r="2334" spans="1:10" x14ac:dyDescent="0.3">
      <c r="A2334" t="str">
        <f>""</f>
        <v/>
      </c>
      <c r="B2334" t="str">
        <f>""</f>
        <v/>
      </c>
      <c r="G2334" t="str">
        <f>""</f>
        <v/>
      </c>
      <c r="H2334" t="str">
        <f>""</f>
        <v/>
      </c>
      <c r="J2334" t="str">
        <f t="shared" si="55"/>
        <v>MEDICARE TAXES</v>
      </c>
    </row>
    <row r="2335" spans="1:10" x14ac:dyDescent="0.3">
      <c r="A2335" t="str">
        <f>""</f>
        <v/>
      </c>
      <c r="B2335" t="str">
        <f>""</f>
        <v/>
      </c>
      <c r="G2335" t="str">
        <f>""</f>
        <v/>
      </c>
      <c r="H2335" t="str">
        <f>""</f>
        <v/>
      </c>
      <c r="J2335" t="str">
        <f t="shared" si="55"/>
        <v>MEDICARE TAXES</v>
      </c>
    </row>
    <row r="2336" spans="1:10" x14ac:dyDescent="0.3">
      <c r="A2336" t="str">
        <f>""</f>
        <v/>
      </c>
      <c r="B2336" t="str">
        <f>""</f>
        <v/>
      </c>
      <c r="G2336" t="str">
        <f>""</f>
        <v/>
      </c>
      <c r="H2336" t="str">
        <f>""</f>
        <v/>
      </c>
      <c r="J2336" t="str">
        <f t="shared" si="55"/>
        <v>MEDICARE TAXES</v>
      </c>
    </row>
    <row r="2337" spans="1:10" x14ac:dyDescent="0.3">
      <c r="A2337" t="str">
        <f>""</f>
        <v/>
      </c>
      <c r="B2337" t="str">
        <f>""</f>
        <v/>
      </c>
      <c r="G2337" t="str">
        <f>""</f>
        <v/>
      </c>
      <c r="H2337" t="str">
        <f>""</f>
        <v/>
      </c>
      <c r="J2337" t="str">
        <f t="shared" si="55"/>
        <v>MEDICARE TAXES</v>
      </c>
    </row>
    <row r="2338" spans="1:10" x14ac:dyDescent="0.3">
      <c r="A2338" t="str">
        <f>""</f>
        <v/>
      </c>
      <c r="B2338" t="str">
        <f>""</f>
        <v/>
      </c>
      <c r="G2338" t="str">
        <f>""</f>
        <v/>
      </c>
      <c r="H2338" t="str">
        <f>""</f>
        <v/>
      </c>
      <c r="J2338" t="str">
        <f t="shared" si="55"/>
        <v>MEDICARE TAXES</v>
      </c>
    </row>
    <row r="2339" spans="1:10" x14ac:dyDescent="0.3">
      <c r="A2339" t="str">
        <f>""</f>
        <v/>
      </c>
      <c r="B2339" t="str">
        <f>""</f>
        <v/>
      </c>
      <c r="G2339" t="str">
        <f>""</f>
        <v/>
      </c>
      <c r="H2339" t="str">
        <f>""</f>
        <v/>
      </c>
      <c r="J2339" t="str">
        <f t="shared" si="55"/>
        <v>MEDICARE TAXES</v>
      </c>
    </row>
    <row r="2340" spans="1:10" x14ac:dyDescent="0.3">
      <c r="A2340" t="str">
        <f>""</f>
        <v/>
      </c>
      <c r="B2340" t="str">
        <f>""</f>
        <v/>
      </c>
      <c r="G2340" t="str">
        <f>""</f>
        <v/>
      </c>
      <c r="H2340" t="str">
        <f>""</f>
        <v/>
      </c>
      <c r="J2340" t="str">
        <f t="shared" si="55"/>
        <v>MEDICARE TAXES</v>
      </c>
    </row>
    <row r="2341" spans="1:10" x14ac:dyDescent="0.3">
      <c r="A2341" t="str">
        <f>""</f>
        <v/>
      </c>
      <c r="B2341" t="str">
        <f>""</f>
        <v/>
      </c>
      <c r="G2341" t="str">
        <f>""</f>
        <v/>
      </c>
      <c r="H2341" t="str">
        <f>""</f>
        <v/>
      </c>
      <c r="J2341" t="str">
        <f t="shared" si="55"/>
        <v>MEDICARE TAXES</v>
      </c>
    </row>
    <row r="2342" spans="1:10" x14ac:dyDescent="0.3">
      <c r="A2342" t="str">
        <f>""</f>
        <v/>
      </c>
      <c r="B2342" t="str">
        <f>""</f>
        <v/>
      </c>
      <c r="G2342" t="str">
        <f>""</f>
        <v/>
      </c>
      <c r="H2342" t="str">
        <f>""</f>
        <v/>
      </c>
      <c r="J2342" t="str">
        <f t="shared" si="55"/>
        <v>MEDICARE TAXES</v>
      </c>
    </row>
    <row r="2343" spans="1:10" x14ac:dyDescent="0.3">
      <c r="A2343" t="str">
        <f>""</f>
        <v/>
      </c>
      <c r="B2343" t="str">
        <f>""</f>
        <v/>
      </c>
      <c r="G2343" t="str">
        <f>""</f>
        <v/>
      </c>
      <c r="H2343" t="str">
        <f>""</f>
        <v/>
      </c>
      <c r="J2343" t="str">
        <f t="shared" si="55"/>
        <v>MEDICARE TAXES</v>
      </c>
    </row>
    <row r="2344" spans="1:10" x14ac:dyDescent="0.3">
      <c r="A2344" t="str">
        <f>""</f>
        <v/>
      </c>
      <c r="B2344" t="str">
        <f>""</f>
        <v/>
      </c>
      <c r="G2344" t="str">
        <f>""</f>
        <v/>
      </c>
      <c r="H2344" t="str">
        <f>""</f>
        <v/>
      </c>
      <c r="J2344" t="str">
        <f t="shared" si="55"/>
        <v>MEDICARE TAXES</v>
      </c>
    </row>
    <row r="2345" spans="1:10" x14ac:dyDescent="0.3">
      <c r="A2345" t="str">
        <f>""</f>
        <v/>
      </c>
      <c r="B2345" t="str">
        <f>""</f>
        <v/>
      </c>
      <c r="G2345" t="str">
        <f>""</f>
        <v/>
      </c>
      <c r="H2345" t="str">
        <f>""</f>
        <v/>
      </c>
      <c r="J2345" t="str">
        <f t="shared" si="55"/>
        <v>MEDICARE TAXES</v>
      </c>
    </row>
    <row r="2346" spans="1:10" x14ac:dyDescent="0.3">
      <c r="A2346" t="str">
        <f>""</f>
        <v/>
      </c>
      <c r="B2346" t="str">
        <f>""</f>
        <v/>
      </c>
      <c r="G2346" t="str">
        <f>""</f>
        <v/>
      </c>
      <c r="H2346" t="str">
        <f>""</f>
        <v/>
      </c>
      <c r="J2346" t="str">
        <f t="shared" si="55"/>
        <v>MEDICARE TAXES</v>
      </c>
    </row>
    <row r="2347" spans="1:10" x14ac:dyDescent="0.3">
      <c r="A2347" t="str">
        <f>""</f>
        <v/>
      </c>
      <c r="B2347" t="str">
        <f>""</f>
        <v/>
      </c>
      <c r="G2347" t="str">
        <f>""</f>
        <v/>
      </c>
      <c r="H2347" t="str">
        <f>""</f>
        <v/>
      </c>
      <c r="J2347" t="str">
        <f t="shared" si="55"/>
        <v>MEDICARE TAXES</v>
      </c>
    </row>
    <row r="2348" spans="1:10" x14ac:dyDescent="0.3">
      <c r="A2348" t="str">
        <f>""</f>
        <v/>
      </c>
      <c r="B2348" t="str">
        <f>""</f>
        <v/>
      </c>
      <c r="G2348" t="str">
        <f>""</f>
        <v/>
      </c>
      <c r="H2348" t="str">
        <f>""</f>
        <v/>
      </c>
      <c r="J2348" t="str">
        <f t="shared" si="55"/>
        <v>MEDICARE TAXES</v>
      </c>
    </row>
    <row r="2349" spans="1:10" x14ac:dyDescent="0.3">
      <c r="A2349" t="str">
        <f>""</f>
        <v/>
      </c>
      <c r="B2349" t="str">
        <f>""</f>
        <v/>
      </c>
      <c r="G2349" t="str">
        <f>""</f>
        <v/>
      </c>
      <c r="H2349" t="str">
        <f>""</f>
        <v/>
      </c>
      <c r="J2349" t="str">
        <f t="shared" si="55"/>
        <v>MEDICARE TAXES</v>
      </c>
    </row>
    <row r="2350" spans="1:10" x14ac:dyDescent="0.3">
      <c r="A2350" t="str">
        <f>""</f>
        <v/>
      </c>
      <c r="B2350" t="str">
        <f>""</f>
        <v/>
      </c>
      <c r="G2350" t="str">
        <f>""</f>
        <v/>
      </c>
      <c r="H2350" t="str">
        <f>""</f>
        <v/>
      </c>
      <c r="J2350" t="str">
        <f t="shared" si="55"/>
        <v>MEDICARE TAXES</v>
      </c>
    </row>
    <row r="2351" spans="1:10" x14ac:dyDescent="0.3">
      <c r="A2351" t="str">
        <f>""</f>
        <v/>
      </c>
      <c r="B2351" t="str">
        <f>""</f>
        <v/>
      </c>
      <c r="G2351" t="str">
        <f>""</f>
        <v/>
      </c>
      <c r="H2351" t="str">
        <f>""</f>
        <v/>
      </c>
      <c r="J2351" t="str">
        <f t="shared" si="55"/>
        <v>MEDICARE TAXES</v>
      </c>
    </row>
    <row r="2352" spans="1:10" x14ac:dyDescent="0.3">
      <c r="A2352" t="str">
        <f>""</f>
        <v/>
      </c>
      <c r="B2352" t="str">
        <f>""</f>
        <v/>
      </c>
      <c r="G2352" t="str">
        <f>""</f>
        <v/>
      </c>
      <c r="H2352" t="str">
        <f>""</f>
        <v/>
      </c>
      <c r="J2352" t="str">
        <f t="shared" si="55"/>
        <v>MEDICARE TAXES</v>
      </c>
    </row>
    <row r="2353" spans="1:10" x14ac:dyDescent="0.3">
      <c r="A2353" t="str">
        <f>""</f>
        <v/>
      </c>
      <c r="B2353" t="str">
        <f>""</f>
        <v/>
      </c>
      <c r="G2353" t="str">
        <f>""</f>
        <v/>
      </c>
      <c r="H2353" t="str">
        <f>""</f>
        <v/>
      </c>
      <c r="J2353" t="str">
        <f t="shared" si="55"/>
        <v>MEDICARE TAXES</v>
      </c>
    </row>
    <row r="2354" spans="1:10" x14ac:dyDescent="0.3">
      <c r="A2354" t="str">
        <f>""</f>
        <v/>
      </c>
      <c r="B2354" t="str">
        <f>""</f>
        <v/>
      </c>
      <c r="G2354" t="str">
        <f>""</f>
        <v/>
      </c>
      <c r="H2354" t="str">
        <f>""</f>
        <v/>
      </c>
      <c r="J2354" t="str">
        <f t="shared" si="55"/>
        <v>MEDICARE TAXES</v>
      </c>
    </row>
    <row r="2355" spans="1:10" x14ac:dyDescent="0.3">
      <c r="A2355" t="str">
        <f>""</f>
        <v/>
      </c>
      <c r="B2355" t="str">
        <f>""</f>
        <v/>
      </c>
      <c r="G2355" t="str">
        <f>""</f>
        <v/>
      </c>
      <c r="H2355" t="str">
        <f>""</f>
        <v/>
      </c>
      <c r="J2355" t="str">
        <f t="shared" si="55"/>
        <v>MEDICARE TAXES</v>
      </c>
    </row>
    <row r="2356" spans="1:10" x14ac:dyDescent="0.3">
      <c r="A2356" t="str">
        <f>""</f>
        <v/>
      </c>
      <c r="B2356" t="str">
        <f>""</f>
        <v/>
      </c>
      <c r="G2356" t="str">
        <f>""</f>
        <v/>
      </c>
      <c r="H2356" t="str">
        <f>""</f>
        <v/>
      </c>
      <c r="J2356" t="str">
        <f t="shared" si="55"/>
        <v>MEDICARE TAXES</v>
      </c>
    </row>
    <row r="2357" spans="1:10" x14ac:dyDescent="0.3">
      <c r="A2357" t="str">
        <f>""</f>
        <v/>
      </c>
      <c r="B2357" t="str">
        <f>""</f>
        <v/>
      </c>
      <c r="G2357" t="str">
        <f>""</f>
        <v/>
      </c>
      <c r="H2357" t="str">
        <f>""</f>
        <v/>
      </c>
      <c r="J2357" t="str">
        <f t="shared" si="55"/>
        <v>MEDICARE TAXES</v>
      </c>
    </row>
    <row r="2358" spans="1:10" x14ac:dyDescent="0.3">
      <c r="A2358" t="str">
        <f>""</f>
        <v/>
      </c>
      <c r="B2358" t="str">
        <f>""</f>
        <v/>
      </c>
      <c r="G2358" t="str">
        <f>""</f>
        <v/>
      </c>
      <c r="H2358" t="str">
        <f>""</f>
        <v/>
      </c>
      <c r="J2358" t="str">
        <f t="shared" si="55"/>
        <v>MEDICARE TAXES</v>
      </c>
    </row>
    <row r="2359" spans="1:10" x14ac:dyDescent="0.3">
      <c r="A2359" t="str">
        <f>""</f>
        <v/>
      </c>
      <c r="B2359" t="str">
        <f>""</f>
        <v/>
      </c>
      <c r="G2359" t="str">
        <f>""</f>
        <v/>
      </c>
      <c r="H2359" t="str">
        <f>""</f>
        <v/>
      </c>
      <c r="J2359" t="str">
        <f t="shared" si="55"/>
        <v>MEDICARE TAXES</v>
      </c>
    </row>
    <row r="2360" spans="1:10" x14ac:dyDescent="0.3">
      <c r="A2360" t="str">
        <f>""</f>
        <v/>
      </c>
      <c r="B2360" t="str">
        <f>""</f>
        <v/>
      </c>
      <c r="G2360" t="str">
        <f>""</f>
        <v/>
      </c>
      <c r="H2360" t="str">
        <f>""</f>
        <v/>
      </c>
      <c r="J2360" t="str">
        <f t="shared" si="55"/>
        <v>MEDICARE TAXES</v>
      </c>
    </row>
    <row r="2361" spans="1:10" x14ac:dyDescent="0.3">
      <c r="A2361" t="str">
        <f>""</f>
        <v/>
      </c>
      <c r="B2361" t="str">
        <f>""</f>
        <v/>
      </c>
      <c r="G2361" t="str">
        <f>""</f>
        <v/>
      </c>
      <c r="H2361" t="str">
        <f>""</f>
        <v/>
      </c>
      <c r="J2361" t="str">
        <f t="shared" si="55"/>
        <v>MEDICARE TAXES</v>
      </c>
    </row>
    <row r="2362" spans="1:10" x14ac:dyDescent="0.3">
      <c r="A2362" t="str">
        <f>""</f>
        <v/>
      </c>
      <c r="B2362" t="str">
        <f>""</f>
        <v/>
      </c>
      <c r="G2362" t="str">
        <f>""</f>
        <v/>
      </c>
      <c r="H2362" t="str">
        <f>""</f>
        <v/>
      </c>
      <c r="J2362" t="str">
        <f t="shared" ref="J2362:J2385" si="56">"MEDICARE TAXES"</f>
        <v>MEDICARE TAXES</v>
      </c>
    </row>
    <row r="2363" spans="1:10" x14ac:dyDescent="0.3">
      <c r="A2363" t="str">
        <f>""</f>
        <v/>
      </c>
      <c r="B2363" t="str">
        <f>""</f>
        <v/>
      </c>
      <c r="G2363" t="str">
        <f>""</f>
        <v/>
      </c>
      <c r="H2363" t="str">
        <f>""</f>
        <v/>
      </c>
      <c r="J2363" t="str">
        <f t="shared" si="56"/>
        <v>MEDICARE TAXES</v>
      </c>
    </row>
    <row r="2364" spans="1:10" x14ac:dyDescent="0.3">
      <c r="A2364" t="str">
        <f>""</f>
        <v/>
      </c>
      <c r="B2364" t="str">
        <f>""</f>
        <v/>
      </c>
      <c r="G2364" t="str">
        <f>""</f>
        <v/>
      </c>
      <c r="H2364" t="str">
        <f>""</f>
        <v/>
      </c>
      <c r="J2364" t="str">
        <f t="shared" si="56"/>
        <v>MEDICARE TAXES</v>
      </c>
    </row>
    <row r="2365" spans="1:10" x14ac:dyDescent="0.3">
      <c r="A2365" t="str">
        <f>""</f>
        <v/>
      </c>
      <c r="B2365" t="str">
        <f>""</f>
        <v/>
      </c>
      <c r="G2365" t="str">
        <f>""</f>
        <v/>
      </c>
      <c r="H2365" t="str">
        <f>""</f>
        <v/>
      </c>
      <c r="J2365" t="str">
        <f t="shared" si="56"/>
        <v>MEDICARE TAXES</v>
      </c>
    </row>
    <row r="2366" spans="1:10" x14ac:dyDescent="0.3">
      <c r="A2366" t="str">
        <f>""</f>
        <v/>
      </c>
      <c r="B2366" t="str">
        <f>""</f>
        <v/>
      </c>
      <c r="G2366" t="str">
        <f>""</f>
        <v/>
      </c>
      <c r="H2366" t="str">
        <f>""</f>
        <v/>
      </c>
      <c r="J2366" t="str">
        <f t="shared" si="56"/>
        <v>MEDICARE TAXES</v>
      </c>
    </row>
    <row r="2367" spans="1:10" x14ac:dyDescent="0.3">
      <c r="A2367" t="str">
        <f>""</f>
        <v/>
      </c>
      <c r="B2367" t="str">
        <f>""</f>
        <v/>
      </c>
      <c r="G2367" t="str">
        <f>""</f>
        <v/>
      </c>
      <c r="H2367" t="str">
        <f>""</f>
        <v/>
      </c>
      <c r="J2367" t="str">
        <f t="shared" si="56"/>
        <v>MEDICARE TAXES</v>
      </c>
    </row>
    <row r="2368" spans="1:10" x14ac:dyDescent="0.3">
      <c r="A2368" t="str">
        <f>""</f>
        <v/>
      </c>
      <c r="B2368" t="str">
        <f>""</f>
        <v/>
      </c>
      <c r="G2368" t="str">
        <f>""</f>
        <v/>
      </c>
      <c r="H2368" t="str">
        <f>""</f>
        <v/>
      </c>
      <c r="J2368" t="str">
        <f t="shared" si="56"/>
        <v>MEDICARE TAXES</v>
      </c>
    </row>
    <row r="2369" spans="1:10" x14ac:dyDescent="0.3">
      <c r="A2369" t="str">
        <f>""</f>
        <v/>
      </c>
      <c r="B2369" t="str">
        <f>""</f>
        <v/>
      </c>
      <c r="G2369" t="str">
        <f>""</f>
        <v/>
      </c>
      <c r="H2369" t="str">
        <f>""</f>
        <v/>
      </c>
      <c r="J2369" t="str">
        <f t="shared" si="56"/>
        <v>MEDICARE TAXES</v>
      </c>
    </row>
    <row r="2370" spans="1:10" x14ac:dyDescent="0.3">
      <c r="A2370" t="str">
        <f>""</f>
        <v/>
      </c>
      <c r="B2370" t="str">
        <f>""</f>
        <v/>
      </c>
      <c r="G2370" t="str">
        <f>""</f>
        <v/>
      </c>
      <c r="H2370" t="str">
        <f>""</f>
        <v/>
      </c>
      <c r="J2370" t="str">
        <f t="shared" si="56"/>
        <v>MEDICARE TAXES</v>
      </c>
    </row>
    <row r="2371" spans="1:10" x14ac:dyDescent="0.3">
      <c r="A2371" t="str">
        <f>""</f>
        <v/>
      </c>
      <c r="B2371" t="str">
        <f>""</f>
        <v/>
      </c>
      <c r="G2371" t="str">
        <f>""</f>
        <v/>
      </c>
      <c r="H2371" t="str">
        <f>""</f>
        <v/>
      </c>
      <c r="J2371" t="str">
        <f t="shared" si="56"/>
        <v>MEDICARE TAXES</v>
      </c>
    </row>
    <row r="2372" spans="1:10" x14ac:dyDescent="0.3">
      <c r="A2372" t="str">
        <f>""</f>
        <v/>
      </c>
      <c r="B2372" t="str">
        <f>""</f>
        <v/>
      </c>
      <c r="G2372" t="str">
        <f>""</f>
        <v/>
      </c>
      <c r="H2372" t="str">
        <f>""</f>
        <v/>
      </c>
      <c r="J2372" t="str">
        <f t="shared" si="56"/>
        <v>MEDICARE TAXES</v>
      </c>
    </row>
    <row r="2373" spans="1:10" x14ac:dyDescent="0.3">
      <c r="A2373" t="str">
        <f>""</f>
        <v/>
      </c>
      <c r="B2373" t="str">
        <f>""</f>
        <v/>
      </c>
      <c r="G2373" t="str">
        <f>""</f>
        <v/>
      </c>
      <c r="H2373" t="str">
        <f>""</f>
        <v/>
      </c>
      <c r="J2373" t="str">
        <f t="shared" si="56"/>
        <v>MEDICARE TAXES</v>
      </c>
    </row>
    <row r="2374" spans="1:10" x14ac:dyDescent="0.3">
      <c r="A2374" t="str">
        <f>""</f>
        <v/>
      </c>
      <c r="B2374" t="str">
        <f>""</f>
        <v/>
      </c>
      <c r="G2374" t="str">
        <f>""</f>
        <v/>
      </c>
      <c r="H2374" t="str">
        <f>""</f>
        <v/>
      </c>
      <c r="J2374" t="str">
        <f t="shared" si="56"/>
        <v>MEDICARE TAXES</v>
      </c>
    </row>
    <row r="2375" spans="1:10" x14ac:dyDescent="0.3">
      <c r="A2375" t="str">
        <f>""</f>
        <v/>
      </c>
      <c r="B2375" t="str">
        <f>""</f>
        <v/>
      </c>
      <c r="G2375" t="str">
        <f>""</f>
        <v/>
      </c>
      <c r="H2375" t="str">
        <f>""</f>
        <v/>
      </c>
      <c r="J2375" t="str">
        <f t="shared" si="56"/>
        <v>MEDICARE TAXES</v>
      </c>
    </row>
    <row r="2376" spans="1:10" x14ac:dyDescent="0.3">
      <c r="A2376" t="str">
        <f>""</f>
        <v/>
      </c>
      <c r="B2376" t="str">
        <f>""</f>
        <v/>
      </c>
      <c r="G2376" t="str">
        <f>""</f>
        <v/>
      </c>
      <c r="H2376" t="str">
        <f>""</f>
        <v/>
      </c>
      <c r="J2376" t="str">
        <f t="shared" si="56"/>
        <v>MEDICARE TAXES</v>
      </c>
    </row>
    <row r="2377" spans="1:10" x14ac:dyDescent="0.3">
      <c r="A2377" t="str">
        <f>""</f>
        <v/>
      </c>
      <c r="B2377" t="str">
        <f>""</f>
        <v/>
      </c>
      <c r="G2377" t="str">
        <f>""</f>
        <v/>
      </c>
      <c r="H2377" t="str">
        <f>""</f>
        <v/>
      </c>
      <c r="J2377" t="str">
        <f t="shared" si="56"/>
        <v>MEDICARE TAXES</v>
      </c>
    </row>
    <row r="2378" spans="1:10" x14ac:dyDescent="0.3">
      <c r="A2378" t="str">
        <f>""</f>
        <v/>
      </c>
      <c r="B2378" t="str">
        <f>""</f>
        <v/>
      </c>
      <c r="G2378" t="str">
        <f>""</f>
        <v/>
      </c>
      <c r="H2378" t="str">
        <f>""</f>
        <v/>
      </c>
      <c r="J2378" t="str">
        <f t="shared" si="56"/>
        <v>MEDICARE TAXES</v>
      </c>
    </row>
    <row r="2379" spans="1:10" x14ac:dyDescent="0.3">
      <c r="A2379" t="str">
        <f>""</f>
        <v/>
      </c>
      <c r="B2379" t="str">
        <f>""</f>
        <v/>
      </c>
      <c r="G2379" t="str">
        <f>""</f>
        <v/>
      </c>
      <c r="H2379" t="str">
        <f>""</f>
        <v/>
      </c>
      <c r="J2379" t="str">
        <f t="shared" si="56"/>
        <v>MEDICARE TAXES</v>
      </c>
    </row>
    <row r="2380" spans="1:10" x14ac:dyDescent="0.3">
      <c r="A2380" t="str">
        <f>""</f>
        <v/>
      </c>
      <c r="B2380" t="str">
        <f>""</f>
        <v/>
      </c>
      <c r="G2380" t="str">
        <f>""</f>
        <v/>
      </c>
      <c r="H2380" t="str">
        <f>""</f>
        <v/>
      </c>
      <c r="J2380" t="str">
        <f t="shared" si="56"/>
        <v>MEDICARE TAXES</v>
      </c>
    </row>
    <row r="2381" spans="1:10" x14ac:dyDescent="0.3">
      <c r="A2381" t="str">
        <f>""</f>
        <v/>
      </c>
      <c r="B2381" t="str">
        <f>""</f>
        <v/>
      </c>
      <c r="G2381" t="str">
        <f>""</f>
        <v/>
      </c>
      <c r="H2381" t="str">
        <f>""</f>
        <v/>
      </c>
      <c r="J2381" t="str">
        <f t="shared" si="56"/>
        <v>MEDICARE TAXES</v>
      </c>
    </row>
    <row r="2382" spans="1:10" x14ac:dyDescent="0.3">
      <c r="A2382" t="str">
        <f>""</f>
        <v/>
      </c>
      <c r="B2382" t="str">
        <f>""</f>
        <v/>
      </c>
      <c r="G2382" t="str">
        <f>"T4 201708244446"</f>
        <v>T4 201708244446</v>
      </c>
      <c r="H2382" t="str">
        <f>"MEDICARE TAXES"</f>
        <v>MEDICARE TAXES</v>
      </c>
      <c r="I2382" s="2">
        <v>908.2</v>
      </c>
      <c r="J2382" t="str">
        <f t="shared" si="56"/>
        <v>MEDICARE TAXES</v>
      </c>
    </row>
    <row r="2383" spans="1:10" x14ac:dyDescent="0.3">
      <c r="A2383" t="str">
        <f>""</f>
        <v/>
      </c>
      <c r="B2383" t="str">
        <f>""</f>
        <v/>
      </c>
      <c r="G2383" t="str">
        <f>""</f>
        <v/>
      </c>
      <c r="H2383" t="str">
        <f>""</f>
        <v/>
      </c>
      <c r="J2383" t="str">
        <f t="shared" si="56"/>
        <v>MEDICARE TAXES</v>
      </c>
    </row>
    <row r="2384" spans="1:10" x14ac:dyDescent="0.3">
      <c r="A2384" t="str">
        <f>""</f>
        <v/>
      </c>
      <c r="B2384" t="str">
        <f>""</f>
        <v/>
      </c>
      <c r="G2384" t="str">
        <f>"T4 201708244447"</f>
        <v>T4 201708244447</v>
      </c>
      <c r="H2384" t="str">
        <f>"MEDICARE TAXES"</f>
        <v>MEDICARE TAXES</v>
      </c>
      <c r="I2384" s="2">
        <v>1315.94</v>
      </c>
      <c r="J2384" t="str">
        <f t="shared" si="56"/>
        <v>MEDICARE TAXES</v>
      </c>
    </row>
    <row r="2385" spans="1:10" x14ac:dyDescent="0.3">
      <c r="A2385" t="str">
        <f>""</f>
        <v/>
      </c>
      <c r="B2385" t="str">
        <f>""</f>
        <v/>
      </c>
      <c r="G2385" t="str">
        <f>""</f>
        <v/>
      </c>
      <c r="H2385" t="str">
        <f>""</f>
        <v/>
      </c>
      <c r="J2385" t="str">
        <f t="shared" si="56"/>
        <v>MEDICARE TAXES</v>
      </c>
    </row>
    <row r="2386" spans="1:10" x14ac:dyDescent="0.3">
      <c r="A2386" t="str">
        <f>"01"</f>
        <v>01</v>
      </c>
      <c r="B2386" t="str">
        <f>"004638"</f>
        <v>004638</v>
      </c>
      <c r="C2386" t="s">
        <v>471</v>
      </c>
      <c r="D2386">
        <v>45751</v>
      </c>
      <c r="E2386" s="2">
        <v>72.41</v>
      </c>
      <c r="F2386" s="1">
        <v>42951</v>
      </c>
      <c r="G2386" t="str">
        <f>"201708044012"</f>
        <v>201708044012</v>
      </c>
      <c r="H2386" t="str">
        <f>"CASE ID: 913039461 6/13/16 PP"</f>
        <v>CASE ID: 913039461 6/13/16 PP</v>
      </c>
      <c r="I2386" s="2">
        <v>72.41</v>
      </c>
      <c r="J2386" t="str">
        <f>"CASE ID: 913039461 6/13/16 PP"</f>
        <v>CASE ID: 913039461 6/13/16 PP</v>
      </c>
    </row>
    <row r="2387" spans="1:10" x14ac:dyDescent="0.3">
      <c r="A2387" t="str">
        <f>"01"</f>
        <v>01</v>
      </c>
      <c r="B2387" t="str">
        <f>"004638"</f>
        <v>004638</v>
      </c>
      <c r="C2387" t="s">
        <v>471</v>
      </c>
      <c r="D2387">
        <v>45780</v>
      </c>
      <c r="E2387" s="2">
        <v>72.41</v>
      </c>
      <c r="F2387" s="1">
        <v>42958</v>
      </c>
      <c r="G2387" t="str">
        <f>"C64201708094186"</f>
        <v>C64201708094186</v>
      </c>
      <c r="H2387" t="str">
        <f>"CASE #912745322"</f>
        <v>CASE #912745322</v>
      </c>
      <c r="I2387" s="2">
        <v>72.41</v>
      </c>
      <c r="J2387" t="str">
        <f>"CASE #912745322"</f>
        <v>CASE #912745322</v>
      </c>
    </row>
    <row r="2388" spans="1:10" x14ac:dyDescent="0.3">
      <c r="A2388" t="str">
        <f>"01"</f>
        <v>01</v>
      </c>
      <c r="B2388" t="str">
        <f>"004638"</f>
        <v>004638</v>
      </c>
      <c r="C2388" t="s">
        <v>471</v>
      </c>
      <c r="D2388">
        <v>45806</v>
      </c>
      <c r="E2388" s="2">
        <v>72.41</v>
      </c>
      <c r="F2388" s="1">
        <v>42972</v>
      </c>
      <c r="G2388" t="str">
        <f>"C64201708234445"</f>
        <v>C64201708234445</v>
      </c>
      <c r="H2388" t="str">
        <f>"CASE #912745322"</f>
        <v>CASE #912745322</v>
      </c>
      <c r="I2388" s="2">
        <v>72.41</v>
      </c>
      <c r="J2388" t="str">
        <f>"CASE #912745322"</f>
        <v>CASE #912745322</v>
      </c>
    </row>
    <row r="2389" spans="1:10" x14ac:dyDescent="0.3">
      <c r="A2389" t="str">
        <f>"01"</f>
        <v>01</v>
      </c>
      <c r="B2389" t="str">
        <f>"001507"</f>
        <v>001507</v>
      </c>
      <c r="C2389" t="s">
        <v>472</v>
      </c>
      <c r="D2389">
        <v>0</v>
      </c>
      <c r="E2389" s="2">
        <v>26860.14</v>
      </c>
      <c r="F2389" s="1">
        <v>42978</v>
      </c>
      <c r="G2389" t="str">
        <f>"201708314478"</f>
        <v>201708314478</v>
      </c>
      <c r="H2389" t="str">
        <f>"August 2017 Retiree"</f>
        <v>August 2017 Retiree</v>
      </c>
      <c r="I2389" s="2">
        <v>26860.14</v>
      </c>
      <c r="J2389" t="str">
        <f>"August 2017 Retiree"</f>
        <v>August 2017 Retiree</v>
      </c>
    </row>
    <row r="2390" spans="1:10" x14ac:dyDescent="0.3">
      <c r="A2390" t="str">
        <f>"01"</f>
        <v>01</v>
      </c>
      <c r="B2390" t="str">
        <f>"002456"</f>
        <v>002456</v>
      </c>
      <c r="C2390" t="s">
        <v>473</v>
      </c>
      <c r="D2390">
        <v>0</v>
      </c>
      <c r="E2390" s="2">
        <v>731.02</v>
      </c>
      <c r="F2390" s="1">
        <v>42978</v>
      </c>
      <c r="G2390" t="str">
        <f>"LIX201708094186"</f>
        <v>LIX201708094186</v>
      </c>
      <c r="H2390" t="str">
        <f>"TEXAS LIFE/OLIVO GROUP"</f>
        <v>TEXAS LIFE/OLIVO GROUP</v>
      </c>
      <c r="I2390" s="2">
        <v>365.51</v>
      </c>
      <c r="J2390" t="str">
        <f>"TEXAS LIFE/OLIVO GROUP"</f>
        <v>TEXAS LIFE/OLIVO GROUP</v>
      </c>
    </row>
    <row r="2391" spans="1:10" x14ac:dyDescent="0.3">
      <c r="A2391" t="str">
        <f>""</f>
        <v/>
      </c>
      <c r="B2391" t="str">
        <f>""</f>
        <v/>
      </c>
      <c r="G2391" t="str">
        <f>"LIX201708234445"</f>
        <v>LIX201708234445</v>
      </c>
      <c r="H2391" t="str">
        <f>"TEXAS LIFE/OLIVO GROUP"</f>
        <v>TEXAS LIFE/OLIVO GROUP</v>
      </c>
      <c r="I2391" s="2">
        <v>365.51</v>
      </c>
      <c r="J2391" t="str">
        <f>"TEXAS LIFE/OLIVO GROUP"</f>
        <v>TEXAS LIFE/OLIVO GROUP</v>
      </c>
    </row>
    <row r="2392" spans="1:10" x14ac:dyDescent="0.3">
      <c r="A2392" t="str">
        <f>"01"</f>
        <v>01</v>
      </c>
      <c r="B2392" t="str">
        <f>"TACHEB"</f>
        <v>TACHEB</v>
      </c>
      <c r="C2392" t="s">
        <v>474</v>
      </c>
      <c r="D2392">
        <v>45812</v>
      </c>
      <c r="E2392" s="2">
        <v>318162.94</v>
      </c>
      <c r="F2392" s="1">
        <v>42978</v>
      </c>
      <c r="G2392" t="str">
        <f>"201708314480"</f>
        <v>201708314480</v>
      </c>
      <c r="H2392" t="str">
        <f>"TAC HEALTH BENEFITS POOL"</f>
        <v>TAC HEALTH BENEFITS POOL</v>
      </c>
      <c r="I2392" s="2">
        <v>15018.3</v>
      </c>
      <c r="J2392" t="str">
        <f>"TAC HEALTH BENEFITS POOL"</f>
        <v>TAC HEALTH BENEFITS POOL</v>
      </c>
    </row>
    <row r="2393" spans="1:10" x14ac:dyDescent="0.3">
      <c r="A2393" t="str">
        <f>""</f>
        <v/>
      </c>
      <c r="B2393" t="str">
        <f>""</f>
        <v/>
      </c>
      <c r="G2393" t="str">
        <f>"2EC201708094186"</f>
        <v>2EC201708094186</v>
      </c>
      <c r="H2393" t="str">
        <f>"BCBS PAYABLE"</f>
        <v>BCBS PAYABLE</v>
      </c>
      <c r="I2393" s="2">
        <v>41889.120000000003</v>
      </c>
      <c r="J2393" t="str">
        <f t="shared" ref="J2393:J2424" si="57">"BCBS PAYABLE"</f>
        <v>BCBS PAYABLE</v>
      </c>
    </row>
    <row r="2394" spans="1:10" x14ac:dyDescent="0.3">
      <c r="A2394" t="str">
        <f>""</f>
        <v/>
      </c>
      <c r="B2394" t="str">
        <f>""</f>
        <v/>
      </c>
      <c r="G2394" t="str">
        <f>""</f>
        <v/>
      </c>
      <c r="H2394" t="str">
        <f>""</f>
        <v/>
      </c>
      <c r="J2394" t="str">
        <f t="shared" si="57"/>
        <v>BCBS PAYABLE</v>
      </c>
    </row>
    <row r="2395" spans="1:10" x14ac:dyDescent="0.3">
      <c r="A2395" t="str">
        <f>""</f>
        <v/>
      </c>
      <c r="B2395" t="str">
        <f>""</f>
        <v/>
      </c>
      <c r="G2395" t="str">
        <f>""</f>
        <v/>
      </c>
      <c r="H2395" t="str">
        <f>""</f>
        <v/>
      </c>
      <c r="J2395" t="str">
        <f t="shared" si="57"/>
        <v>BCBS PAYABLE</v>
      </c>
    </row>
    <row r="2396" spans="1:10" x14ac:dyDescent="0.3">
      <c r="A2396" t="str">
        <f>""</f>
        <v/>
      </c>
      <c r="B2396" t="str">
        <f>""</f>
        <v/>
      </c>
      <c r="G2396" t="str">
        <f>""</f>
        <v/>
      </c>
      <c r="H2396" t="str">
        <f>""</f>
        <v/>
      </c>
      <c r="J2396" t="str">
        <f t="shared" si="57"/>
        <v>BCBS PAYABLE</v>
      </c>
    </row>
    <row r="2397" spans="1:10" x14ac:dyDescent="0.3">
      <c r="A2397" t="str">
        <f>""</f>
        <v/>
      </c>
      <c r="B2397" t="str">
        <f>""</f>
        <v/>
      </c>
      <c r="G2397" t="str">
        <f>""</f>
        <v/>
      </c>
      <c r="H2397" t="str">
        <f>""</f>
        <v/>
      </c>
      <c r="J2397" t="str">
        <f t="shared" si="57"/>
        <v>BCBS PAYABLE</v>
      </c>
    </row>
    <row r="2398" spans="1:10" x14ac:dyDescent="0.3">
      <c r="A2398" t="str">
        <f>""</f>
        <v/>
      </c>
      <c r="B2398" t="str">
        <f>""</f>
        <v/>
      </c>
      <c r="G2398" t="str">
        <f>""</f>
        <v/>
      </c>
      <c r="H2398" t="str">
        <f>""</f>
        <v/>
      </c>
      <c r="J2398" t="str">
        <f t="shared" si="57"/>
        <v>BCBS PAYABLE</v>
      </c>
    </row>
    <row r="2399" spans="1:10" x14ac:dyDescent="0.3">
      <c r="A2399" t="str">
        <f>""</f>
        <v/>
      </c>
      <c r="B2399" t="str">
        <f>""</f>
        <v/>
      </c>
      <c r="G2399" t="str">
        <f>""</f>
        <v/>
      </c>
      <c r="H2399" t="str">
        <f>""</f>
        <v/>
      </c>
      <c r="J2399" t="str">
        <f t="shared" si="57"/>
        <v>BCBS PAYABLE</v>
      </c>
    </row>
    <row r="2400" spans="1:10" x14ac:dyDescent="0.3">
      <c r="A2400" t="str">
        <f>""</f>
        <v/>
      </c>
      <c r="B2400" t="str">
        <f>""</f>
        <v/>
      </c>
      <c r="G2400" t="str">
        <f>""</f>
        <v/>
      </c>
      <c r="H2400" t="str">
        <f>""</f>
        <v/>
      </c>
      <c r="J2400" t="str">
        <f t="shared" si="57"/>
        <v>BCBS PAYABLE</v>
      </c>
    </row>
    <row r="2401" spans="1:10" x14ac:dyDescent="0.3">
      <c r="A2401" t="str">
        <f>""</f>
        <v/>
      </c>
      <c r="B2401" t="str">
        <f>""</f>
        <v/>
      </c>
      <c r="G2401" t="str">
        <f>""</f>
        <v/>
      </c>
      <c r="H2401" t="str">
        <f>""</f>
        <v/>
      </c>
      <c r="J2401" t="str">
        <f t="shared" si="57"/>
        <v>BCBS PAYABLE</v>
      </c>
    </row>
    <row r="2402" spans="1:10" x14ac:dyDescent="0.3">
      <c r="A2402" t="str">
        <f>""</f>
        <v/>
      </c>
      <c r="B2402" t="str">
        <f>""</f>
        <v/>
      </c>
      <c r="G2402" t="str">
        <f>""</f>
        <v/>
      </c>
      <c r="H2402" t="str">
        <f>""</f>
        <v/>
      </c>
      <c r="J2402" t="str">
        <f t="shared" si="57"/>
        <v>BCBS PAYABLE</v>
      </c>
    </row>
    <row r="2403" spans="1:10" x14ac:dyDescent="0.3">
      <c r="A2403" t="str">
        <f>""</f>
        <v/>
      </c>
      <c r="B2403" t="str">
        <f>""</f>
        <v/>
      </c>
      <c r="G2403" t="str">
        <f>""</f>
        <v/>
      </c>
      <c r="H2403" t="str">
        <f>""</f>
        <v/>
      </c>
      <c r="J2403" t="str">
        <f t="shared" si="57"/>
        <v>BCBS PAYABLE</v>
      </c>
    </row>
    <row r="2404" spans="1:10" x14ac:dyDescent="0.3">
      <c r="A2404" t="str">
        <f>""</f>
        <v/>
      </c>
      <c r="B2404" t="str">
        <f>""</f>
        <v/>
      </c>
      <c r="G2404" t="str">
        <f>""</f>
        <v/>
      </c>
      <c r="H2404" t="str">
        <f>""</f>
        <v/>
      </c>
      <c r="J2404" t="str">
        <f t="shared" si="57"/>
        <v>BCBS PAYABLE</v>
      </c>
    </row>
    <row r="2405" spans="1:10" x14ac:dyDescent="0.3">
      <c r="A2405" t="str">
        <f>""</f>
        <v/>
      </c>
      <c r="B2405" t="str">
        <f>""</f>
        <v/>
      </c>
      <c r="G2405" t="str">
        <f>""</f>
        <v/>
      </c>
      <c r="H2405" t="str">
        <f>""</f>
        <v/>
      </c>
      <c r="J2405" t="str">
        <f t="shared" si="57"/>
        <v>BCBS PAYABLE</v>
      </c>
    </row>
    <row r="2406" spans="1:10" x14ac:dyDescent="0.3">
      <c r="A2406" t="str">
        <f>""</f>
        <v/>
      </c>
      <c r="B2406" t="str">
        <f>""</f>
        <v/>
      </c>
      <c r="G2406" t="str">
        <f>""</f>
        <v/>
      </c>
      <c r="H2406" t="str">
        <f>""</f>
        <v/>
      </c>
      <c r="J2406" t="str">
        <f t="shared" si="57"/>
        <v>BCBS PAYABLE</v>
      </c>
    </row>
    <row r="2407" spans="1:10" x14ac:dyDescent="0.3">
      <c r="A2407" t="str">
        <f>""</f>
        <v/>
      </c>
      <c r="B2407" t="str">
        <f>""</f>
        <v/>
      </c>
      <c r="G2407" t="str">
        <f>""</f>
        <v/>
      </c>
      <c r="H2407" t="str">
        <f>""</f>
        <v/>
      </c>
      <c r="J2407" t="str">
        <f t="shared" si="57"/>
        <v>BCBS PAYABLE</v>
      </c>
    </row>
    <row r="2408" spans="1:10" x14ac:dyDescent="0.3">
      <c r="A2408" t="str">
        <f>""</f>
        <v/>
      </c>
      <c r="B2408" t="str">
        <f>""</f>
        <v/>
      </c>
      <c r="G2408" t="str">
        <f>""</f>
        <v/>
      </c>
      <c r="H2408" t="str">
        <f>""</f>
        <v/>
      </c>
      <c r="J2408" t="str">
        <f t="shared" si="57"/>
        <v>BCBS PAYABLE</v>
      </c>
    </row>
    <row r="2409" spans="1:10" x14ac:dyDescent="0.3">
      <c r="A2409" t="str">
        <f>""</f>
        <v/>
      </c>
      <c r="B2409" t="str">
        <f>""</f>
        <v/>
      </c>
      <c r="G2409" t="str">
        <f>""</f>
        <v/>
      </c>
      <c r="H2409" t="str">
        <f>""</f>
        <v/>
      </c>
      <c r="J2409" t="str">
        <f t="shared" si="57"/>
        <v>BCBS PAYABLE</v>
      </c>
    </row>
    <row r="2410" spans="1:10" x14ac:dyDescent="0.3">
      <c r="A2410" t="str">
        <f>""</f>
        <v/>
      </c>
      <c r="B2410" t="str">
        <f>""</f>
        <v/>
      </c>
      <c r="G2410" t="str">
        <f>""</f>
        <v/>
      </c>
      <c r="H2410" t="str">
        <f>""</f>
        <v/>
      </c>
      <c r="J2410" t="str">
        <f t="shared" si="57"/>
        <v>BCBS PAYABLE</v>
      </c>
    </row>
    <row r="2411" spans="1:10" x14ac:dyDescent="0.3">
      <c r="A2411" t="str">
        <f>""</f>
        <v/>
      </c>
      <c r="B2411" t="str">
        <f>""</f>
        <v/>
      </c>
      <c r="G2411" t="str">
        <f>""</f>
        <v/>
      </c>
      <c r="H2411" t="str">
        <f>""</f>
        <v/>
      </c>
      <c r="J2411" t="str">
        <f t="shared" si="57"/>
        <v>BCBS PAYABLE</v>
      </c>
    </row>
    <row r="2412" spans="1:10" x14ac:dyDescent="0.3">
      <c r="A2412" t="str">
        <f>""</f>
        <v/>
      </c>
      <c r="B2412" t="str">
        <f>""</f>
        <v/>
      </c>
      <c r="G2412" t="str">
        <f>""</f>
        <v/>
      </c>
      <c r="H2412" t="str">
        <f>""</f>
        <v/>
      </c>
      <c r="J2412" t="str">
        <f t="shared" si="57"/>
        <v>BCBS PAYABLE</v>
      </c>
    </row>
    <row r="2413" spans="1:10" x14ac:dyDescent="0.3">
      <c r="A2413" t="str">
        <f>""</f>
        <v/>
      </c>
      <c r="B2413" t="str">
        <f>""</f>
        <v/>
      </c>
      <c r="G2413" t="str">
        <f>""</f>
        <v/>
      </c>
      <c r="H2413" t="str">
        <f>""</f>
        <v/>
      </c>
      <c r="J2413" t="str">
        <f t="shared" si="57"/>
        <v>BCBS PAYABLE</v>
      </c>
    </row>
    <row r="2414" spans="1:10" x14ac:dyDescent="0.3">
      <c r="A2414" t="str">
        <f>""</f>
        <v/>
      </c>
      <c r="B2414" t="str">
        <f>""</f>
        <v/>
      </c>
      <c r="G2414" t="str">
        <f>""</f>
        <v/>
      </c>
      <c r="H2414" t="str">
        <f>""</f>
        <v/>
      </c>
      <c r="J2414" t="str">
        <f t="shared" si="57"/>
        <v>BCBS PAYABLE</v>
      </c>
    </row>
    <row r="2415" spans="1:10" x14ac:dyDescent="0.3">
      <c r="A2415" t="str">
        <f>""</f>
        <v/>
      </c>
      <c r="B2415" t="str">
        <f>""</f>
        <v/>
      </c>
      <c r="G2415" t="str">
        <f>""</f>
        <v/>
      </c>
      <c r="H2415" t="str">
        <f>""</f>
        <v/>
      </c>
      <c r="J2415" t="str">
        <f t="shared" si="57"/>
        <v>BCBS PAYABLE</v>
      </c>
    </row>
    <row r="2416" spans="1:10" x14ac:dyDescent="0.3">
      <c r="A2416" t="str">
        <f>""</f>
        <v/>
      </c>
      <c r="B2416" t="str">
        <f>""</f>
        <v/>
      </c>
      <c r="G2416" t="str">
        <f>""</f>
        <v/>
      </c>
      <c r="H2416" t="str">
        <f>""</f>
        <v/>
      </c>
      <c r="J2416" t="str">
        <f t="shared" si="57"/>
        <v>BCBS PAYABLE</v>
      </c>
    </row>
    <row r="2417" spans="1:10" x14ac:dyDescent="0.3">
      <c r="A2417" t="str">
        <f>""</f>
        <v/>
      </c>
      <c r="B2417" t="str">
        <f>""</f>
        <v/>
      </c>
      <c r="G2417" t="str">
        <f>""</f>
        <v/>
      </c>
      <c r="H2417" t="str">
        <f>""</f>
        <v/>
      </c>
      <c r="J2417" t="str">
        <f t="shared" si="57"/>
        <v>BCBS PAYABLE</v>
      </c>
    </row>
    <row r="2418" spans="1:10" x14ac:dyDescent="0.3">
      <c r="A2418" t="str">
        <f>""</f>
        <v/>
      </c>
      <c r="B2418" t="str">
        <f>""</f>
        <v/>
      </c>
      <c r="G2418" t="str">
        <f>""</f>
        <v/>
      </c>
      <c r="H2418" t="str">
        <f>""</f>
        <v/>
      </c>
      <c r="J2418" t="str">
        <f t="shared" si="57"/>
        <v>BCBS PAYABLE</v>
      </c>
    </row>
    <row r="2419" spans="1:10" x14ac:dyDescent="0.3">
      <c r="A2419" t="str">
        <f>""</f>
        <v/>
      </c>
      <c r="B2419" t="str">
        <f>""</f>
        <v/>
      </c>
      <c r="G2419" t="str">
        <f>""</f>
        <v/>
      </c>
      <c r="H2419" t="str">
        <f>""</f>
        <v/>
      </c>
      <c r="J2419" t="str">
        <f t="shared" si="57"/>
        <v>BCBS PAYABLE</v>
      </c>
    </row>
    <row r="2420" spans="1:10" x14ac:dyDescent="0.3">
      <c r="A2420" t="str">
        <f>""</f>
        <v/>
      </c>
      <c r="B2420" t="str">
        <f>""</f>
        <v/>
      </c>
      <c r="G2420" t="str">
        <f>""</f>
        <v/>
      </c>
      <c r="H2420" t="str">
        <f>""</f>
        <v/>
      </c>
      <c r="J2420" t="str">
        <f t="shared" si="57"/>
        <v>BCBS PAYABLE</v>
      </c>
    </row>
    <row r="2421" spans="1:10" x14ac:dyDescent="0.3">
      <c r="A2421" t="str">
        <f>""</f>
        <v/>
      </c>
      <c r="B2421" t="str">
        <f>""</f>
        <v/>
      </c>
      <c r="G2421" t="str">
        <f>""</f>
        <v/>
      </c>
      <c r="H2421" t="str">
        <f>""</f>
        <v/>
      </c>
      <c r="J2421" t="str">
        <f t="shared" si="57"/>
        <v>BCBS PAYABLE</v>
      </c>
    </row>
    <row r="2422" spans="1:10" x14ac:dyDescent="0.3">
      <c r="A2422" t="str">
        <f>""</f>
        <v/>
      </c>
      <c r="B2422" t="str">
        <f>""</f>
        <v/>
      </c>
      <c r="G2422" t="str">
        <f>""</f>
        <v/>
      </c>
      <c r="H2422" t="str">
        <f>""</f>
        <v/>
      </c>
      <c r="J2422" t="str">
        <f t="shared" si="57"/>
        <v>BCBS PAYABLE</v>
      </c>
    </row>
    <row r="2423" spans="1:10" x14ac:dyDescent="0.3">
      <c r="A2423" t="str">
        <f>""</f>
        <v/>
      </c>
      <c r="B2423" t="str">
        <f>""</f>
        <v/>
      </c>
      <c r="G2423" t="str">
        <f>""</f>
        <v/>
      </c>
      <c r="H2423" t="str">
        <f>""</f>
        <v/>
      </c>
      <c r="J2423" t="str">
        <f t="shared" si="57"/>
        <v>BCBS PAYABLE</v>
      </c>
    </row>
    <row r="2424" spans="1:10" x14ac:dyDescent="0.3">
      <c r="A2424" t="str">
        <f>""</f>
        <v/>
      </c>
      <c r="B2424" t="str">
        <f>""</f>
        <v/>
      </c>
      <c r="G2424" t="str">
        <f>""</f>
        <v/>
      </c>
      <c r="H2424" t="str">
        <f>""</f>
        <v/>
      </c>
      <c r="J2424" t="str">
        <f t="shared" si="57"/>
        <v>BCBS PAYABLE</v>
      </c>
    </row>
    <row r="2425" spans="1:10" x14ac:dyDescent="0.3">
      <c r="A2425" t="str">
        <f>""</f>
        <v/>
      </c>
      <c r="B2425" t="str">
        <f>""</f>
        <v/>
      </c>
      <c r="G2425" t="str">
        <f>"2EC201708094187"</f>
        <v>2EC201708094187</v>
      </c>
      <c r="H2425" t="str">
        <f>"BCBS PAYABLE"</f>
        <v>BCBS PAYABLE</v>
      </c>
      <c r="I2425" s="2">
        <v>1709.76</v>
      </c>
      <c r="J2425" t="str">
        <f t="shared" ref="J2425:J2456" si="58">"BCBS PAYABLE"</f>
        <v>BCBS PAYABLE</v>
      </c>
    </row>
    <row r="2426" spans="1:10" x14ac:dyDescent="0.3">
      <c r="A2426" t="str">
        <f>""</f>
        <v/>
      </c>
      <c r="B2426" t="str">
        <f>""</f>
        <v/>
      </c>
      <c r="G2426" t="str">
        <f>""</f>
        <v/>
      </c>
      <c r="H2426" t="str">
        <f>""</f>
        <v/>
      </c>
      <c r="J2426" t="str">
        <f t="shared" si="58"/>
        <v>BCBS PAYABLE</v>
      </c>
    </row>
    <row r="2427" spans="1:10" x14ac:dyDescent="0.3">
      <c r="A2427" t="str">
        <f>""</f>
        <v/>
      </c>
      <c r="B2427" t="str">
        <f>""</f>
        <v/>
      </c>
      <c r="G2427" t="str">
        <f>"2EC201708234445"</f>
        <v>2EC201708234445</v>
      </c>
      <c r="H2427" t="str">
        <f>"BCBS PAYABLE"</f>
        <v>BCBS PAYABLE</v>
      </c>
      <c r="I2427" s="2">
        <v>42433.02</v>
      </c>
      <c r="J2427" t="str">
        <f t="shared" si="58"/>
        <v>BCBS PAYABLE</v>
      </c>
    </row>
    <row r="2428" spans="1:10" x14ac:dyDescent="0.3">
      <c r="A2428" t="str">
        <f>""</f>
        <v/>
      </c>
      <c r="B2428" t="str">
        <f>""</f>
        <v/>
      </c>
      <c r="G2428" t="str">
        <f>""</f>
        <v/>
      </c>
      <c r="H2428" t="str">
        <f>""</f>
        <v/>
      </c>
      <c r="J2428" t="str">
        <f t="shared" si="58"/>
        <v>BCBS PAYABLE</v>
      </c>
    </row>
    <row r="2429" spans="1:10" x14ac:dyDescent="0.3">
      <c r="A2429" t="str">
        <f>""</f>
        <v/>
      </c>
      <c r="B2429" t="str">
        <f>""</f>
        <v/>
      </c>
      <c r="G2429" t="str">
        <f>""</f>
        <v/>
      </c>
      <c r="H2429" t="str">
        <f>""</f>
        <v/>
      </c>
      <c r="J2429" t="str">
        <f t="shared" si="58"/>
        <v>BCBS PAYABLE</v>
      </c>
    </row>
    <row r="2430" spans="1:10" x14ac:dyDescent="0.3">
      <c r="A2430" t="str">
        <f>""</f>
        <v/>
      </c>
      <c r="B2430" t="str">
        <f>""</f>
        <v/>
      </c>
      <c r="G2430" t="str">
        <f>""</f>
        <v/>
      </c>
      <c r="H2430" t="str">
        <f>""</f>
        <v/>
      </c>
      <c r="J2430" t="str">
        <f t="shared" si="58"/>
        <v>BCBS PAYABLE</v>
      </c>
    </row>
    <row r="2431" spans="1:10" x14ac:dyDescent="0.3">
      <c r="A2431" t="str">
        <f>""</f>
        <v/>
      </c>
      <c r="B2431" t="str">
        <f>""</f>
        <v/>
      </c>
      <c r="G2431" t="str">
        <f>""</f>
        <v/>
      </c>
      <c r="H2431" t="str">
        <f>""</f>
        <v/>
      </c>
      <c r="J2431" t="str">
        <f t="shared" si="58"/>
        <v>BCBS PAYABLE</v>
      </c>
    </row>
    <row r="2432" spans="1:10" x14ac:dyDescent="0.3">
      <c r="A2432" t="str">
        <f>""</f>
        <v/>
      </c>
      <c r="B2432" t="str">
        <f>""</f>
        <v/>
      </c>
      <c r="G2432" t="str">
        <f>""</f>
        <v/>
      </c>
      <c r="H2432" t="str">
        <f>""</f>
        <v/>
      </c>
      <c r="J2432" t="str">
        <f t="shared" si="58"/>
        <v>BCBS PAYABLE</v>
      </c>
    </row>
    <row r="2433" spans="1:10" x14ac:dyDescent="0.3">
      <c r="A2433" t="str">
        <f>""</f>
        <v/>
      </c>
      <c r="B2433" t="str">
        <f>""</f>
        <v/>
      </c>
      <c r="G2433" t="str">
        <f>""</f>
        <v/>
      </c>
      <c r="H2433" t="str">
        <f>""</f>
        <v/>
      </c>
      <c r="J2433" t="str">
        <f t="shared" si="58"/>
        <v>BCBS PAYABLE</v>
      </c>
    </row>
    <row r="2434" spans="1:10" x14ac:dyDescent="0.3">
      <c r="A2434" t="str">
        <f>""</f>
        <v/>
      </c>
      <c r="B2434" t="str">
        <f>""</f>
        <v/>
      </c>
      <c r="G2434" t="str">
        <f>""</f>
        <v/>
      </c>
      <c r="H2434" t="str">
        <f>""</f>
        <v/>
      </c>
      <c r="J2434" t="str">
        <f t="shared" si="58"/>
        <v>BCBS PAYABLE</v>
      </c>
    </row>
    <row r="2435" spans="1:10" x14ac:dyDescent="0.3">
      <c r="A2435" t="str">
        <f>""</f>
        <v/>
      </c>
      <c r="B2435" t="str">
        <f>""</f>
        <v/>
      </c>
      <c r="G2435" t="str">
        <f>""</f>
        <v/>
      </c>
      <c r="H2435" t="str">
        <f>""</f>
        <v/>
      </c>
      <c r="J2435" t="str">
        <f t="shared" si="58"/>
        <v>BCBS PAYABLE</v>
      </c>
    </row>
    <row r="2436" spans="1:10" x14ac:dyDescent="0.3">
      <c r="A2436" t="str">
        <f>""</f>
        <v/>
      </c>
      <c r="B2436" t="str">
        <f>""</f>
        <v/>
      </c>
      <c r="G2436" t="str">
        <f>""</f>
        <v/>
      </c>
      <c r="H2436" t="str">
        <f>""</f>
        <v/>
      </c>
      <c r="J2436" t="str">
        <f t="shared" si="58"/>
        <v>BCBS PAYABLE</v>
      </c>
    </row>
    <row r="2437" spans="1:10" x14ac:dyDescent="0.3">
      <c r="A2437" t="str">
        <f>""</f>
        <v/>
      </c>
      <c r="B2437" t="str">
        <f>""</f>
        <v/>
      </c>
      <c r="G2437" t="str">
        <f>""</f>
        <v/>
      </c>
      <c r="H2437" t="str">
        <f>""</f>
        <v/>
      </c>
      <c r="J2437" t="str">
        <f t="shared" si="58"/>
        <v>BCBS PAYABLE</v>
      </c>
    </row>
    <row r="2438" spans="1:10" x14ac:dyDescent="0.3">
      <c r="A2438" t="str">
        <f>""</f>
        <v/>
      </c>
      <c r="B2438" t="str">
        <f>""</f>
        <v/>
      </c>
      <c r="G2438" t="str">
        <f>""</f>
        <v/>
      </c>
      <c r="H2438" t="str">
        <f>""</f>
        <v/>
      </c>
      <c r="J2438" t="str">
        <f t="shared" si="58"/>
        <v>BCBS PAYABLE</v>
      </c>
    </row>
    <row r="2439" spans="1:10" x14ac:dyDescent="0.3">
      <c r="A2439" t="str">
        <f>""</f>
        <v/>
      </c>
      <c r="B2439" t="str">
        <f>""</f>
        <v/>
      </c>
      <c r="G2439" t="str">
        <f>""</f>
        <v/>
      </c>
      <c r="H2439" t="str">
        <f>""</f>
        <v/>
      </c>
      <c r="J2439" t="str">
        <f t="shared" si="58"/>
        <v>BCBS PAYABLE</v>
      </c>
    </row>
    <row r="2440" spans="1:10" x14ac:dyDescent="0.3">
      <c r="A2440" t="str">
        <f>""</f>
        <v/>
      </c>
      <c r="B2440" t="str">
        <f>""</f>
        <v/>
      </c>
      <c r="G2440" t="str">
        <f>""</f>
        <v/>
      </c>
      <c r="H2440" t="str">
        <f>""</f>
        <v/>
      </c>
      <c r="J2440" t="str">
        <f t="shared" si="58"/>
        <v>BCBS PAYABLE</v>
      </c>
    </row>
    <row r="2441" spans="1:10" x14ac:dyDescent="0.3">
      <c r="A2441" t="str">
        <f>""</f>
        <v/>
      </c>
      <c r="B2441" t="str">
        <f>""</f>
        <v/>
      </c>
      <c r="G2441" t="str">
        <f>""</f>
        <v/>
      </c>
      <c r="H2441" t="str">
        <f>""</f>
        <v/>
      </c>
      <c r="J2441" t="str">
        <f t="shared" si="58"/>
        <v>BCBS PAYABLE</v>
      </c>
    </row>
    <row r="2442" spans="1:10" x14ac:dyDescent="0.3">
      <c r="A2442" t="str">
        <f>""</f>
        <v/>
      </c>
      <c r="B2442" t="str">
        <f>""</f>
        <v/>
      </c>
      <c r="G2442" t="str">
        <f>""</f>
        <v/>
      </c>
      <c r="H2442" t="str">
        <f>""</f>
        <v/>
      </c>
      <c r="J2442" t="str">
        <f t="shared" si="58"/>
        <v>BCBS PAYABLE</v>
      </c>
    </row>
    <row r="2443" spans="1:10" x14ac:dyDescent="0.3">
      <c r="A2443" t="str">
        <f>""</f>
        <v/>
      </c>
      <c r="B2443" t="str">
        <f>""</f>
        <v/>
      </c>
      <c r="G2443" t="str">
        <f>""</f>
        <v/>
      </c>
      <c r="H2443" t="str">
        <f>""</f>
        <v/>
      </c>
      <c r="J2443" t="str">
        <f t="shared" si="58"/>
        <v>BCBS PAYABLE</v>
      </c>
    </row>
    <row r="2444" spans="1:10" x14ac:dyDescent="0.3">
      <c r="A2444" t="str">
        <f>""</f>
        <v/>
      </c>
      <c r="B2444" t="str">
        <f>""</f>
        <v/>
      </c>
      <c r="G2444" t="str">
        <f>""</f>
        <v/>
      </c>
      <c r="H2444" t="str">
        <f>""</f>
        <v/>
      </c>
      <c r="J2444" t="str">
        <f t="shared" si="58"/>
        <v>BCBS PAYABLE</v>
      </c>
    </row>
    <row r="2445" spans="1:10" x14ac:dyDescent="0.3">
      <c r="A2445" t="str">
        <f>""</f>
        <v/>
      </c>
      <c r="B2445" t="str">
        <f>""</f>
        <v/>
      </c>
      <c r="G2445" t="str">
        <f>""</f>
        <v/>
      </c>
      <c r="H2445" t="str">
        <f>""</f>
        <v/>
      </c>
      <c r="J2445" t="str">
        <f t="shared" si="58"/>
        <v>BCBS PAYABLE</v>
      </c>
    </row>
    <row r="2446" spans="1:10" x14ac:dyDescent="0.3">
      <c r="A2446" t="str">
        <f>""</f>
        <v/>
      </c>
      <c r="B2446" t="str">
        <f>""</f>
        <v/>
      </c>
      <c r="G2446" t="str">
        <f>""</f>
        <v/>
      </c>
      <c r="H2446" t="str">
        <f>""</f>
        <v/>
      </c>
      <c r="J2446" t="str">
        <f t="shared" si="58"/>
        <v>BCBS PAYABLE</v>
      </c>
    </row>
    <row r="2447" spans="1:10" x14ac:dyDescent="0.3">
      <c r="A2447" t="str">
        <f>""</f>
        <v/>
      </c>
      <c r="B2447" t="str">
        <f>""</f>
        <v/>
      </c>
      <c r="G2447" t="str">
        <f>""</f>
        <v/>
      </c>
      <c r="H2447" t="str">
        <f>""</f>
        <v/>
      </c>
      <c r="J2447" t="str">
        <f t="shared" si="58"/>
        <v>BCBS PAYABLE</v>
      </c>
    </row>
    <row r="2448" spans="1:10" x14ac:dyDescent="0.3">
      <c r="A2448" t="str">
        <f>""</f>
        <v/>
      </c>
      <c r="B2448" t="str">
        <f>""</f>
        <v/>
      </c>
      <c r="G2448" t="str">
        <f>""</f>
        <v/>
      </c>
      <c r="H2448" t="str">
        <f>""</f>
        <v/>
      </c>
      <c r="J2448" t="str">
        <f t="shared" si="58"/>
        <v>BCBS PAYABLE</v>
      </c>
    </row>
    <row r="2449" spans="1:10" x14ac:dyDescent="0.3">
      <c r="A2449" t="str">
        <f>""</f>
        <v/>
      </c>
      <c r="B2449" t="str">
        <f>""</f>
        <v/>
      </c>
      <c r="G2449" t="str">
        <f>""</f>
        <v/>
      </c>
      <c r="H2449" t="str">
        <f>""</f>
        <v/>
      </c>
      <c r="J2449" t="str">
        <f t="shared" si="58"/>
        <v>BCBS PAYABLE</v>
      </c>
    </row>
    <row r="2450" spans="1:10" x14ac:dyDescent="0.3">
      <c r="A2450" t="str">
        <f>""</f>
        <v/>
      </c>
      <c r="B2450" t="str">
        <f>""</f>
        <v/>
      </c>
      <c r="G2450" t="str">
        <f>""</f>
        <v/>
      </c>
      <c r="H2450" t="str">
        <f>""</f>
        <v/>
      </c>
      <c r="J2450" t="str">
        <f t="shared" si="58"/>
        <v>BCBS PAYABLE</v>
      </c>
    </row>
    <row r="2451" spans="1:10" x14ac:dyDescent="0.3">
      <c r="A2451" t="str">
        <f>""</f>
        <v/>
      </c>
      <c r="B2451" t="str">
        <f>""</f>
        <v/>
      </c>
      <c r="G2451" t="str">
        <f>""</f>
        <v/>
      </c>
      <c r="H2451" t="str">
        <f>""</f>
        <v/>
      </c>
      <c r="J2451" t="str">
        <f t="shared" si="58"/>
        <v>BCBS PAYABLE</v>
      </c>
    </row>
    <row r="2452" spans="1:10" x14ac:dyDescent="0.3">
      <c r="A2452" t="str">
        <f>""</f>
        <v/>
      </c>
      <c r="B2452" t="str">
        <f>""</f>
        <v/>
      </c>
      <c r="G2452" t="str">
        <f>""</f>
        <v/>
      </c>
      <c r="H2452" t="str">
        <f>""</f>
        <v/>
      </c>
      <c r="J2452" t="str">
        <f t="shared" si="58"/>
        <v>BCBS PAYABLE</v>
      </c>
    </row>
    <row r="2453" spans="1:10" x14ac:dyDescent="0.3">
      <c r="A2453" t="str">
        <f>""</f>
        <v/>
      </c>
      <c r="B2453" t="str">
        <f>""</f>
        <v/>
      </c>
      <c r="G2453" t="str">
        <f>""</f>
        <v/>
      </c>
      <c r="H2453" t="str">
        <f>""</f>
        <v/>
      </c>
      <c r="J2453" t="str">
        <f t="shared" si="58"/>
        <v>BCBS PAYABLE</v>
      </c>
    </row>
    <row r="2454" spans="1:10" x14ac:dyDescent="0.3">
      <c r="A2454" t="str">
        <f>""</f>
        <v/>
      </c>
      <c r="B2454" t="str">
        <f>""</f>
        <v/>
      </c>
      <c r="G2454" t="str">
        <f>""</f>
        <v/>
      </c>
      <c r="H2454" t="str">
        <f>""</f>
        <v/>
      </c>
      <c r="J2454" t="str">
        <f t="shared" si="58"/>
        <v>BCBS PAYABLE</v>
      </c>
    </row>
    <row r="2455" spans="1:10" x14ac:dyDescent="0.3">
      <c r="A2455" t="str">
        <f>""</f>
        <v/>
      </c>
      <c r="B2455" t="str">
        <f>""</f>
        <v/>
      </c>
      <c r="G2455" t="str">
        <f>""</f>
        <v/>
      </c>
      <c r="H2455" t="str">
        <f>""</f>
        <v/>
      </c>
      <c r="J2455" t="str">
        <f t="shared" si="58"/>
        <v>BCBS PAYABLE</v>
      </c>
    </row>
    <row r="2456" spans="1:10" x14ac:dyDescent="0.3">
      <c r="A2456" t="str">
        <f>""</f>
        <v/>
      </c>
      <c r="B2456" t="str">
        <f>""</f>
        <v/>
      </c>
      <c r="G2456" t="str">
        <f>""</f>
        <v/>
      </c>
      <c r="H2456" t="str">
        <f>""</f>
        <v/>
      </c>
      <c r="J2456" t="str">
        <f t="shared" si="58"/>
        <v>BCBS PAYABLE</v>
      </c>
    </row>
    <row r="2457" spans="1:10" x14ac:dyDescent="0.3">
      <c r="A2457" t="str">
        <f>""</f>
        <v/>
      </c>
      <c r="B2457" t="str">
        <f>""</f>
        <v/>
      </c>
      <c r="G2457" t="str">
        <f>""</f>
        <v/>
      </c>
      <c r="H2457" t="str">
        <f>""</f>
        <v/>
      </c>
      <c r="J2457" t="str">
        <f t="shared" ref="J2457:J2488" si="59">"BCBS PAYABLE"</f>
        <v>BCBS PAYABLE</v>
      </c>
    </row>
    <row r="2458" spans="1:10" x14ac:dyDescent="0.3">
      <c r="A2458" t="str">
        <f>""</f>
        <v/>
      </c>
      <c r="B2458" t="str">
        <f>""</f>
        <v/>
      </c>
      <c r="G2458" t="str">
        <f>""</f>
        <v/>
      </c>
      <c r="H2458" t="str">
        <f>""</f>
        <v/>
      </c>
      <c r="J2458" t="str">
        <f t="shared" si="59"/>
        <v>BCBS PAYABLE</v>
      </c>
    </row>
    <row r="2459" spans="1:10" x14ac:dyDescent="0.3">
      <c r="A2459" t="str">
        <f>""</f>
        <v/>
      </c>
      <c r="B2459" t="str">
        <f>""</f>
        <v/>
      </c>
      <c r="G2459" t="str">
        <f>"2EC201708244446"</f>
        <v>2EC201708244446</v>
      </c>
      <c r="H2459" t="str">
        <f>"BCBS PAYABLE"</f>
        <v>BCBS PAYABLE</v>
      </c>
      <c r="I2459" s="2">
        <v>1709.76</v>
      </c>
      <c r="J2459" t="str">
        <f t="shared" si="59"/>
        <v>BCBS PAYABLE</v>
      </c>
    </row>
    <row r="2460" spans="1:10" x14ac:dyDescent="0.3">
      <c r="A2460" t="str">
        <f>""</f>
        <v/>
      </c>
      <c r="B2460" t="str">
        <f>""</f>
        <v/>
      </c>
      <c r="G2460" t="str">
        <f>""</f>
        <v/>
      </c>
      <c r="H2460" t="str">
        <f>""</f>
        <v/>
      </c>
      <c r="J2460" t="str">
        <f t="shared" si="59"/>
        <v>BCBS PAYABLE</v>
      </c>
    </row>
    <row r="2461" spans="1:10" x14ac:dyDescent="0.3">
      <c r="A2461" t="str">
        <f>""</f>
        <v/>
      </c>
      <c r="B2461" t="str">
        <f>""</f>
        <v/>
      </c>
      <c r="G2461" t="str">
        <f>"2EF201708094186"</f>
        <v>2EF201708094186</v>
      </c>
      <c r="H2461" t="str">
        <f>"BCBS PAYABLE"</f>
        <v>BCBS PAYABLE</v>
      </c>
      <c r="I2461" s="2">
        <v>2548.1999999999998</v>
      </c>
      <c r="J2461" t="str">
        <f t="shared" si="59"/>
        <v>BCBS PAYABLE</v>
      </c>
    </row>
    <row r="2462" spans="1:10" x14ac:dyDescent="0.3">
      <c r="A2462" t="str">
        <f>""</f>
        <v/>
      </c>
      <c r="B2462" t="str">
        <f>""</f>
        <v/>
      </c>
      <c r="G2462" t="str">
        <f>""</f>
        <v/>
      </c>
      <c r="H2462" t="str">
        <f>""</f>
        <v/>
      </c>
      <c r="J2462" t="str">
        <f t="shared" si="59"/>
        <v>BCBS PAYABLE</v>
      </c>
    </row>
    <row r="2463" spans="1:10" x14ac:dyDescent="0.3">
      <c r="A2463" t="str">
        <f>""</f>
        <v/>
      </c>
      <c r="B2463" t="str">
        <f>""</f>
        <v/>
      </c>
      <c r="G2463" t="str">
        <f>""</f>
        <v/>
      </c>
      <c r="H2463" t="str">
        <f>""</f>
        <v/>
      </c>
      <c r="J2463" t="str">
        <f t="shared" si="59"/>
        <v>BCBS PAYABLE</v>
      </c>
    </row>
    <row r="2464" spans="1:10" x14ac:dyDescent="0.3">
      <c r="A2464" t="str">
        <f>""</f>
        <v/>
      </c>
      <c r="B2464" t="str">
        <f>""</f>
        <v/>
      </c>
      <c r="G2464" t="str">
        <f>""</f>
        <v/>
      </c>
      <c r="H2464" t="str">
        <f>""</f>
        <v/>
      </c>
      <c r="J2464" t="str">
        <f t="shared" si="59"/>
        <v>BCBS PAYABLE</v>
      </c>
    </row>
    <row r="2465" spans="1:10" x14ac:dyDescent="0.3">
      <c r="A2465" t="str">
        <f>""</f>
        <v/>
      </c>
      <c r="B2465" t="str">
        <f>""</f>
        <v/>
      </c>
      <c r="G2465" t="str">
        <f>"2EF201708234445"</f>
        <v>2EF201708234445</v>
      </c>
      <c r="H2465" t="str">
        <f>"BCBS PAYABLE"</f>
        <v>BCBS PAYABLE</v>
      </c>
      <c r="I2465" s="2">
        <v>3752.31</v>
      </c>
      <c r="J2465" t="str">
        <f t="shared" si="59"/>
        <v>BCBS PAYABLE</v>
      </c>
    </row>
    <row r="2466" spans="1:10" x14ac:dyDescent="0.3">
      <c r="A2466" t="str">
        <f>""</f>
        <v/>
      </c>
      <c r="B2466" t="str">
        <f>""</f>
        <v/>
      </c>
      <c r="G2466" t="str">
        <f>""</f>
        <v/>
      </c>
      <c r="H2466" t="str">
        <f>""</f>
        <v/>
      </c>
      <c r="J2466" t="str">
        <f t="shared" si="59"/>
        <v>BCBS PAYABLE</v>
      </c>
    </row>
    <row r="2467" spans="1:10" x14ac:dyDescent="0.3">
      <c r="A2467" t="str">
        <f>""</f>
        <v/>
      </c>
      <c r="B2467" t="str">
        <f>""</f>
        <v/>
      </c>
      <c r="G2467" t="str">
        <f>""</f>
        <v/>
      </c>
      <c r="H2467" t="str">
        <f>""</f>
        <v/>
      </c>
      <c r="J2467" t="str">
        <f t="shared" si="59"/>
        <v>BCBS PAYABLE</v>
      </c>
    </row>
    <row r="2468" spans="1:10" x14ac:dyDescent="0.3">
      <c r="A2468" t="str">
        <f>""</f>
        <v/>
      </c>
      <c r="B2468" t="str">
        <f>""</f>
        <v/>
      </c>
      <c r="G2468" t="str">
        <f>""</f>
        <v/>
      </c>
      <c r="H2468" t="str">
        <f>""</f>
        <v/>
      </c>
      <c r="J2468" t="str">
        <f t="shared" si="59"/>
        <v>BCBS PAYABLE</v>
      </c>
    </row>
    <row r="2469" spans="1:10" x14ac:dyDescent="0.3">
      <c r="A2469" t="str">
        <f>""</f>
        <v/>
      </c>
      <c r="B2469" t="str">
        <f>""</f>
        <v/>
      </c>
      <c r="G2469" t="str">
        <f>""</f>
        <v/>
      </c>
      <c r="H2469" t="str">
        <f>""</f>
        <v/>
      </c>
      <c r="J2469" t="str">
        <f t="shared" si="59"/>
        <v>BCBS PAYABLE</v>
      </c>
    </row>
    <row r="2470" spans="1:10" x14ac:dyDescent="0.3">
      <c r="A2470" t="str">
        <f>""</f>
        <v/>
      </c>
      <c r="B2470" t="str">
        <f>""</f>
        <v/>
      </c>
      <c r="G2470" t="str">
        <f>"2EO201708094186"</f>
        <v>2EO201708094186</v>
      </c>
      <c r="H2470" t="str">
        <f>"BCBS PAYABLE"</f>
        <v>BCBS PAYABLE</v>
      </c>
      <c r="I2470" s="2">
        <v>85830.48</v>
      </c>
      <c r="J2470" t="str">
        <f t="shared" si="59"/>
        <v>BCBS PAYABLE</v>
      </c>
    </row>
    <row r="2471" spans="1:10" x14ac:dyDescent="0.3">
      <c r="A2471" t="str">
        <f>""</f>
        <v/>
      </c>
      <c r="B2471" t="str">
        <f>""</f>
        <v/>
      </c>
      <c r="G2471" t="str">
        <f>""</f>
        <v/>
      </c>
      <c r="H2471" t="str">
        <f>""</f>
        <v/>
      </c>
      <c r="J2471" t="str">
        <f t="shared" si="59"/>
        <v>BCBS PAYABLE</v>
      </c>
    </row>
    <row r="2472" spans="1:10" x14ac:dyDescent="0.3">
      <c r="A2472" t="str">
        <f>""</f>
        <v/>
      </c>
      <c r="B2472" t="str">
        <f>""</f>
        <v/>
      </c>
      <c r="G2472" t="str">
        <f>""</f>
        <v/>
      </c>
      <c r="H2472" t="str">
        <f>""</f>
        <v/>
      </c>
      <c r="J2472" t="str">
        <f t="shared" si="59"/>
        <v>BCBS PAYABLE</v>
      </c>
    </row>
    <row r="2473" spans="1:10" x14ac:dyDescent="0.3">
      <c r="A2473" t="str">
        <f>""</f>
        <v/>
      </c>
      <c r="B2473" t="str">
        <f>""</f>
        <v/>
      </c>
      <c r="G2473" t="str">
        <f>""</f>
        <v/>
      </c>
      <c r="H2473" t="str">
        <f>""</f>
        <v/>
      </c>
      <c r="J2473" t="str">
        <f t="shared" si="59"/>
        <v>BCBS PAYABLE</v>
      </c>
    </row>
    <row r="2474" spans="1:10" x14ac:dyDescent="0.3">
      <c r="A2474" t="str">
        <f>""</f>
        <v/>
      </c>
      <c r="B2474" t="str">
        <f>""</f>
        <v/>
      </c>
      <c r="G2474" t="str">
        <f>""</f>
        <v/>
      </c>
      <c r="H2474" t="str">
        <f>""</f>
        <v/>
      </c>
      <c r="J2474" t="str">
        <f t="shared" si="59"/>
        <v>BCBS PAYABLE</v>
      </c>
    </row>
    <row r="2475" spans="1:10" x14ac:dyDescent="0.3">
      <c r="A2475" t="str">
        <f>""</f>
        <v/>
      </c>
      <c r="B2475" t="str">
        <f>""</f>
        <v/>
      </c>
      <c r="G2475" t="str">
        <f>""</f>
        <v/>
      </c>
      <c r="H2475" t="str">
        <f>""</f>
        <v/>
      </c>
      <c r="J2475" t="str">
        <f t="shared" si="59"/>
        <v>BCBS PAYABLE</v>
      </c>
    </row>
    <row r="2476" spans="1:10" x14ac:dyDescent="0.3">
      <c r="A2476" t="str">
        <f>""</f>
        <v/>
      </c>
      <c r="B2476" t="str">
        <f>""</f>
        <v/>
      </c>
      <c r="G2476" t="str">
        <f>""</f>
        <v/>
      </c>
      <c r="H2476" t="str">
        <f>""</f>
        <v/>
      </c>
      <c r="J2476" t="str">
        <f t="shared" si="59"/>
        <v>BCBS PAYABLE</v>
      </c>
    </row>
    <row r="2477" spans="1:10" x14ac:dyDescent="0.3">
      <c r="A2477" t="str">
        <f>""</f>
        <v/>
      </c>
      <c r="B2477" t="str">
        <f>""</f>
        <v/>
      </c>
      <c r="G2477" t="str">
        <f>""</f>
        <v/>
      </c>
      <c r="H2477" t="str">
        <f>""</f>
        <v/>
      </c>
      <c r="J2477" t="str">
        <f t="shared" si="59"/>
        <v>BCBS PAYABLE</v>
      </c>
    </row>
    <row r="2478" spans="1:10" x14ac:dyDescent="0.3">
      <c r="A2478" t="str">
        <f>""</f>
        <v/>
      </c>
      <c r="B2478" t="str">
        <f>""</f>
        <v/>
      </c>
      <c r="G2478" t="str">
        <f>""</f>
        <v/>
      </c>
      <c r="H2478" t="str">
        <f>""</f>
        <v/>
      </c>
      <c r="J2478" t="str">
        <f t="shared" si="59"/>
        <v>BCBS PAYABLE</v>
      </c>
    </row>
    <row r="2479" spans="1:10" x14ac:dyDescent="0.3">
      <c r="A2479" t="str">
        <f>""</f>
        <v/>
      </c>
      <c r="B2479" t="str">
        <f>""</f>
        <v/>
      </c>
      <c r="G2479" t="str">
        <f>""</f>
        <v/>
      </c>
      <c r="H2479" t="str">
        <f>""</f>
        <v/>
      </c>
      <c r="J2479" t="str">
        <f t="shared" si="59"/>
        <v>BCBS PAYABLE</v>
      </c>
    </row>
    <row r="2480" spans="1:10" x14ac:dyDescent="0.3">
      <c r="A2480" t="str">
        <f>""</f>
        <v/>
      </c>
      <c r="B2480" t="str">
        <f>""</f>
        <v/>
      </c>
      <c r="G2480" t="str">
        <f>""</f>
        <v/>
      </c>
      <c r="H2480" t="str">
        <f>""</f>
        <v/>
      </c>
      <c r="J2480" t="str">
        <f t="shared" si="59"/>
        <v>BCBS PAYABLE</v>
      </c>
    </row>
    <row r="2481" spans="1:10" x14ac:dyDescent="0.3">
      <c r="A2481" t="str">
        <f>""</f>
        <v/>
      </c>
      <c r="B2481" t="str">
        <f>""</f>
        <v/>
      </c>
      <c r="G2481" t="str">
        <f>""</f>
        <v/>
      </c>
      <c r="H2481" t="str">
        <f>""</f>
        <v/>
      </c>
      <c r="J2481" t="str">
        <f t="shared" si="59"/>
        <v>BCBS PAYABLE</v>
      </c>
    </row>
    <row r="2482" spans="1:10" x14ac:dyDescent="0.3">
      <c r="A2482" t="str">
        <f>""</f>
        <v/>
      </c>
      <c r="B2482" t="str">
        <f>""</f>
        <v/>
      </c>
      <c r="G2482" t="str">
        <f>""</f>
        <v/>
      </c>
      <c r="H2482" t="str">
        <f>""</f>
        <v/>
      </c>
      <c r="J2482" t="str">
        <f t="shared" si="59"/>
        <v>BCBS PAYABLE</v>
      </c>
    </row>
    <row r="2483" spans="1:10" x14ac:dyDescent="0.3">
      <c r="A2483" t="str">
        <f>""</f>
        <v/>
      </c>
      <c r="B2483" t="str">
        <f>""</f>
        <v/>
      </c>
      <c r="G2483" t="str">
        <f>""</f>
        <v/>
      </c>
      <c r="H2483" t="str">
        <f>""</f>
        <v/>
      </c>
      <c r="J2483" t="str">
        <f t="shared" si="59"/>
        <v>BCBS PAYABLE</v>
      </c>
    </row>
    <row r="2484" spans="1:10" x14ac:dyDescent="0.3">
      <c r="A2484" t="str">
        <f>""</f>
        <v/>
      </c>
      <c r="B2484" t="str">
        <f>""</f>
        <v/>
      </c>
      <c r="G2484" t="str">
        <f>""</f>
        <v/>
      </c>
      <c r="H2484" t="str">
        <f>""</f>
        <v/>
      </c>
      <c r="J2484" t="str">
        <f t="shared" si="59"/>
        <v>BCBS PAYABLE</v>
      </c>
    </row>
    <row r="2485" spans="1:10" x14ac:dyDescent="0.3">
      <c r="A2485" t="str">
        <f>""</f>
        <v/>
      </c>
      <c r="B2485" t="str">
        <f>""</f>
        <v/>
      </c>
      <c r="G2485" t="str">
        <f>""</f>
        <v/>
      </c>
      <c r="H2485" t="str">
        <f>""</f>
        <v/>
      </c>
      <c r="J2485" t="str">
        <f t="shared" si="59"/>
        <v>BCBS PAYABLE</v>
      </c>
    </row>
    <row r="2486" spans="1:10" x14ac:dyDescent="0.3">
      <c r="A2486" t="str">
        <f>""</f>
        <v/>
      </c>
      <c r="B2486" t="str">
        <f>""</f>
        <v/>
      </c>
      <c r="G2486" t="str">
        <f>""</f>
        <v/>
      </c>
      <c r="H2486" t="str">
        <f>""</f>
        <v/>
      </c>
      <c r="J2486" t="str">
        <f t="shared" si="59"/>
        <v>BCBS PAYABLE</v>
      </c>
    </row>
    <row r="2487" spans="1:10" x14ac:dyDescent="0.3">
      <c r="A2487" t="str">
        <f>""</f>
        <v/>
      </c>
      <c r="B2487" t="str">
        <f>""</f>
        <v/>
      </c>
      <c r="G2487" t="str">
        <f>""</f>
        <v/>
      </c>
      <c r="H2487" t="str">
        <f>""</f>
        <v/>
      </c>
      <c r="J2487" t="str">
        <f t="shared" si="59"/>
        <v>BCBS PAYABLE</v>
      </c>
    </row>
    <row r="2488" spans="1:10" x14ac:dyDescent="0.3">
      <c r="A2488" t="str">
        <f>""</f>
        <v/>
      </c>
      <c r="B2488" t="str">
        <f>""</f>
        <v/>
      </c>
      <c r="G2488" t="str">
        <f>""</f>
        <v/>
      </c>
      <c r="H2488" t="str">
        <f>""</f>
        <v/>
      </c>
      <c r="J2488" t="str">
        <f t="shared" si="59"/>
        <v>BCBS PAYABLE</v>
      </c>
    </row>
    <row r="2489" spans="1:10" x14ac:dyDescent="0.3">
      <c r="A2489" t="str">
        <f>""</f>
        <v/>
      </c>
      <c r="B2489" t="str">
        <f>""</f>
        <v/>
      </c>
      <c r="G2489" t="str">
        <f>""</f>
        <v/>
      </c>
      <c r="H2489" t="str">
        <f>""</f>
        <v/>
      </c>
      <c r="J2489" t="str">
        <f t="shared" ref="J2489:J2520" si="60">"BCBS PAYABLE"</f>
        <v>BCBS PAYABLE</v>
      </c>
    </row>
    <row r="2490" spans="1:10" x14ac:dyDescent="0.3">
      <c r="A2490" t="str">
        <f>""</f>
        <v/>
      </c>
      <c r="B2490" t="str">
        <f>""</f>
        <v/>
      </c>
      <c r="G2490" t="str">
        <f>""</f>
        <v/>
      </c>
      <c r="H2490" t="str">
        <f>""</f>
        <v/>
      </c>
      <c r="J2490" t="str">
        <f t="shared" si="60"/>
        <v>BCBS PAYABLE</v>
      </c>
    </row>
    <row r="2491" spans="1:10" x14ac:dyDescent="0.3">
      <c r="A2491" t="str">
        <f>""</f>
        <v/>
      </c>
      <c r="B2491" t="str">
        <f>""</f>
        <v/>
      </c>
      <c r="G2491" t="str">
        <f>""</f>
        <v/>
      </c>
      <c r="H2491" t="str">
        <f>""</f>
        <v/>
      </c>
      <c r="J2491" t="str">
        <f t="shared" si="60"/>
        <v>BCBS PAYABLE</v>
      </c>
    </row>
    <row r="2492" spans="1:10" x14ac:dyDescent="0.3">
      <c r="A2492" t="str">
        <f>""</f>
        <v/>
      </c>
      <c r="B2492" t="str">
        <f>""</f>
        <v/>
      </c>
      <c r="G2492" t="str">
        <f>""</f>
        <v/>
      </c>
      <c r="H2492" t="str">
        <f>""</f>
        <v/>
      </c>
      <c r="J2492" t="str">
        <f t="shared" si="60"/>
        <v>BCBS PAYABLE</v>
      </c>
    </row>
    <row r="2493" spans="1:10" x14ac:dyDescent="0.3">
      <c r="A2493" t="str">
        <f>""</f>
        <v/>
      </c>
      <c r="B2493" t="str">
        <f>""</f>
        <v/>
      </c>
      <c r="G2493" t="str">
        <f>""</f>
        <v/>
      </c>
      <c r="H2493" t="str">
        <f>""</f>
        <v/>
      </c>
      <c r="J2493" t="str">
        <f t="shared" si="60"/>
        <v>BCBS PAYABLE</v>
      </c>
    </row>
    <row r="2494" spans="1:10" x14ac:dyDescent="0.3">
      <c r="A2494" t="str">
        <f>""</f>
        <v/>
      </c>
      <c r="B2494" t="str">
        <f>""</f>
        <v/>
      </c>
      <c r="G2494" t="str">
        <f>""</f>
        <v/>
      </c>
      <c r="H2494" t="str">
        <f>""</f>
        <v/>
      </c>
      <c r="J2494" t="str">
        <f t="shared" si="60"/>
        <v>BCBS PAYABLE</v>
      </c>
    </row>
    <row r="2495" spans="1:10" x14ac:dyDescent="0.3">
      <c r="A2495" t="str">
        <f>""</f>
        <v/>
      </c>
      <c r="B2495" t="str">
        <f>""</f>
        <v/>
      </c>
      <c r="G2495" t="str">
        <f>""</f>
        <v/>
      </c>
      <c r="H2495" t="str">
        <f>""</f>
        <v/>
      </c>
      <c r="J2495" t="str">
        <f t="shared" si="60"/>
        <v>BCBS PAYABLE</v>
      </c>
    </row>
    <row r="2496" spans="1:10" x14ac:dyDescent="0.3">
      <c r="A2496" t="str">
        <f>""</f>
        <v/>
      </c>
      <c r="B2496" t="str">
        <f>""</f>
        <v/>
      </c>
      <c r="G2496" t="str">
        <f>""</f>
        <v/>
      </c>
      <c r="H2496" t="str">
        <f>""</f>
        <v/>
      </c>
      <c r="J2496" t="str">
        <f t="shared" si="60"/>
        <v>BCBS PAYABLE</v>
      </c>
    </row>
    <row r="2497" spans="1:10" x14ac:dyDescent="0.3">
      <c r="A2497" t="str">
        <f>""</f>
        <v/>
      </c>
      <c r="B2497" t="str">
        <f>""</f>
        <v/>
      </c>
      <c r="G2497" t="str">
        <f>""</f>
        <v/>
      </c>
      <c r="H2497" t="str">
        <f>""</f>
        <v/>
      </c>
      <c r="J2497" t="str">
        <f t="shared" si="60"/>
        <v>BCBS PAYABLE</v>
      </c>
    </row>
    <row r="2498" spans="1:10" x14ac:dyDescent="0.3">
      <c r="A2498" t="str">
        <f>""</f>
        <v/>
      </c>
      <c r="B2498" t="str">
        <f>""</f>
        <v/>
      </c>
      <c r="G2498" t="str">
        <f>""</f>
        <v/>
      </c>
      <c r="H2498" t="str">
        <f>""</f>
        <v/>
      </c>
      <c r="J2498" t="str">
        <f t="shared" si="60"/>
        <v>BCBS PAYABLE</v>
      </c>
    </row>
    <row r="2499" spans="1:10" x14ac:dyDescent="0.3">
      <c r="A2499" t="str">
        <f>""</f>
        <v/>
      </c>
      <c r="B2499" t="str">
        <f>""</f>
        <v/>
      </c>
      <c r="G2499" t="str">
        <f>""</f>
        <v/>
      </c>
      <c r="H2499" t="str">
        <f>""</f>
        <v/>
      </c>
      <c r="J2499" t="str">
        <f t="shared" si="60"/>
        <v>BCBS PAYABLE</v>
      </c>
    </row>
    <row r="2500" spans="1:10" x14ac:dyDescent="0.3">
      <c r="A2500" t="str">
        <f>""</f>
        <v/>
      </c>
      <c r="B2500" t="str">
        <f>""</f>
        <v/>
      </c>
      <c r="G2500" t="str">
        <f>""</f>
        <v/>
      </c>
      <c r="H2500" t="str">
        <f>""</f>
        <v/>
      </c>
      <c r="J2500" t="str">
        <f t="shared" si="60"/>
        <v>BCBS PAYABLE</v>
      </c>
    </row>
    <row r="2501" spans="1:10" x14ac:dyDescent="0.3">
      <c r="A2501" t="str">
        <f>""</f>
        <v/>
      </c>
      <c r="B2501" t="str">
        <f>""</f>
        <v/>
      </c>
      <c r="G2501" t="str">
        <f>""</f>
        <v/>
      </c>
      <c r="H2501" t="str">
        <f>""</f>
        <v/>
      </c>
      <c r="J2501" t="str">
        <f t="shared" si="60"/>
        <v>BCBS PAYABLE</v>
      </c>
    </row>
    <row r="2502" spans="1:10" x14ac:dyDescent="0.3">
      <c r="A2502" t="str">
        <f>""</f>
        <v/>
      </c>
      <c r="B2502" t="str">
        <f>""</f>
        <v/>
      </c>
      <c r="G2502" t="str">
        <f>""</f>
        <v/>
      </c>
      <c r="H2502" t="str">
        <f>""</f>
        <v/>
      </c>
      <c r="J2502" t="str">
        <f t="shared" si="60"/>
        <v>BCBS PAYABLE</v>
      </c>
    </row>
    <row r="2503" spans="1:10" x14ac:dyDescent="0.3">
      <c r="A2503" t="str">
        <f>""</f>
        <v/>
      </c>
      <c r="B2503" t="str">
        <f>""</f>
        <v/>
      </c>
      <c r="G2503" t="str">
        <f>""</f>
        <v/>
      </c>
      <c r="H2503" t="str">
        <f>""</f>
        <v/>
      </c>
      <c r="J2503" t="str">
        <f t="shared" si="60"/>
        <v>BCBS PAYABLE</v>
      </c>
    </row>
    <row r="2504" spans="1:10" x14ac:dyDescent="0.3">
      <c r="A2504" t="str">
        <f>""</f>
        <v/>
      </c>
      <c r="B2504" t="str">
        <f>""</f>
        <v/>
      </c>
      <c r="G2504" t="str">
        <f>""</f>
        <v/>
      </c>
      <c r="H2504" t="str">
        <f>""</f>
        <v/>
      </c>
      <c r="J2504" t="str">
        <f t="shared" si="60"/>
        <v>BCBS PAYABLE</v>
      </c>
    </row>
    <row r="2505" spans="1:10" x14ac:dyDescent="0.3">
      <c r="A2505" t="str">
        <f>""</f>
        <v/>
      </c>
      <c r="B2505" t="str">
        <f>""</f>
        <v/>
      </c>
      <c r="G2505" t="str">
        <f>""</f>
        <v/>
      </c>
      <c r="H2505" t="str">
        <f>""</f>
        <v/>
      </c>
      <c r="J2505" t="str">
        <f t="shared" si="60"/>
        <v>BCBS PAYABLE</v>
      </c>
    </row>
    <row r="2506" spans="1:10" x14ac:dyDescent="0.3">
      <c r="A2506" t="str">
        <f>""</f>
        <v/>
      </c>
      <c r="B2506" t="str">
        <f>""</f>
        <v/>
      </c>
      <c r="G2506" t="str">
        <f>""</f>
        <v/>
      </c>
      <c r="H2506" t="str">
        <f>""</f>
        <v/>
      </c>
      <c r="J2506" t="str">
        <f t="shared" si="60"/>
        <v>BCBS PAYABLE</v>
      </c>
    </row>
    <row r="2507" spans="1:10" x14ac:dyDescent="0.3">
      <c r="A2507" t="str">
        <f>""</f>
        <v/>
      </c>
      <c r="B2507" t="str">
        <f>""</f>
        <v/>
      </c>
      <c r="G2507" t="str">
        <f>""</f>
        <v/>
      </c>
      <c r="H2507" t="str">
        <f>""</f>
        <v/>
      </c>
      <c r="J2507" t="str">
        <f t="shared" si="60"/>
        <v>BCBS PAYABLE</v>
      </c>
    </row>
    <row r="2508" spans="1:10" x14ac:dyDescent="0.3">
      <c r="A2508" t="str">
        <f>""</f>
        <v/>
      </c>
      <c r="B2508" t="str">
        <f>""</f>
        <v/>
      </c>
      <c r="G2508" t="str">
        <f>""</f>
        <v/>
      </c>
      <c r="H2508" t="str">
        <f>""</f>
        <v/>
      </c>
      <c r="J2508" t="str">
        <f t="shared" si="60"/>
        <v>BCBS PAYABLE</v>
      </c>
    </row>
    <row r="2509" spans="1:10" x14ac:dyDescent="0.3">
      <c r="A2509" t="str">
        <f>""</f>
        <v/>
      </c>
      <c r="B2509" t="str">
        <f>""</f>
        <v/>
      </c>
      <c r="G2509" t="str">
        <f>""</f>
        <v/>
      </c>
      <c r="H2509" t="str">
        <f>""</f>
        <v/>
      </c>
      <c r="J2509" t="str">
        <f t="shared" si="60"/>
        <v>BCBS PAYABLE</v>
      </c>
    </row>
    <row r="2510" spans="1:10" x14ac:dyDescent="0.3">
      <c r="A2510" t="str">
        <f>""</f>
        <v/>
      </c>
      <c r="B2510" t="str">
        <f>""</f>
        <v/>
      </c>
      <c r="G2510" t="str">
        <f>"2EO201708094187"</f>
        <v>2EO201708094187</v>
      </c>
      <c r="H2510" t="str">
        <f>"BCBS PAYABLE"</f>
        <v>BCBS PAYABLE</v>
      </c>
      <c r="I2510" s="2">
        <v>3731.76</v>
      </c>
      <c r="J2510" t="str">
        <f t="shared" si="60"/>
        <v>BCBS PAYABLE</v>
      </c>
    </row>
    <row r="2511" spans="1:10" x14ac:dyDescent="0.3">
      <c r="A2511" t="str">
        <f>""</f>
        <v/>
      </c>
      <c r="B2511" t="str">
        <f>""</f>
        <v/>
      </c>
      <c r="G2511" t="str">
        <f>"2EO201708234445"</f>
        <v>2EO201708234445</v>
      </c>
      <c r="H2511" t="str">
        <f>"BCBS PAYABLE"</f>
        <v>BCBS PAYABLE</v>
      </c>
      <c r="I2511" s="2">
        <v>83653.62</v>
      </c>
      <c r="J2511" t="str">
        <f t="shared" si="60"/>
        <v>BCBS PAYABLE</v>
      </c>
    </row>
    <row r="2512" spans="1:10" x14ac:dyDescent="0.3">
      <c r="A2512" t="str">
        <f>""</f>
        <v/>
      </c>
      <c r="B2512" t="str">
        <f>""</f>
        <v/>
      </c>
      <c r="G2512" t="str">
        <f>""</f>
        <v/>
      </c>
      <c r="H2512" t="str">
        <f>""</f>
        <v/>
      </c>
      <c r="J2512" t="str">
        <f t="shared" si="60"/>
        <v>BCBS PAYABLE</v>
      </c>
    </row>
    <row r="2513" spans="1:10" x14ac:dyDescent="0.3">
      <c r="A2513" t="str">
        <f>""</f>
        <v/>
      </c>
      <c r="B2513" t="str">
        <f>""</f>
        <v/>
      </c>
      <c r="G2513" t="str">
        <f>""</f>
        <v/>
      </c>
      <c r="H2513" t="str">
        <f>""</f>
        <v/>
      </c>
      <c r="J2513" t="str">
        <f t="shared" si="60"/>
        <v>BCBS PAYABLE</v>
      </c>
    </row>
    <row r="2514" spans="1:10" x14ac:dyDescent="0.3">
      <c r="A2514" t="str">
        <f>""</f>
        <v/>
      </c>
      <c r="B2514" t="str">
        <f>""</f>
        <v/>
      </c>
      <c r="G2514" t="str">
        <f>""</f>
        <v/>
      </c>
      <c r="H2514" t="str">
        <f>""</f>
        <v/>
      </c>
      <c r="J2514" t="str">
        <f t="shared" si="60"/>
        <v>BCBS PAYABLE</v>
      </c>
    </row>
    <row r="2515" spans="1:10" x14ac:dyDescent="0.3">
      <c r="A2515" t="str">
        <f>""</f>
        <v/>
      </c>
      <c r="B2515" t="str">
        <f>""</f>
        <v/>
      </c>
      <c r="G2515" t="str">
        <f>""</f>
        <v/>
      </c>
      <c r="H2515" t="str">
        <f>""</f>
        <v/>
      </c>
      <c r="J2515" t="str">
        <f t="shared" si="60"/>
        <v>BCBS PAYABLE</v>
      </c>
    </row>
    <row r="2516" spans="1:10" x14ac:dyDescent="0.3">
      <c r="A2516" t="str">
        <f>""</f>
        <v/>
      </c>
      <c r="B2516" t="str">
        <f>""</f>
        <v/>
      </c>
      <c r="G2516" t="str">
        <f>""</f>
        <v/>
      </c>
      <c r="H2516" t="str">
        <f>""</f>
        <v/>
      </c>
      <c r="J2516" t="str">
        <f t="shared" si="60"/>
        <v>BCBS PAYABLE</v>
      </c>
    </row>
    <row r="2517" spans="1:10" x14ac:dyDescent="0.3">
      <c r="A2517" t="str">
        <f>""</f>
        <v/>
      </c>
      <c r="B2517" t="str">
        <f>""</f>
        <v/>
      </c>
      <c r="G2517" t="str">
        <f>""</f>
        <v/>
      </c>
      <c r="H2517" t="str">
        <f>""</f>
        <v/>
      </c>
      <c r="J2517" t="str">
        <f t="shared" si="60"/>
        <v>BCBS PAYABLE</v>
      </c>
    </row>
    <row r="2518" spans="1:10" x14ac:dyDescent="0.3">
      <c r="A2518" t="str">
        <f>""</f>
        <v/>
      </c>
      <c r="B2518" t="str">
        <f>""</f>
        <v/>
      </c>
      <c r="G2518" t="str">
        <f>""</f>
        <v/>
      </c>
      <c r="H2518" t="str">
        <f>""</f>
        <v/>
      </c>
      <c r="J2518" t="str">
        <f t="shared" si="60"/>
        <v>BCBS PAYABLE</v>
      </c>
    </row>
    <row r="2519" spans="1:10" x14ac:dyDescent="0.3">
      <c r="A2519" t="str">
        <f>""</f>
        <v/>
      </c>
      <c r="B2519" t="str">
        <f>""</f>
        <v/>
      </c>
      <c r="G2519" t="str">
        <f>""</f>
        <v/>
      </c>
      <c r="H2519" t="str">
        <f>""</f>
        <v/>
      </c>
      <c r="J2519" t="str">
        <f t="shared" si="60"/>
        <v>BCBS PAYABLE</v>
      </c>
    </row>
    <row r="2520" spans="1:10" x14ac:dyDescent="0.3">
      <c r="A2520" t="str">
        <f>""</f>
        <v/>
      </c>
      <c r="B2520" t="str">
        <f>""</f>
        <v/>
      </c>
      <c r="G2520" t="str">
        <f>""</f>
        <v/>
      </c>
      <c r="H2520" t="str">
        <f>""</f>
        <v/>
      </c>
      <c r="J2520" t="str">
        <f t="shared" si="60"/>
        <v>BCBS PAYABLE</v>
      </c>
    </row>
    <row r="2521" spans="1:10" x14ac:dyDescent="0.3">
      <c r="A2521" t="str">
        <f>""</f>
        <v/>
      </c>
      <c r="B2521" t="str">
        <f>""</f>
        <v/>
      </c>
      <c r="G2521" t="str">
        <f>""</f>
        <v/>
      </c>
      <c r="H2521" t="str">
        <f>""</f>
        <v/>
      </c>
      <c r="J2521" t="str">
        <f t="shared" ref="J2521:J2552" si="61">"BCBS PAYABLE"</f>
        <v>BCBS PAYABLE</v>
      </c>
    </row>
    <row r="2522" spans="1:10" x14ac:dyDescent="0.3">
      <c r="A2522" t="str">
        <f>""</f>
        <v/>
      </c>
      <c r="B2522" t="str">
        <f>""</f>
        <v/>
      </c>
      <c r="G2522" t="str">
        <f>""</f>
        <v/>
      </c>
      <c r="H2522" t="str">
        <f>""</f>
        <v/>
      </c>
      <c r="J2522" t="str">
        <f t="shared" si="61"/>
        <v>BCBS PAYABLE</v>
      </c>
    </row>
    <row r="2523" spans="1:10" x14ac:dyDescent="0.3">
      <c r="A2523" t="str">
        <f>""</f>
        <v/>
      </c>
      <c r="B2523" t="str">
        <f>""</f>
        <v/>
      </c>
      <c r="G2523" t="str">
        <f>""</f>
        <v/>
      </c>
      <c r="H2523" t="str">
        <f>""</f>
        <v/>
      </c>
      <c r="J2523" t="str">
        <f t="shared" si="61"/>
        <v>BCBS PAYABLE</v>
      </c>
    </row>
    <row r="2524" spans="1:10" x14ac:dyDescent="0.3">
      <c r="A2524" t="str">
        <f>""</f>
        <v/>
      </c>
      <c r="B2524" t="str">
        <f>""</f>
        <v/>
      </c>
      <c r="G2524" t="str">
        <f>""</f>
        <v/>
      </c>
      <c r="H2524" t="str">
        <f>""</f>
        <v/>
      </c>
      <c r="J2524" t="str">
        <f t="shared" si="61"/>
        <v>BCBS PAYABLE</v>
      </c>
    </row>
    <row r="2525" spans="1:10" x14ac:dyDescent="0.3">
      <c r="A2525" t="str">
        <f>""</f>
        <v/>
      </c>
      <c r="B2525" t="str">
        <f>""</f>
        <v/>
      </c>
      <c r="G2525" t="str">
        <f>""</f>
        <v/>
      </c>
      <c r="H2525" t="str">
        <f>""</f>
        <v/>
      </c>
      <c r="J2525" t="str">
        <f t="shared" si="61"/>
        <v>BCBS PAYABLE</v>
      </c>
    </row>
    <row r="2526" spans="1:10" x14ac:dyDescent="0.3">
      <c r="A2526" t="str">
        <f>""</f>
        <v/>
      </c>
      <c r="B2526" t="str">
        <f>""</f>
        <v/>
      </c>
      <c r="G2526" t="str">
        <f>""</f>
        <v/>
      </c>
      <c r="H2526" t="str">
        <f>""</f>
        <v/>
      </c>
      <c r="J2526" t="str">
        <f t="shared" si="61"/>
        <v>BCBS PAYABLE</v>
      </c>
    </row>
    <row r="2527" spans="1:10" x14ac:dyDescent="0.3">
      <c r="A2527" t="str">
        <f>""</f>
        <v/>
      </c>
      <c r="B2527" t="str">
        <f>""</f>
        <v/>
      </c>
      <c r="G2527" t="str">
        <f>""</f>
        <v/>
      </c>
      <c r="H2527" t="str">
        <f>""</f>
        <v/>
      </c>
      <c r="J2527" t="str">
        <f t="shared" si="61"/>
        <v>BCBS PAYABLE</v>
      </c>
    </row>
    <row r="2528" spans="1:10" x14ac:dyDescent="0.3">
      <c r="A2528" t="str">
        <f>""</f>
        <v/>
      </c>
      <c r="B2528" t="str">
        <f>""</f>
        <v/>
      </c>
      <c r="G2528" t="str">
        <f>""</f>
        <v/>
      </c>
      <c r="H2528" t="str">
        <f>""</f>
        <v/>
      </c>
      <c r="J2528" t="str">
        <f t="shared" si="61"/>
        <v>BCBS PAYABLE</v>
      </c>
    </row>
    <row r="2529" spans="1:10" x14ac:dyDescent="0.3">
      <c r="A2529" t="str">
        <f>""</f>
        <v/>
      </c>
      <c r="B2529" t="str">
        <f>""</f>
        <v/>
      </c>
      <c r="G2529" t="str">
        <f>""</f>
        <v/>
      </c>
      <c r="H2529" t="str">
        <f>""</f>
        <v/>
      </c>
      <c r="J2529" t="str">
        <f t="shared" si="61"/>
        <v>BCBS PAYABLE</v>
      </c>
    </row>
    <row r="2530" spans="1:10" x14ac:dyDescent="0.3">
      <c r="A2530" t="str">
        <f>""</f>
        <v/>
      </c>
      <c r="B2530" t="str">
        <f>""</f>
        <v/>
      </c>
      <c r="G2530" t="str">
        <f>""</f>
        <v/>
      </c>
      <c r="H2530" t="str">
        <f>""</f>
        <v/>
      </c>
      <c r="J2530" t="str">
        <f t="shared" si="61"/>
        <v>BCBS PAYABLE</v>
      </c>
    </row>
    <row r="2531" spans="1:10" x14ac:dyDescent="0.3">
      <c r="A2531" t="str">
        <f>""</f>
        <v/>
      </c>
      <c r="B2531" t="str">
        <f>""</f>
        <v/>
      </c>
      <c r="G2531" t="str">
        <f>""</f>
        <v/>
      </c>
      <c r="H2531" t="str">
        <f>""</f>
        <v/>
      </c>
      <c r="J2531" t="str">
        <f t="shared" si="61"/>
        <v>BCBS PAYABLE</v>
      </c>
    </row>
    <row r="2532" spans="1:10" x14ac:dyDescent="0.3">
      <c r="A2532" t="str">
        <f>""</f>
        <v/>
      </c>
      <c r="B2532" t="str">
        <f>""</f>
        <v/>
      </c>
      <c r="G2532" t="str">
        <f>""</f>
        <v/>
      </c>
      <c r="H2532" t="str">
        <f>""</f>
        <v/>
      </c>
      <c r="J2532" t="str">
        <f t="shared" si="61"/>
        <v>BCBS PAYABLE</v>
      </c>
    </row>
    <row r="2533" spans="1:10" x14ac:dyDescent="0.3">
      <c r="A2533" t="str">
        <f>""</f>
        <v/>
      </c>
      <c r="B2533" t="str">
        <f>""</f>
        <v/>
      </c>
      <c r="G2533" t="str">
        <f>""</f>
        <v/>
      </c>
      <c r="H2533" t="str">
        <f>""</f>
        <v/>
      </c>
      <c r="J2533" t="str">
        <f t="shared" si="61"/>
        <v>BCBS PAYABLE</v>
      </c>
    </row>
    <row r="2534" spans="1:10" x14ac:dyDescent="0.3">
      <c r="A2534" t="str">
        <f>""</f>
        <v/>
      </c>
      <c r="B2534" t="str">
        <f>""</f>
        <v/>
      </c>
      <c r="G2534" t="str">
        <f>""</f>
        <v/>
      </c>
      <c r="H2534" t="str">
        <f>""</f>
        <v/>
      </c>
      <c r="J2534" t="str">
        <f t="shared" si="61"/>
        <v>BCBS PAYABLE</v>
      </c>
    </row>
    <row r="2535" spans="1:10" x14ac:dyDescent="0.3">
      <c r="A2535" t="str">
        <f>""</f>
        <v/>
      </c>
      <c r="B2535" t="str">
        <f>""</f>
        <v/>
      </c>
      <c r="G2535" t="str">
        <f>""</f>
        <v/>
      </c>
      <c r="H2535" t="str">
        <f>""</f>
        <v/>
      </c>
      <c r="J2535" t="str">
        <f t="shared" si="61"/>
        <v>BCBS PAYABLE</v>
      </c>
    </row>
    <row r="2536" spans="1:10" x14ac:dyDescent="0.3">
      <c r="A2536" t="str">
        <f>""</f>
        <v/>
      </c>
      <c r="B2536" t="str">
        <f>""</f>
        <v/>
      </c>
      <c r="G2536" t="str">
        <f>""</f>
        <v/>
      </c>
      <c r="H2536" t="str">
        <f>""</f>
        <v/>
      </c>
      <c r="J2536" t="str">
        <f t="shared" si="61"/>
        <v>BCBS PAYABLE</v>
      </c>
    </row>
    <row r="2537" spans="1:10" x14ac:dyDescent="0.3">
      <c r="A2537" t="str">
        <f>""</f>
        <v/>
      </c>
      <c r="B2537" t="str">
        <f>""</f>
        <v/>
      </c>
      <c r="G2537" t="str">
        <f>""</f>
        <v/>
      </c>
      <c r="H2537" t="str">
        <f>""</f>
        <v/>
      </c>
      <c r="J2537" t="str">
        <f t="shared" si="61"/>
        <v>BCBS PAYABLE</v>
      </c>
    </row>
    <row r="2538" spans="1:10" x14ac:dyDescent="0.3">
      <c r="A2538" t="str">
        <f>""</f>
        <v/>
      </c>
      <c r="B2538" t="str">
        <f>""</f>
        <v/>
      </c>
      <c r="G2538" t="str">
        <f>""</f>
        <v/>
      </c>
      <c r="H2538" t="str">
        <f>""</f>
        <v/>
      </c>
      <c r="J2538" t="str">
        <f t="shared" si="61"/>
        <v>BCBS PAYABLE</v>
      </c>
    </row>
    <row r="2539" spans="1:10" x14ac:dyDescent="0.3">
      <c r="A2539" t="str">
        <f>""</f>
        <v/>
      </c>
      <c r="B2539" t="str">
        <f>""</f>
        <v/>
      </c>
      <c r="G2539" t="str">
        <f>""</f>
        <v/>
      </c>
      <c r="H2539" t="str">
        <f>""</f>
        <v/>
      </c>
      <c r="J2539" t="str">
        <f t="shared" si="61"/>
        <v>BCBS PAYABLE</v>
      </c>
    </row>
    <row r="2540" spans="1:10" x14ac:dyDescent="0.3">
      <c r="A2540" t="str">
        <f>""</f>
        <v/>
      </c>
      <c r="B2540" t="str">
        <f>""</f>
        <v/>
      </c>
      <c r="G2540" t="str">
        <f>""</f>
        <v/>
      </c>
      <c r="H2540" t="str">
        <f>""</f>
        <v/>
      </c>
      <c r="J2540" t="str">
        <f t="shared" si="61"/>
        <v>BCBS PAYABLE</v>
      </c>
    </row>
    <row r="2541" spans="1:10" x14ac:dyDescent="0.3">
      <c r="A2541" t="str">
        <f>""</f>
        <v/>
      </c>
      <c r="B2541" t="str">
        <f>""</f>
        <v/>
      </c>
      <c r="G2541" t="str">
        <f>""</f>
        <v/>
      </c>
      <c r="H2541" t="str">
        <f>""</f>
        <v/>
      </c>
      <c r="J2541" t="str">
        <f t="shared" si="61"/>
        <v>BCBS PAYABLE</v>
      </c>
    </row>
    <row r="2542" spans="1:10" x14ac:dyDescent="0.3">
      <c r="A2542" t="str">
        <f>""</f>
        <v/>
      </c>
      <c r="B2542" t="str">
        <f>""</f>
        <v/>
      </c>
      <c r="G2542" t="str">
        <f>""</f>
        <v/>
      </c>
      <c r="H2542" t="str">
        <f>""</f>
        <v/>
      </c>
      <c r="J2542" t="str">
        <f t="shared" si="61"/>
        <v>BCBS PAYABLE</v>
      </c>
    </row>
    <row r="2543" spans="1:10" x14ac:dyDescent="0.3">
      <c r="A2543" t="str">
        <f>""</f>
        <v/>
      </c>
      <c r="B2543" t="str">
        <f>""</f>
        <v/>
      </c>
      <c r="G2543" t="str">
        <f>""</f>
        <v/>
      </c>
      <c r="H2543" t="str">
        <f>""</f>
        <v/>
      </c>
      <c r="J2543" t="str">
        <f t="shared" si="61"/>
        <v>BCBS PAYABLE</v>
      </c>
    </row>
    <row r="2544" spans="1:10" x14ac:dyDescent="0.3">
      <c r="A2544" t="str">
        <f>""</f>
        <v/>
      </c>
      <c r="B2544" t="str">
        <f>""</f>
        <v/>
      </c>
      <c r="G2544" t="str">
        <f>""</f>
        <v/>
      </c>
      <c r="H2544" t="str">
        <f>""</f>
        <v/>
      </c>
      <c r="J2544" t="str">
        <f t="shared" si="61"/>
        <v>BCBS PAYABLE</v>
      </c>
    </row>
    <row r="2545" spans="1:10" x14ac:dyDescent="0.3">
      <c r="A2545" t="str">
        <f>""</f>
        <v/>
      </c>
      <c r="B2545" t="str">
        <f>""</f>
        <v/>
      </c>
      <c r="G2545" t="str">
        <f>""</f>
        <v/>
      </c>
      <c r="H2545" t="str">
        <f>""</f>
        <v/>
      </c>
      <c r="J2545" t="str">
        <f t="shared" si="61"/>
        <v>BCBS PAYABLE</v>
      </c>
    </row>
    <row r="2546" spans="1:10" x14ac:dyDescent="0.3">
      <c r="A2546" t="str">
        <f>""</f>
        <v/>
      </c>
      <c r="B2546" t="str">
        <f>""</f>
        <v/>
      </c>
      <c r="G2546" t="str">
        <f>""</f>
        <v/>
      </c>
      <c r="H2546" t="str">
        <f>""</f>
        <v/>
      </c>
      <c r="J2546" t="str">
        <f t="shared" si="61"/>
        <v>BCBS PAYABLE</v>
      </c>
    </row>
    <row r="2547" spans="1:10" x14ac:dyDescent="0.3">
      <c r="A2547" t="str">
        <f>""</f>
        <v/>
      </c>
      <c r="B2547" t="str">
        <f>""</f>
        <v/>
      </c>
      <c r="G2547" t="str">
        <f>""</f>
        <v/>
      </c>
      <c r="H2547" t="str">
        <f>""</f>
        <v/>
      </c>
      <c r="J2547" t="str">
        <f t="shared" si="61"/>
        <v>BCBS PAYABLE</v>
      </c>
    </row>
    <row r="2548" spans="1:10" x14ac:dyDescent="0.3">
      <c r="A2548" t="str">
        <f>""</f>
        <v/>
      </c>
      <c r="B2548" t="str">
        <f>""</f>
        <v/>
      </c>
      <c r="G2548" t="str">
        <f>""</f>
        <v/>
      </c>
      <c r="H2548" t="str">
        <f>""</f>
        <v/>
      </c>
      <c r="J2548" t="str">
        <f t="shared" si="61"/>
        <v>BCBS PAYABLE</v>
      </c>
    </row>
    <row r="2549" spans="1:10" x14ac:dyDescent="0.3">
      <c r="A2549" t="str">
        <f>""</f>
        <v/>
      </c>
      <c r="B2549" t="str">
        <f>""</f>
        <v/>
      </c>
      <c r="G2549" t="str">
        <f>""</f>
        <v/>
      </c>
      <c r="H2549" t="str">
        <f>""</f>
        <v/>
      </c>
      <c r="J2549" t="str">
        <f t="shared" si="61"/>
        <v>BCBS PAYABLE</v>
      </c>
    </row>
    <row r="2550" spans="1:10" x14ac:dyDescent="0.3">
      <c r="A2550" t="str">
        <f>""</f>
        <v/>
      </c>
      <c r="B2550" t="str">
        <f>""</f>
        <v/>
      </c>
      <c r="G2550" t="str">
        <f>""</f>
        <v/>
      </c>
      <c r="H2550" t="str">
        <f>""</f>
        <v/>
      </c>
      <c r="J2550" t="str">
        <f t="shared" si="61"/>
        <v>BCBS PAYABLE</v>
      </c>
    </row>
    <row r="2551" spans="1:10" x14ac:dyDescent="0.3">
      <c r="A2551" t="str">
        <f>""</f>
        <v/>
      </c>
      <c r="B2551" t="str">
        <f>""</f>
        <v/>
      </c>
      <c r="G2551" t="str">
        <f>"2EO201708244446"</f>
        <v>2EO201708244446</v>
      </c>
      <c r="H2551" t="str">
        <f>"BCBS PAYABLE"</f>
        <v>BCBS PAYABLE</v>
      </c>
      <c r="I2551" s="2">
        <v>3731.76</v>
      </c>
      <c r="J2551" t="str">
        <f t="shared" si="61"/>
        <v>BCBS PAYABLE</v>
      </c>
    </row>
    <row r="2552" spans="1:10" x14ac:dyDescent="0.3">
      <c r="A2552" t="str">
        <f>""</f>
        <v/>
      </c>
      <c r="B2552" t="str">
        <f>""</f>
        <v/>
      </c>
      <c r="G2552" t="str">
        <f>"2ES201708094186"</f>
        <v>2ES201708094186</v>
      </c>
      <c r="H2552" t="str">
        <f>"BCBS PAYABLE"</f>
        <v>BCBS PAYABLE</v>
      </c>
      <c r="I2552" s="2">
        <v>16819.46</v>
      </c>
      <c r="J2552" t="str">
        <f t="shared" si="61"/>
        <v>BCBS PAYABLE</v>
      </c>
    </row>
    <row r="2553" spans="1:10" x14ac:dyDescent="0.3">
      <c r="A2553" t="str">
        <f>""</f>
        <v/>
      </c>
      <c r="B2553" t="str">
        <f>""</f>
        <v/>
      </c>
      <c r="G2553" t="str">
        <f>""</f>
        <v/>
      </c>
      <c r="H2553" t="str">
        <f>""</f>
        <v/>
      </c>
      <c r="J2553" t="str">
        <f t="shared" ref="J2553:J2588" si="62">"BCBS PAYABLE"</f>
        <v>BCBS PAYABLE</v>
      </c>
    </row>
    <row r="2554" spans="1:10" x14ac:dyDescent="0.3">
      <c r="A2554" t="str">
        <f>""</f>
        <v/>
      </c>
      <c r="B2554" t="str">
        <f>""</f>
        <v/>
      </c>
      <c r="G2554" t="str">
        <f>""</f>
        <v/>
      </c>
      <c r="H2554" t="str">
        <f>""</f>
        <v/>
      </c>
      <c r="J2554" t="str">
        <f t="shared" si="62"/>
        <v>BCBS PAYABLE</v>
      </c>
    </row>
    <row r="2555" spans="1:10" x14ac:dyDescent="0.3">
      <c r="A2555" t="str">
        <f>""</f>
        <v/>
      </c>
      <c r="B2555" t="str">
        <f>""</f>
        <v/>
      </c>
      <c r="G2555" t="str">
        <f>""</f>
        <v/>
      </c>
      <c r="H2555" t="str">
        <f>""</f>
        <v/>
      </c>
      <c r="J2555" t="str">
        <f t="shared" si="62"/>
        <v>BCBS PAYABLE</v>
      </c>
    </row>
    <row r="2556" spans="1:10" x14ac:dyDescent="0.3">
      <c r="A2556" t="str">
        <f>""</f>
        <v/>
      </c>
      <c r="B2556" t="str">
        <f>""</f>
        <v/>
      </c>
      <c r="G2556" t="str">
        <f>""</f>
        <v/>
      </c>
      <c r="H2556" t="str">
        <f>""</f>
        <v/>
      </c>
      <c r="J2556" t="str">
        <f t="shared" si="62"/>
        <v>BCBS PAYABLE</v>
      </c>
    </row>
    <row r="2557" spans="1:10" x14ac:dyDescent="0.3">
      <c r="A2557" t="str">
        <f>""</f>
        <v/>
      </c>
      <c r="B2557" t="str">
        <f>""</f>
        <v/>
      </c>
      <c r="G2557" t="str">
        <f>""</f>
        <v/>
      </c>
      <c r="H2557" t="str">
        <f>""</f>
        <v/>
      </c>
      <c r="J2557" t="str">
        <f t="shared" si="62"/>
        <v>BCBS PAYABLE</v>
      </c>
    </row>
    <row r="2558" spans="1:10" x14ac:dyDescent="0.3">
      <c r="A2558" t="str">
        <f>""</f>
        <v/>
      </c>
      <c r="B2558" t="str">
        <f>""</f>
        <v/>
      </c>
      <c r="G2558" t="str">
        <f>""</f>
        <v/>
      </c>
      <c r="H2558" t="str">
        <f>""</f>
        <v/>
      </c>
      <c r="J2558" t="str">
        <f t="shared" si="62"/>
        <v>BCBS PAYABLE</v>
      </c>
    </row>
    <row r="2559" spans="1:10" x14ac:dyDescent="0.3">
      <c r="A2559" t="str">
        <f>""</f>
        <v/>
      </c>
      <c r="B2559" t="str">
        <f>""</f>
        <v/>
      </c>
      <c r="G2559" t="str">
        <f>""</f>
        <v/>
      </c>
      <c r="H2559" t="str">
        <f>""</f>
        <v/>
      </c>
      <c r="J2559" t="str">
        <f t="shared" si="62"/>
        <v>BCBS PAYABLE</v>
      </c>
    </row>
    <row r="2560" spans="1:10" x14ac:dyDescent="0.3">
      <c r="A2560" t="str">
        <f>""</f>
        <v/>
      </c>
      <c r="B2560" t="str">
        <f>""</f>
        <v/>
      </c>
      <c r="G2560" t="str">
        <f>""</f>
        <v/>
      </c>
      <c r="H2560" t="str">
        <f>""</f>
        <v/>
      </c>
      <c r="J2560" t="str">
        <f t="shared" si="62"/>
        <v>BCBS PAYABLE</v>
      </c>
    </row>
    <row r="2561" spans="1:10" x14ac:dyDescent="0.3">
      <c r="A2561" t="str">
        <f>""</f>
        <v/>
      </c>
      <c r="B2561" t="str">
        <f>""</f>
        <v/>
      </c>
      <c r="G2561" t="str">
        <f>""</f>
        <v/>
      </c>
      <c r="H2561" t="str">
        <f>""</f>
        <v/>
      </c>
      <c r="J2561" t="str">
        <f t="shared" si="62"/>
        <v>BCBS PAYABLE</v>
      </c>
    </row>
    <row r="2562" spans="1:10" x14ac:dyDescent="0.3">
      <c r="A2562" t="str">
        <f>""</f>
        <v/>
      </c>
      <c r="B2562" t="str">
        <f>""</f>
        <v/>
      </c>
      <c r="G2562" t="str">
        <f>""</f>
        <v/>
      </c>
      <c r="H2562" t="str">
        <f>""</f>
        <v/>
      </c>
      <c r="J2562" t="str">
        <f t="shared" si="62"/>
        <v>BCBS PAYABLE</v>
      </c>
    </row>
    <row r="2563" spans="1:10" x14ac:dyDescent="0.3">
      <c r="A2563" t="str">
        <f>""</f>
        <v/>
      </c>
      <c r="B2563" t="str">
        <f>""</f>
        <v/>
      </c>
      <c r="G2563" t="str">
        <f>""</f>
        <v/>
      </c>
      <c r="H2563" t="str">
        <f>""</f>
        <v/>
      </c>
      <c r="J2563" t="str">
        <f t="shared" si="62"/>
        <v>BCBS PAYABLE</v>
      </c>
    </row>
    <row r="2564" spans="1:10" x14ac:dyDescent="0.3">
      <c r="A2564" t="str">
        <f>""</f>
        <v/>
      </c>
      <c r="B2564" t="str">
        <f>""</f>
        <v/>
      </c>
      <c r="G2564" t="str">
        <f>""</f>
        <v/>
      </c>
      <c r="H2564" t="str">
        <f>""</f>
        <v/>
      </c>
      <c r="J2564" t="str">
        <f t="shared" si="62"/>
        <v>BCBS PAYABLE</v>
      </c>
    </row>
    <row r="2565" spans="1:10" x14ac:dyDescent="0.3">
      <c r="A2565" t="str">
        <f>""</f>
        <v/>
      </c>
      <c r="B2565" t="str">
        <f>""</f>
        <v/>
      </c>
      <c r="G2565" t="str">
        <f>""</f>
        <v/>
      </c>
      <c r="H2565" t="str">
        <f>""</f>
        <v/>
      </c>
      <c r="J2565" t="str">
        <f t="shared" si="62"/>
        <v>BCBS PAYABLE</v>
      </c>
    </row>
    <row r="2566" spans="1:10" x14ac:dyDescent="0.3">
      <c r="A2566" t="str">
        <f>""</f>
        <v/>
      </c>
      <c r="B2566" t="str">
        <f>""</f>
        <v/>
      </c>
      <c r="G2566" t="str">
        <f>""</f>
        <v/>
      </c>
      <c r="H2566" t="str">
        <f>""</f>
        <v/>
      </c>
      <c r="J2566" t="str">
        <f t="shared" si="62"/>
        <v>BCBS PAYABLE</v>
      </c>
    </row>
    <row r="2567" spans="1:10" x14ac:dyDescent="0.3">
      <c r="A2567" t="str">
        <f>""</f>
        <v/>
      </c>
      <c r="B2567" t="str">
        <f>""</f>
        <v/>
      </c>
      <c r="G2567" t="str">
        <f>""</f>
        <v/>
      </c>
      <c r="H2567" t="str">
        <f>""</f>
        <v/>
      </c>
      <c r="J2567" t="str">
        <f t="shared" si="62"/>
        <v>BCBS PAYABLE</v>
      </c>
    </row>
    <row r="2568" spans="1:10" x14ac:dyDescent="0.3">
      <c r="A2568" t="str">
        <f>""</f>
        <v/>
      </c>
      <c r="B2568" t="str">
        <f>""</f>
        <v/>
      </c>
      <c r="G2568" t="str">
        <f>""</f>
        <v/>
      </c>
      <c r="H2568" t="str">
        <f>""</f>
        <v/>
      </c>
      <c r="J2568" t="str">
        <f t="shared" si="62"/>
        <v>BCBS PAYABLE</v>
      </c>
    </row>
    <row r="2569" spans="1:10" x14ac:dyDescent="0.3">
      <c r="A2569" t="str">
        <f>""</f>
        <v/>
      </c>
      <c r="B2569" t="str">
        <f>""</f>
        <v/>
      </c>
      <c r="G2569" t="str">
        <f>""</f>
        <v/>
      </c>
      <c r="H2569" t="str">
        <f>""</f>
        <v/>
      </c>
      <c r="J2569" t="str">
        <f t="shared" si="62"/>
        <v>BCBS PAYABLE</v>
      </c>
    </row>
    <row r="2570" spans="1:10" x14ac:dyDescent="0.3">
      <c r="A2570" t="str">
        <f>""</f>
        <v/>
      </c>
      <c r="B2570" t="str">
        <f>""</f>
        <v/>
      </c>
      <c r="G2570" t="str">
        <f>""</f>
        <v/>
      </c>
      <c r="H2570" t="str">
        <f>""</f>
        <v/>
      </c>
      <c r="J2570" t="str">
        <f t="shared" si="62"/>
        <v>BCBS PAYABLE</v>
      </c>
    </row>
    <row r="2571" spans="1:10" x14ac:dyDescent="0.3">
      <c r="A2571" t="str">
        <f>""</f>
        <v/>
      </c>
      <c r="B2571" t="str">
        <f>""</f>
        <v/>
      </c>
      <c r="G2571" t="str">
        <f>"2ES201708234445"</f>
        <v>2ES201708234445</v>
      </c>
      <c r="H2571" t="str">
        <f>"BCBS PAYABLE"</f>
        <v>BCBS PAYABLE</v>
      </c>
      <c r="I2571" s="2">
        <v>15335.39</v>
      </c>
      <c r="J2571" t="str">
        <f t="shared" si="62"/>
        <v>BCBS PAYABLE</v>
      </c>
    </row>
    <row r="2572" spans="1:10" x14ac:dyDescent="0.3">
      <c r="A2572" t="str">
        <f>""</f>
        <v/>
      </c>
      <c r="B2572" t="str">
        <f>""</f>
        <v/>
      </c>
      <c r="G2572" t="str">
        <f>""</f>
        <v/>
      </c>
      <c r="H2572" t="str">
        <f>""</f>
        <v/>
      </c>
      <c r="J2572" t="str">
        <f t="shared" si="62"/>
        <v>BCBS PAYABLE</v>
      </c>
    </row>
    <row r="2573" spans="1:10" x14ac:dyDescent="0.3">
      <c r="A2573" t="str">
        <f>""</f>
        <v/>
      </c>
      <c r="B2573" t="str">
        <f>""</f>
        <v/>
      </c>
      <c r="G2573" t="str">
        <f>""</f>
        <v/>
      </c>
      <c r="H2573" t="str">
        <f>""</f>
        <v/>
      </c>
      <c r="J2573" t="str">
        <f t="shared" si="62"/>
        <v>BCBS PAYABLE</v>
      </c>
    </row>
    <row r="2574" spans="1:10" x14ac:dyDescent="0.3">
      <c r="A2574" t="str">
        <f>""</f>
        <v/>
      </c>
      <c r="B2574" t="str">
        <f>""</f>
        <v/>
      </c>
      <c r="G2574" t="str">
        <f>""</f>
        <v/>
      </c>
      <c r="H2574" t="str">
        <f>""</f>
        <v/>
      </c>
      <c r="J2574" t="str">
        <f t="shared" si="62"/>
        <v>BCBS PAYABLE</v>
      </c>
    </row>
    <row r="2575" spans="1:10" x14ac:dyDescent="0.3">
      <c r="A2575" t="str">
        <f>""</f>
        <v/>
      </c>
      <c r="B2575" t="str">
        <f>""</f>
        <v/>
      </c>
      <c r="G2575" t="str">
        <f>""</f>
        <v/>
      </c>
      <c r="H2575" t="str">
        <f>""</f>
        <v/>
      </c>
      <c r="J2575" t="str">
        <f t="shared" si="62"/>
        <v>BCBS PAYABLE</v>
      </c>
    </row>
    <row r="2576" spans="1:10" x14ac:dyDescent="0.3">
      <c r="A2576" t="str">
        <f>""</f>
        <v/>
      </c>
      <c r="B2576" t="str">
        <f>""</f>
        <v/>
      </c>
      <c r="G2576" t="str">
        <f>""</f>
        <v/>
      </c>
      <c r="H2576" t="str">
        <f>""</f>
        <v/>
      </c>
      <c r="J2576" t="str">
        <f t="shared" si="62"/>
        <v>BCBS PAYABLE</v>
      </c>
    </row>
    <row r="2577" spans="1:10" x14ac:dyDescent="0.3">
      <c r="A2577" t="str">
        <f>""</f>
        <v/>
      </c>
      <c r="B2577" t="str">
        <f>""</f>
        <v/>
      </c>
      <c r="G2577" t="str">
        <f>""</f>
        <v/>
      </c>
      <c r="H2577" t="str">
        <f>""</f>
        <v/>
      </c>
      <c r="J2577" t="str">
        <f t="shared" si="62"/>
        <v>BCBS PAYABLE</v>
      </c>
    </row>
    <row r="2578" spans="1:10" x14ac:dyDescent="0.3">
      <c r="A2578" t="str">
        <f>""</f>
        <v/>
      </c>
      <c r="B2578" t="str">
        <f>""</f>
        <v/>
      </c>
      <c r="G2578" t="str">
        <f>""</f>
        <v/>
      </c>
      <c r="H2578" t="str">
        <f>""</f>
        <v/>
      </c>
      <c r="J2578" t="str">
        <f t="shared" si="62"/>
        <v>BCBS PAYABLE</v>
      </c>
    </row>
    <row r="2579" spans="1:10" x14ac:dyDescent="0.3">
      <c r="A2579" t="str">
        <f>""</f>
        <v/>
      </c>
      <c r="B2579" t="str">
        <f>""</f>
        <v/>
      </c>
      <c r="G2579" t="str">
        <f>""</f>
        <v/>
      </c>
      <c r="H2579" t="str">
        <f>""</f>
        <v/>
      </c>
      <c r="J2579" t="str">
        <f t="shared" si="62"/>
        <v>BCBS PAYABLE</v>
      </c>
    </row>
    <row r="2580" spans="1:10" x14ac:dyDescent="0.3">
      <c r="A2580" t="str">
        <f>""</f>
        <v/>
      </c>
      <c r="B2580" t="str">
        <f>""</f>
        <v/>
      </c>
      <c r="G2580" t="str">
        <f>""</f>
        <v/>
      </c>
      <c r="H2580" t="str">
        <f>""</f>
        <v/>
      </c>
      <c r="J2580" t="str">
        <f t="shared" si="62"/>
        <v>BCBS PAYABLE</v>
      </c>
    </row>
    <row r="2581" spans="1:10" x14ac:dyDescent="0.3">
      <c r="A2581" t="str">
        <f>""</f>
        <v/>
      </c>
      <c r="B2581" t="str">
        <f>""</f>
        <v/>
      </c>
      <c r="G2581" t="str">
        <f>""</f>
        <v/>
      </c>
      <c r="H2581" t="str">
        <f>""</f>
        <v/>
      </c>
      <c r="J2581" t="str">
        <f t="shared" si="62"/>
        <v>BCBS PAYABLE</v>
      </c>
    </row>
    <row r="2582" spans="1:10" x14ac:dyDescent="0.3">
      <c r="A2582" t="str">
        <f>""</f>
        <v/>
      </c>
      <c r="B2582" t="str">
        <f>""</f>
        <v/>
      </c>
      <c r="G2582" t="str">
        <f>""</f>
        <v/>
      </c>
      <c r="H2582" t="str">
        <f>""</f>
        <v/>
      </c>
      <c r="J2582" t="str">
        <f t="shared" si="62"/>
        <v>BCBS PAYABLE</v>
      </c>
    </row>
    <row r="2583" spans="1:10" x14ac:dyDescent="0.3">
      <c r="A2583" t="str">
        <f>""</f>
        <v/>
      </c>
      <c r="B2583" t="str">
        <f>""</f>
        <v/>
      </c>
      <c r="G2583" t="str">
        <f>""</f>
        <v/>
      </c>
      <c r="H2583" t="str">
        <f>""</f>
        <v/>
      </c>
      <c r="J2583" t="str">
        <f t="shared" si="62"/>
        <v>BCBS PAYABLE</v>
      </c>
    </row>
    <row r="2584" spans="1:10" x14ac:dyDescent="0.3">
      <c r="A2584" t="str">
        <f>""</f>
        <v/>
      </c>
      <c r="B2584" t="str">
        <f>""</f>
        <v/>
      </c>
      <c r="G2584" t="str">
        <f>""</f>
        <v/>
      </c>
      <c r="H2584" t="str">
        <f>""</f>
        <v/>
      </c>
      <c r="J2584" t="str">
        <f t="shared" si="62"/>
        <v>BCBS PAYABLE</v>
      </c>
    </row>
    <row r="2585" spans="1:10" x14ac:dyDescent="0.3">
      <c r="A2585" t="str">
        <f>""</f>
        <v/>
      </c>
      <c r="B2585" t="str">
        <f>""</f>
        <v/>
      </c>
      <c r="G2585" t="str">
        <f>""</f>
        <v/>
      </c>
      <c r="H2585" t="str">
        <f>""</f>
        <v/>
      </c>
      <c r="J2585" t="str">
        <f t="shared" si="62"/>
        <v>BCBS PAYABLE</v>
      </c>
    </row>
    <row r="2586" spans="1:10" x14ac:dyDescent="0.3">
      <c r="A2586" t="str">
        <f>""</f>
        <v/>
      </c>
      <c r="B2586" t="str">
        <f>""</f>
        <v/>
      </c>
      <c r="G2586" t="str">
        <f>""</f>
        <v/>
      </c>
      <c r="H2586" t="str">
        <f>""</f>
        <v/>
      </c>
      <c r="J2586" t="str">
        <f t="shared" si="62"/>
        <v>BCBS PAYABLE</v>
      </c>
    </row>
    <row r="2587" spans="1:10" x14ac:dyDescent="0.3">
      <c r="A2587" t="str">
        <f>""</f>
        <v/>
      </c>
      <c r="B2587" t="str">
        <f>""</f>
        <v/>
      </c>
      <c r="G2587" t="str">
        <f>""</f>
        <v/>
      </c>
      <c r="H2587" t="str">
        <f>""</f>
        <v/>
      </c>
      <c r="J2587" t="str">
        <f t="shared" si="62"/>
        <v>BCBS PAYABLE</v>
      </c>
    </row>
    <row r="2588" spans="1:10" x14ac:dyDescent="0.3">
      <c r="A2588" t="str">
        <f>""</f>
        <v/>
      </c>
      <c r="B2588" t="str">
        <f>""</f>
        <v/>
      </c>
      <c r="G2588" t="str">
        <f>""</f>
        <v/>
      </c>
      <c r="H2588" t="str">
        <f>""</f>
        <v/>
      </c>
      <c r="J2588" t="str">
        <f t="shared" si="62"/>
        <v>BCBS PAYABLE</v>
      </c>
    </row>
    <row r="2589" spans="1:10" x14ac:dyDescent="0.3">
      <c r="A2589" t="str">
        <f>"01"</f>
        <v>01</v>
      </c>
      <c r="B2589" t="str">
        <f>"TAGO"</f>
        <v>TAGO</v>
      </c>
      <c r="C2589" t="s">
        <v>475</v>
      </c>
      <c r="D2589">
        <v>0</v>
      </c>
      <c r="E2589" s="2">
        <v>4023.6</v>
      </c>
      <c r="F2589" s="1">
        <v>42958</v>
      </c>
      <c r="G2589" t="str">
        <f>"C18201708094187"</f>
        <v>C18201708094187</v>
      </c>
      <c r="H2589" t="str">
        <f>"CAUSE# 0011635329"</f>
        <v>CAUSE# 0011635329</v>
      </c>
      <c r="I2589" s="2">
        <v>603.23</v>
      </c>
      <c r="J2589" t="str">
        <f>"CAUSE# 0011635329"</f>
        <v>CAUSE# 0011635329</v>
      </c>
    </row>
    <row r="2590" spans="1:10" x14ac:dyDescent="0.3">
      <c r="A2590" t="str">
        <f>""</f>
        <v/>
      </c>
      <c r="B2590" t="str">
        <f>""</f>
        <v/>
      </c>
      <c r="G2590" t="str">
        <f>"C2 201708094187"</f>
        <v>C2 201708094187</v>
      </c>
      <c r="H2590" t="str">
        <f>"0012982132CCL7445"</f>
        <v>0012982132CCL7445</v>
      </c>
      <c r="I2590" s="2">
        <v>692.31</v>
      </c>
      <c r="J2590" t="str">
        <f>"0012982132CCL7445"</f>
        <v>0012982132CCL7445</v>
      </c>
    </row>
    <row r="2591" spans="1:10" x14ac:dyDescent="0.3">
      <c r="A2591" t="str">
        <f>""</f>
        <v/>
      </c>
      <c r="B2591" t="str">
        <f>""</f>
        <v/>
      </c>
      <c r="G2591" t="str">
        <f>"C20201708094186"</f>
        <v>C20201708094186</v>
      </c>
      <c r="H2591" t="str">
        <f>"001003981107-12252"</f>
        <v>001003981107-12252</v>
      </c>
      <c r="I2591" s="2">
        <v>115.39</v>
      </c>
      <c r="J2591" t="str">
        <f>"001003981107-12252"</f>
        <v>001003981107-12252</v>
      </c>
    </row>
    <row r="2592" spans="1:10" x14ac:dyDescent="0.3">
      <c r="A2592" t="str">
        <f>""</f>
        <v/>
      </c>
      <c r="B2592" t="str">
        <f>""</f>
        <v/>
      </c>
      <c r="G2592" t="str">
        <f>"C39201708094186"</f>
        <v>C39201708094186</v>
      </c>
      <c r="H2592" t="str">
        <f>"0012352184423-1520"</f>
        <v>0012352184423-1520</v>
      </c>
      <c r="I2592" s="2">
        <v>273.23</v>
      </c>
      <c r="J2592" t="str">
        <f>"0012352184423-1520"</f>
        <v>0012352184423-1520</v>
      </c>
    </row>
    <row r="2593" spans="1:10" x14ac:dyDescent="0.3">
      <c r="A2593" t="str">
        <f>""</f>
        <v/>
      </c>
      <c r="B2593" t="str">
        <f>""</f>
        <v/>
      </c>
      <c r="G2593" t="str">
        <f>"C42201708094186"</f>
        <v>C42201708094186</v>
      </c>
      <c r="H2593" t="str">
        <f>"001236769211-14410"</f>
        <v>001236769211-14410</v>
      </c>
      <c r="I2593" s="2">
        <v>230.31</v>
      </c>
      <c r="J2593" t="str">
        <f>"001236769211-14410"</f>
        <v>001236769211-14410</v>
      </c>
    </row>
    <row r="2594" spans="1:10" x14ac:dyDescent="0.3">
      <c r="A2594" t="str">
        <f>""</f>
        <v/>
      </c>
      <c r="B2594" t="str">
        <f>""</f>
        <v/>
      </c>
      <c r="G2594" t="str">
        <f>"C46201708094186"</f>
        <v>C46201708094186</v>
      </c>
      <c r="H2594" t="str">
        <f>"CAUSE# 11-14911"</f>
        <v>CAUSE# 11-14911</v>
      </c>
      <c r="I2594" s="2">
        <v>238.62</v>
      </c>
      <c r="J2594" t="str">
        <f>"CAUSE# 11-14911"</f>
        <v>CAUSE# 11-14911</v>
      </c>
    </row>
    <row r="2595" spans="1:10" x14ac:dyDescent="0.3">
      <c r="A2595" t="str">
        <f>""</f>
        <v/>
      </c>
      <c r="B2595" t="str">
        <f>""</f>
        <v/>
      </c>
      <c r="G2595" t="str">
        <f>"C53201708094186"</f>
        <v>C53201708094186</v>
      </c>
      <c r="H2595" t="str">
        <f>"0012453366"</f>
        <v>0012453366</v>
      </c>
      <c r="I2595" s="2">
        <v>207.69</v>
      </c>
      <c r="J2595" t="str">
        <f>"0012453366"</f>
        <v>0012453366</v>
      </c>
    </row>
    <row r="2596" spans="1:10" x14ac:dyDescent="0.3">
      <c r="A2596" t="str">
        <f>""</f>
        <v/>
      </c>
      <c r="B2596" t="str">
        <f>""</f>
        <v/>
      </c>
      <c r="G2596" t="str">
        <f>"C59201708094186"</f>
        <v>C59201708094186</v>
      </c>
      <c r="H2596" t="str">
        <f>"0012936495140043"</f>
        <v>0012936495140043</v>
      </c>
      <c r="I2596" s="2">
        <v>226.15</v>
      </c>
      <c r="J2596" t="str">
        <f>"0012936495140043"</f>
        <v>0012936495140043</v>
      </c>
    </row>
    <row r="2597" spans="1:10" x14ac:dyDescent="0.3">
      <c r="A2597" t="str">
        <f>""</f>
        <v/>
      </c>
      <c r="B2597" t="str">
        <f>""</f>
        <v/>
      </c>
      <c r="G2597" t="str">
        <f>"C60201708094186"</f>
        <v>C60201708094186</v>
      </c>
      <c r="H2597" t="str">
        <f>"00130730762012V300"</f>
        <v>00130730762012V300</v>
      </c>
      <c r="I2597" s="2">
        <v>399.32</v>
      </c>
      <c r="J2597" t="str">
        <f>"00130730762012V300"</f>
        <v>00130730762012V300</v>
      </c>
    </row>
    <row r="2598" spans="1:10" x14ac:dyDescent="0.3">
      <c r="A2598" t="str">
        <f>""</f>
        <v/>
      </c>
      <c r="B2598" t="str">
        <f>""</f>
        <v/>
      </c>
      <c r="G2598" t="str">
        <f>"C61201708094186"</f>
        <v>C61201708094186</v>
      </c>
      <c r="H2598" t="str">
        <f>"001174398213713"</f>
        <v>001174398213713</v>
      </c>
      <c r="I2598" s="2">
        <v>6.42</v>
      </c>
      <c r="J2598" t="str">
        <f>"001174398213713"</f>
        <v>001174398213713</v>
      </c>
    </row>
    <row r="2599" spans="1:10" x14ac:dyDescent="0.3">
      <c r="A2599" t="str">
        <f>""</f>
        <v/>
      </c>
      <c r="B2599" t="str">
        <f>""</f>
        <v/>
      </c>
      <c r="G2599" t="str">
        <f>"C62201708094186"</f>
        <v>C62201708094186</v>
      </c>
      <c r="H2599" t="str">
        <f>"# 0012128865"</f>
        <v># 0012128865</v>
      </c>
      <c r="I2599" s="2">
        <v>243.23</v>
      </c>
      <c r="J2599" t="str">
        <f>"# 0012128865"</f>
        <v># 0012128865</v>
      </c>
    </row>
    <row r="2600" spans="1:10" x14ac:dyDescent="0.3">
      <c r="A2600" t="str">
        <f>""</f>
        <v/>
      </c>
      <c r="B2600" t="str">
        <f>""</f>
        <v/>
      </c>
      <c r="G2600" t="str">
        <f>"C63201708094186"</f>
        <v>C63201708094186</v>
      </c>
      <c r="H2600" t="str">
        <f>"00132751231517246"</f>
        <v>00132751231517246</v>
      </c>
      <c r="I2600" s="2">
        <v>46.15</v>
      </c>
      <c r="J2600" t="str">
        <f>"00132751231517246"</f>
        <v>00132751231517246</v>
      </c>
    </row>
    <row r="2601" spans="1:10" x14ac:dyDescent="0.3">
      <c r="A2601" t="str">
        <f>""</f>
        <v/>
      </c>
      <c r="B2601" t="str">
        <f>""</f>
        <v/>
      </c>
      <c r="G2601" t="str">
        <f>"C65201708094186"</f>
        <v>C65201708094186</v>
      </c>
      <c r="H2601" t="str">
        <f>"12-14956"</f>
        <v>12-14956</v>
      </c>
      <c r="I2601" s="2">
        <v>411.1</v>
      </c>
      <c r="J2601" t="str">
        <f>"12-14956"</f>
        <v>12-14956</v>
      </c>
    </row>
    <row r="2602" spans="1:10" x14ac:dyDescent="0.3">
      <c r="A2602" t="str">
        <f>""</f>
        <v/>
      </c>
      <c r="B2602" t="str">
        <f>""</f>
        <v/>
      </c>
      <c r="G2602" t="str">
        <f>"C66201708094186"</f>
        <v>C66201708094186</v>
      </c>
      <c r="H2602" t="str">
        <f>"# 0012871801"</f>
        <v># 0012871801</v>
      </c>
      <c r="I2602" s="2">
        <v>90</v>
      </c>
      <c r="J2602" t="str">
        <f>"# 0012871801"</f>
        <v># 0012871801</v>
      </c>
    </row>
    <row r="2603" spans="1:10" x14ac:dyDescent="0.3">
      <c r="A2603" t="str">
        <f>""</f>
        <v/>
      </c>
      <c r="B2603" t="str">
        <f>""</f>
        <v/>
      </c>
      <c r="G2603" t="str">
        <f>"C66201708094188"</f>
        <v>C66201708094188</v>
      </c>
      <c r="H2603" t="str">
        <f>"CAUSE#D1FM13007058"</f>
        <v>CAUSE#D1FM13007058</v>
      </c>
      <c r="I2603" s="2">
        <v>138.46</v>
      </c>
      <c r="J2603" t="str">
        <f>"CAUSE#D1FM13007058"</f>
        <v>CAUSE#D1FM13007058</v>
      </c>
    </row>
    <row r="2604" spans="1:10" x14ac:dyDescent="0.3">
      <c r="A2604" t="str">
        <f>""</f>
        <v/>
      </c>
      <c r="B2604" t="str">
        <f>""</f>
        <v/>
      </c>
      <c r="G2604" t="str">
        <f>"C67201708094186"</f>
        <v>C67201708094186</v>
      </c>
      <c r="H2604" t="str">
        <f>"13154657"</f>
        <v>13154657</v>
      </c>
      <c r="I2604" s="2">
        <v>101.99</v>
      </c>
      <c r="J2604" t="str">
        <f>"13154657"</f>
        <v>13154657</v>
      </c>
    </row>
    <row r="2605" spans="1:10" x14ac:dyDescent="0.3">
      <c r="A2605" t="str">
        <f>"01"</f>
        <v>01</v>
      </c>
      <c r="B2605" t="str">
        <f>"TAGO"</f>
        <v>TAGO</v>
      </c>
      <c r="C2605" t="s">
        <v>475</v>
      </c>
      <c r="D2605">
        <v>0</v>
      </c>
      <c r="E2605" s="2">
        <v>4023.6</v>
      </c>
      <c r="F2605" s="1">
        <v>42972</v>
      </c>
      <c r="G2605" t="str">
        <f>"C18201708244446"</f>
        <v>C18201708244446</v>
      </c>
      <c r="H2605" t="str">
        <f>"CAUSE# 0011635329"</f>
        <v>CAUSE# 0011635329</v>
      </c>
      <c r="I2605" s="2">
        <v>603.23</v>
      </c>
      <c r="J2605" t="str">
        <f>"CAUSE# 0011635329"</f>
        <v>CAUSE# 0011635329</v>
      </c>
    </row>
    <row r="2606" spans="1:10" x14ac:dyDescent="0.3">
      <c r="A2606" t="str">
        <f>""</f>
        <v/>
      </c>
      <c r="B2606" t="str">
        <f>""</f>
        <v/>
      </c>
      <c r="G2606" t="str">
        <f>"C2 201708244446"</f>
        <v>C2 201708244446</v>
      </c>
      <c r="H2606" t="str">
        <f>"0012982132CCL7445"</f>
        <v>0012982132CCL7445</v>
      </c>
      <c r="I2606" s="2">
        <v>692.31</v>
      </c>
      <c r="J2606" t="str">
        <f>"0012982132CCL7445"</f>
        <v>0012982132CCL7445</v>
      </c>
    </row>
    <row r="2607" spans="1:10" x14ac:dyDescent="0.3">
      <c r="A2607" t="str">
        <f>""</f>
        <v/>
      </c>
      <c r="B2607" t="str">
        <f>""</f>
        <v/>
      </c>
      <c r="G2607" t="str">
        <f>"C20201708234445"</f>
        <v>C20201708234445</v>
      </c>
      <c r="H2607" t="str">
        <f>"001003981107-12252"</f>
        <v>001003981107-12252</v>
      </c>
      <c r="I2607" s="2">
        <v>115.39</v>
      </c>
      <c r="J2607" t="str">
        <f>"001003981107-12252"</f>
        <v>001003981107-12252</v>
      </c>
    </row>
    <row r="2608" spans="1:10" x14ac:dyDescent="0.3">
      <c r="A2608" t="str">
        <f>""</f>
        <v/>
      </c>
      <c r="B2608" t="str">
        <f>""</f>
        <v/>
      </c>
      <c r="G2608" t="str">
        <f>"C39201708234445"</f>
        <v>C39201708234445</v>
      </c>
      <c r="H2608" t="str">
        <f>"0012352184423-1520"</f>
        <v>0012352184423-1520</v>
      </c>
      <c r="I2608" s="2">
        <v>273.23</v>
      </c>
      <c r="J2608" t="str">
        <f>"0012352184423-1520"</f>
        <v>0012352184423-1520</v>
      </c>
    </row>
    <row r="2609" spans="1:10" x14ac:dyDescent="0.3">
      <c r="A2609" t="str">
        <f>""</f>
        <v/>
      </c>
      <c r="B2609" t="str">
        <f>""</f>
        <v/>
      </c>
      <c r="G2609" t="str">
        <f>"C42201708234445"</f>
        <v>C42201708234445</v>
      </c>
      <c r="H2609" t="str">
        <f>"001236769211-14410"</f>
        <v>001236769211-14410</v>
      </c>
      <c r="I2609" s="2">
        <v>230.31</v>
      </c>
      <c r="J2609" t="str">
        <f>"001236769211-14410"</f>
        <v>001236769211-14410</v>
      </c>
    </row>
    <row r="2610" spans="1:10" x14ac:dyDescent="0.3">
      <c r="A2610" t="str">
        <f>""</f>
        <v/>
      </c>
      <c r="B2610" t="str">
        <f>""</f>
        <v/>
      </c>
      <c r="G2610" t="str">
        <f>"C46201708234445"</f>
        <v>C46201708234445</v>
      </c>
      <c r="H2610" t="str">
        <f>"CAUSE# 11-14911"</f>
        <v>CAUSE# 11-14911</v>
      </c>
      <c r="I2610" s="2">
        <v>238.62</v>
      </c>
      <c r="J2610" t="str">
        <f>"CAUSE# 11-14911"</f>
        <v>CAUSE# 11-14911</v>
      </c>
    </row>
    <row r="2611" spans="1:10" x14ac:dyDescent="0.3">
      <c r="A2611" t="str">
        <f>""</f>
        <v/>
      </c>
      <c r="B2611" t="str">
        <f>""</f>
        <v/>
      </c>
      <c r="G2611" t="str">
        <f>"C53201708234445"</f>
        <v>C53201708234445</v>
      </c>
      <c r="H2611" t="str">
        <f>"0012453366"</f>
        <v>0012453366</v>
      </c>
      <c r="I2611" s="2">
        <v>207.69</v>
      </c>
      <c r="J2611" t="str">
        <f>"0012453366"</f>
        <v>0012453366</v>
      </c>
    </row>
    <row r="2612" spans="1:10" x14ac:dyDescent="0.3">
      <c r="A2612" t="str">
        <f>""</f>
        <v/>
      </c>
      <c r="B2612" t="str">
        <f>""</f>
        <v/>
      </c>
      <c r="G2612" t="str">
        <f>"C59201708234445"</f>
        <v>C59201708234445</v>
      </c>
      <c r="H2612" t="str">
        <f>"0012936495140043"</f>
        <v>0012936495140043</v>
      </c>
      <c r="I2612" s="2">
        <v>226.15</v>
      </c>
      <c r="J2612" t="str">
        <f>"0012936495140043"</f>
        <v>0012936495140043</v>
      </c>
    </row>
    <row r="2613" spans="1:10" x14ac:dyDescent="0.3">
      <c r="A2613" t="str">
        <f>""</f>
        <v/>
      </c>
      <c r="B2613" t="str">
        <f>""</f>
        <v/>
      </c>
      <c r="G2613" t="str">
        <f>"C60201708234445"</f>
        <v>C60201708234445</v>
      </c>
      <c r="H2613" t="str">
        <f>"00130730762012V300"</f>
        <v>00130730762012V300</v>
      </c>
      <c r="I2613" s="2">
        <v>399.32</v>
      </c>
      <c r="J2613" t="str">
        <f>"00130730762012V300"</f>
        <v>00130730762012V300</v>
      </c>
    </row>
    <row r="2614" spans="1:10" x14ac:dyDescent="0.3">
      <c r="A2614" t="str">
        <f>""</f>
        <v/>
      </c>
      <c r="B2614" t="str">
        <f>""</f>
        <v/>
      </c>
      <c r="G2614" t="str">
        <f>"C61201708234445"</f>
        <v>C61201708234445</v>
      </c>
      <c r="H2614" t="str">
        <f>"001174398213713"</f>
        <v>001174398213713</v>
      </c>
      <c r="I2614" s="2">
        <v>6.42</v>
      </c>
      <c r="J2614" t="str">
        <f>"001174398213713"</f>
        <v>001174398213713</v>
      </c>
    </row>
    <row r="2615" spans="1:10" x14ac:dyDescent="0.3">
      <c r="A2615" t="str">
        <f>""</f>
        <v/>
      </c>
      <c r="B2615" t="str">
        <f>""</f>
        <v/>
      </c>
      <c r="G2615" t="str">
        <f>"C62201708234445"</f>
        <v>C62201708234445</v>
      </c>
      <c r="H2615" t="str">
        <f>"# 0012128865"</f>
        <v># 0012128865</v>
      </c>
      <c r="I2615" s="2">
        <v>243.23</v>
      </c>
      <c r="J2615" t="str">
        <f>"# 0012128865"</f>
        <v># 0012128865</v>
      </c>
    </row>
    <row r="2616" spans="1:10" x14ac:dyDescent="0.3">
      <c r="A2616" t="str">
        <f>""</f>
        <v/>
      </c>
      <c r="B2616" t="str">
        <f>""</f>
        <v/>
      </c>
      <c r="G2616" t="str">
        <f>"C63201708234445"</f>
        <v>C63201708234445</v>
      </c>
      <c r="H2616" t="str">
        <f>"00132751231517246"</f>
        <v>00132751231517246</v>
      </c>
      <c r="I2616" s="2">
        <v>46.15</v>
      </c>
      <c r="J2616" t="str">
        <f>"00132751231517246"</f>
        <v>00132751231517246</v>
      </c>
    </row>
    <row r="2617" spans="1:10" x14ac:dyDescent="0.3">
      <c r="A2617" t="str">
        <f>""</f>
        <v/>
      </c>
      <c r="B2617" t="str">
        <f>""</f>
        <v/>
      </c>
      <c r="G2617" t="str">
        <f>"C65201708234445"</f>
        <v>C65201708234445</v>
      </c>
      <c r="H2617" t="str">
        <f>"12-14956"</f>
        <v>12-14956</v>
      </c>
      <c r="I2617" s="2">
        <v>411.1</v>
      </c>
      <c r="J2617" t="str">
        <f>"12-14956"</f>
        <v>12-14956</v>
      </c>
    </row>
    <row r="2618" spans="1:10" x14ac:dyDescent="0.3">
      <c r="A2618" t="str">
        <f>""</f>
        <v/>
      </c>
      <c r="B2618" t="str">
        <f>""</f>
        <v/>
      </c>
      <c r="G2618" t="str">
        <f>"C66201708234445"</f>
        <v>C66201708234445</v>
      </c>
      <c r="H2618" t="str">
        <f>"# 0012871801"</f>
        <v># 0012871801</v>
      </c>
      <c r="I2618" s="2">
        <v>90</v>
      </c>
      <c r="J2618" t="str">
        <f>"# 0012871801"</f>
        <v># 0012871801</v>
      </c>
    </row>
    <row r="2619" spans="1:10" x14ac:dyDescent="0.3">
      <c r="A2619" t="str">
        <f>""</f>
        <v/>
      </c>
      <c r="B2619" t="str">
        <f>""</f>
        <v/>
      </c>
      <c r="G2619" t="str">
        <f>"C66201708244447"</f>
        <v>C66201708244447</v>
      </c>
      <c r="H2619" t="str">
        <f>"CAUSE#D1FM13007058"</f>
        <v>CAUSE#D1FM13007058</v>
      </c>
      <c r="I2619" s="2">
        <v>138.46</v>
      </c>
      <c r="J2619" t="str">
        <f>"CAUSE#D1FM13007058"</f>
        <v>CAUSE#D1FM13007058</v>
      </c>
    </row>
    <row r="2620" spans="1:10" x14ac:dyDescent="0.3">
      <c r="A2620" t="str">
        <f>""</f>
        <v/>
      </c>
      <c r="B2620" t="str">
        <f>""</f>
        <v/>
      </c>
      <c r="G2620" t="str">
        <f>"C67201708234445"</f>
        <v>C67201708234445</v>
      </c>
      <c r="H2620" t="str">
        <f>"13154657"</f>
        <v>13154657</v>
      </c>
      <c r="I2620" s="2">
        <v>101.99</v>
      </c>
      <c r="J2620" t="str">
        <f>"13154657"</f>
        <v>13154657</v>
      </c>
    </row>
    <row r="2621" spans="1:10" x14ac:dyDescent="0.3">
      <c r="A2621" t="str">
        <f>"01"</f>
        <v>01</v>
      </c>
      <c r="B2621" t="str">
        <f>"TCDRS"</f>
        <v>TCDRS</v>
      </c>
      <c r="C2621" t="s">
        <v>476</v>
      </c>
      <c r="D2621">
        <v>0</v>
      </c>
      <c r="E2621" s="2">
        <v>301615.98</v>
      </c>
      <c r="F2621" s="1">
        <v>42972</v>
      </c>
      <c r="G2621" t="str">
        <f>"RET201708094186"</f>
        <v>RET201708094186</v>
      </c>
      <c r="H2621" t="str">
        <f>"TEXAS COUNTY &amp; DISTRICT RET"</f>
        <v>TEXAS COUNTY &amp; DISTRICT RET</v>
      </c>
      <c r="I2621" s="2">
        <v>138907.19</v>
      </c>
      <c r="J2621" t="str">
        <f t="shared" ref="J2621:J2652" si="63">"TEXAS COUNTY &amp; DISTRICT RET"</f>
        <v>TEXAS COUNTY &amp; DISTRICT RET</v>
      </c>
    </row>
    <row r="2622" spans="1:10" x14ac:dyDescent="0.3">
      <c r="A2622" t="str">
        <f>""</f>
        <v/>
      </c>
      <c r="B2622" t="str">
        <f>""</f>
        <v/>
      </c>
      <c r="G2622" t="str">
        <f>""</f>
        <v/>
      </c>
      <c r="H2622" t="str">
        <f>""</f>
        <v/>
      </c>
      <c r="J2622" t="str">
        <f t="shared" si="63"/>
        <v>TEXAS COUNTY &amp; DISTRICT RET</v>
      </c>
    </row>
    <row r="2623" spans="1:10" x14ac:dyDescent="0.3">
      <c r="A2623" t="str">
        <f>""</f>
        <v/>
      </c>
      <c r="B2623" t="str">
        <f>""</f>
        <v/>
      </c>
      <c r="G2623" t="str">
        <f>""</f>
        <v/>
      </c>
      <c r="H2623" t="str">
        <f>""</f>
        <v/>
      </c>
      <c r="J2623" t="str">
        <f t="shared" si="63"/>
        <v>TEXAS COUNTY &amp; DISTRICT RET</v>
      </c>
    </row>
    <row r="2624" spans="1:10" x14ac:dyDescent="0.3">
      <c r="A2624" t="str">
        <f>""</f>
        <v/>
      </c>
      <c r="B2624" t="str">
        <f>""</f>
        <v/>
      </c>
      <c r="G2624" t="str">
        <f>""</f>
        <v/>
      </c>
      <c r="H2624" t="str">
        <f>""</f>
        <v/>
      </c>
      <c r="J2624" t="str">
        <f t="shared" si="63"/>
        <v>TEXAS COUNTY &amp; DISTRICT RET</v>
      </c>
    </row>
    <row r="2625" spans="1:10" x14ac:dyDescent="0.3">
      <c r="A2625" t="str">
        <f>""</f>
        <v/>
      </c>
      <c r="B2625" t="str">
        <f>""</f>
        <v/>
      </c>
      <c r="G2625" t="str">
        <f>""</f>
        <v/>
      </c>
      <c r="H2625" t="str">
        <f>""</f>
        <v/>
      </c>
      <c r="J2625" t="str">
        <f t="shared" si="63"/>
        <v>TEXAS COUNTY &amp; DISTRICT RET</v>
      </c>
    </row>
    <row r="2626" spans="1:10" x14ac:dyDescent="0.3">
      <c r="A2626" t="str">
        <f>""</f>
        <v/>
      </c>
      <c r="B2626" t="str">
        <f>""</f>
        <v/>
      </c>
      <c r="G2626" t="str">
        <f>""</f>
        <v/>
      </c>
      <c r="H2626" t="str">
        <f>""</f>
        <v/>
      </c>
      <c r="J2626" t="str">
        <f t="shared" si="63"/>
        <v>TEXAS COUNTY &amp; DISTRICT RET</v>
      </c>
    </row>
    <row r="2627" spans="1:10" x14ac:dyDescent="0.3">
      <c r="A2627" t="str">
        <f>""</f>
        <v/>
      </c>
      <c r="B2627" t="str">
        <f>""</f>
        <v/>
      </c>
      <c r="G2627" t="str">
        <f>""</f>
        <v/>
      </c>
      <c r="H2627" t="str">
        <f>""</f>
        <v/>
      </c>
      <c r="J2627" t="str">
        <f t="shared" si="63"/>
        <v>TEXAS COUNTY &amp; DISTRICT RET</v>
      </c>
    </row>
    <row r="2628" spans="1:10" x14ac:dyDescent="0.3">
      <c r="A2628" t="str">
        <f>""</f>
        <v/>
      </c>
      <c r="B2628" t="str">
        <f>""</f>
        <v/>
      </c>
      <c r="G2628" t="str">
        <f>""</f>
        <v/>
      </c>
      <c r="H2628" t="str">
        <f>""</f>
        <v/>
      </c>
      <c r="J2628" t="str">
        <f t="shared" si="63"/>
        <v>TEXAS COUNTY &amp; DISTRICT RET</v>
      </c>
    </row>
    <row r="2629" spans="1:10" x14ac:dyDescent="0.3">
      <c r="A2629" t="str">
        <f>""</f>
        <v/>
      </c>
      <c r="B2629" t="str">
        <f>""</f>
        <v/>
      </c>
      <c r="G2629" t="str">
        <f>""</f>
        <v/>
      </c>
      <c r="H2629" t="str">
        <f>""</f>
        <v/>
      </c>
      <c r="J2629" t="str">
        <f t="shared" si="63"/>
        <v>TEXAS COUNTY &amp; DISTRICT RET</v>
      </c>
    </row>
    <row r="2630" spans="1:10" x14ac:dyDescent="0.3">
      <c r="A2630" t="str">
        <f>""</f>
        <v/>
      </c>
      <c r="B2630" t="str">
        <f>""</f>
        <v/>
      </c>
      <c r="G2630" t="str">
        <f>""</f>
        <v/>
      </c>
      <c r="H2630" t="str">
        <f>""</f>
        <v/>
      </c>
      <c r="J2630" t="str">
        <f t="shared" si="63"/>
        <v>TEXAS COUNTY &amp; DISTRICT RET</v>
      </c>
    </row>
    <row r="2631" spans="1:10" x14ac:dyDescent="0.3">
      <c r="A2631" t="str">
        <f>""</f>
        <v/>
      </c>
      <c r="B2631" t="str">
        <f>""</f>
        <v/>
      </c>
      <c r="G2631" t="str">
        <f>""</f>
        <v/>
      </c>
      <c r="H2631" t="str">
        <f>""</f>
        <v/>
      </c>
      <c r="J2631" t="str">
        <f t="shared" si="63"/>
        <v>TEXAS COUNTY &amp; DISTRICT RET</v>
      </c>
    </row>
    <row r="2632" spans="1:10" x14ac:dyDescent="0.3">
      <c r="A2632" t="str">
        <f>""</f>
        <v/>
      </c>
      <c r="B2632" t="str">
        <f>""</f>
        <v/>
      </c>
      <c r="G2632" t="str">
        <f>""</f>
        <v/>
      </c>
      <c r="H2632" t="str">
        <f>""</f>
        <v/>
      </c>
      <c r="J2632" t="str">
        <f t="shared" si="63"/>
        <v>TEXAS COUNTY &amp; DISTRICT RET</v>
      </c>
    </row>
    <row r="2633" spans="1:10" x14ac:dyDescent="0.3">
      <c r="A2633" t="str">
        <f>""</f>
        <v/>
      </c>
      <c r="B2633" t="str">
        <f>""</f>
        <v/>
      </c>
      <c r="G2633" t="str">
        <f>""</f>
        <v/>
      </c>
      <c r="H2633" t="str">
        <f>""</f>
        <v/>
      </c>
      <c r="J2633" t="str">
        <f t="shared" si="63"/>
        <v>TEXAS COUNTY &amp; DISTRICT RET</v>
      </c>
    </row>
    <row r="2634" spans="1:10" x14ac:dyDescent="0.3">
      <c r="A2634" t="str">
        <f>""</f>
        <v/>
      </c>
      <c r="B2634" t="str">
        <f>""</f>
        <v/>
      </c>
      <c r="G2634" t="str">
        <f>""</f>
        <v/>
      </c>
      <c r="H2634" t="str">
        <f>""</f>
        <v/>
      </c>
      <c r="J2634" t="str">
        <f t="shared" si="63"/>
        <v>TEXAS COUNTY &amp; DISTRICT RET</v>
      </c>
    </row>
    <row r="2635" spans="1:10" x14ac:dyDescent="0.3">
      <c r="A2635" t="str">
        <f>""</f>
        <v/>
      </c>
      <c r="B2635" t="str">
        <f>""</f>
        <v/>
      </c>
      <c r="G2635" t="str">
        <f>""</f>
        <v/>
      </c>
      <c r="H2635" t="str">
        <f>""</f>
        <v/>
      </c>
      <c r="J2635" t="str">
        <f t="shared" si="63"/>
        <v>TEXAS COUNTY &amp; DISTRICT RET</v>
      </c>
    </row>
    <row r="2636" spans="1:10" x14ac:dyDescent="0.3">
      <c r="A2636" t="str">
        <f>""</f>
        <v/>
      </c>
      <c r="B2636" t="str">
        <f>""</f>
        <v/>
      </c>
      <c r="G2636" t="str">
        <f>""</f>
        <v/>
      </c>
      <c r="H2636" t="str">
        <f>""</f>
        <v/>
      </c>
      <c r="J2636" t="str">
        <f t="shared" si="63"/>
        <v>TEXAS COUNTY &amp; DISTRICT RET</v>
      </c>
    </row>
    <row r="2637" spans="1:10" x14ac:dyDescent="0.3">
      <c r="A2637" t="str">
        <f>""</f>
        <v/>
      </c>
      <c r="B2637" t="str">
        <f>""</f>
        <v/>
      </c>
      <c r="G2637" t="str">
        <f>""</f>
        <v/>
      </c>
      <c r="H2637" t="str">
        <f>""</f>
        <v/>
      </c>
      <c r="J2637" t="str">
        <f t="shared" si="63"/>
        <v>TEXAS COUNTY &amp; DISTRICT RET</v>
      </c>
    </row>
    <row r="2638" spans="1:10" x14ac:dyDescent="0.3">
      <c r="A2638" t="str">
        <f>""</f>
        <v/>
      </c>
      <c r="B2638" t="str">
        <f>""</f>
        <v/>
      </c>
      <c r="G2638" t="str">
        <f>""</f>
        <v/>
      </c>
      <c r="H2638" t="str">
        <f>""</f>
        <v/>
      </c>
      <c r="J2638" t="str">
        <f t="shared" si="63"/>
        <v>TEXAS COUNTY &amp; DISTRICT RET</v>
      </c>
    </row>
    <row r="2639" spans="1:10" x14ac:dyDescent="0.3">
      <c r="A2639" t="str">
        <f>""</f>
        <v/>
      </c>
      <c r="B2639" t="str">
        <f>""</f>
        <v/>
      </c>
      <c r="G2639" t="str">
        <f>""</f>
        <v/>
      </c>
      <c r="H2639" t="str">
        <f>""</f>
        <v/>
      </c>
      <c r="J2639" t="str">
        <f t="shared" si="63"/>
        <v>TEXAS COUNTY &amp; DISTRICT RET</v>
      </c>
    </row>
    <row r="2640" spans="1:10" x14ac:dyDescent="0.3">
      <c r="A2640" t="str">
        <f>""</f>
        <v/>
      </c>
      <c r="B2640" t="str">
        <f>""</f>
        <v/>
      </c>
      <c r="G2640" t="str">
        <f>""</f>
        <v/>
      </c>
      <c r="H2640" t="str">
        <f>""</f>
        <v/>
      </c>
      <c r="J2640" t="str">
        <f t="shared" si="63"/>
        <v>TEXAS COUNTY &amp; DISTRICT RET</v>
      </c>
    </row>
    <row r="2641" spans="1:10" x14ac:dyDescent="0.3">
      <c r="A2641" t="str">
        <f>""</f>
        <v/>
      </c>
      <c r="B2641" t="str">
        <f>""</f>
        <v/>
      </c>
      <c r="G2641" t="str">
        <f>""</f>
        <v/>
      </c>
      <c r="H2641" t="str">
        <f>""</f>
        <v/>
      </c>
      <c r="J2641" t="str">
        <f t="shared" si="63"/>
        <v>TEXAS COUNTY &amp; DISTRICT RET</v>
      </c>
    </row>
    <row r="2642" spans="1:10" x14ac:dyDescent="0.3">
      <c r="A2642" t="str">
        <f>""</f>
        <v/>
      </c>
      <c r="B2642" t="str">
        <f>""</f>
        <v/>
      </c>
      <c r="G2642" t="str">
        <f>""</f>
        <v/>
      </c>
      <c r="H2642" t="str">
        <f>""</f>
        <v/>
      </c>
      <c r="J2642" t="str">
        <f t="shared" si="63"/>
        <v>TEXAS COUNTY &amp; DISTRICT RET</v>
      </c>
    </row>
    <row r="2643" spans="1:10" x14ac:dyDescent="0.3">
      <c r="A2643" t="str">
        <f>""</f>
        <v/>
      </c>
      <c r="B2643" t="str">
        <f>""</f>
        <v/>
      </c>
      <c r="G2643" t="str">
        <f>""</f>
        <v/>
      </c>
      <c r="H2643" t="str">
        <f>""</f>
        <v/>
      </c>
      <c r="J2643" t="str">
        <f t="shared" si="63"/>
        <v>TEXAS COUNTY &amp; DISTRICT RET</v>
      </c>
    </row>
    <row r="2644" spans="1:10" x14ac:dyDescent="0.3">
      <c r="A2644" t="str">
        <f>""</f>
        <v/>
      </c>
      <c r="B2644" t="str">
        <f>""</f>
        <v/>
      </c>
      <c r="G2644" t="str">
        <f>""</f>
        <v/>
      </c>
      <c r="H2644" t="str">
        <f>""</f>
        <v/>
      </c>
      <c r="J2644" t="str">
        <f t="shared" si="63"/>
        <v>TEXAS COUNTY &amp; DISTRICT RET</v>
      </c>
    </row>
    <row r="2645" spans="1:10" x14ac:dyDescent="0.3">
      <c r="A2645" t="str">
        <f>""</f>
        <v/>
      </c>
      <c r="B2645" t="str">
        <f>""</f>
        <v/>
      </c>
      <c r="G2645" t="str">
        <f>""</f>
        <v/>
      </c>
      <c r="H2645" t="str">
        <f>""</f>
        <v/>
      </c>
      <c r="J2645" t="str">
        <f t="shared" si="63"/>
        <v>TEXAS COUNTY &amp; DISTRICT RET</v>
      </c>
    </row>
    <row r="2646" spans="1:10" x14ac:dyDescent="0.3">
      <c r="A2646" t="str">
        <f>""</f>
        <v/>
      </c>
      <c r="B2646" t="str">
        <f>""</f>
        <v/>
      </c>
      <c r="G2646" t="str">
        <f>""</f>
        <v/>
      </c>
      <c r="H2646" t="str">
        <f>""</f>
        <v/>
      </c>
      <c r="J2646" t="str">
        <f t="shared" si="63"/>
        <v>TEXAS COUNTY &amp; DISTRICT RET</v>
      </c>
    </row>
    <row r="2647" spans="1:10" x14ac:dyDescent="0.3">
      <c r="A2647" t="str">
        <f>""</f>
        <v/>
      </c>
      <c r="B2647" t="str">
        <f>""</f>
        <v/>
      </c>
      <c r="G2647" t="str">
        <f>""</f>
        <v/>
      </c>
      <c r="H2647" t="str">
        <f>""</f>
        <v/>
      </c>
      <c r="J2647" t="str">
        <f t="shared" si="63"/>
        <v>TEXAS COUNTY &amp; DISTRICT RET</v>
      </c>
    </row>
    <row r="2648" spans="1:10" x14ac:dyDescent="0.3">
      <c r="A2648" t="str">
        <f>""</f>
        <v/>
      </c>
      <c r="B2648" t="str">
        <f>""</f>
        <v/>
      </c>
      <c r="G2648" t="str">
        <f>""</f>
        <v/>
      </c>
      <c r="H2648" t="str">
        <f>""</f>
        <v/>
      </c>
      <c r="J2648" t="str">
        <f t="shared" si="63"/>
        <v>TEXAS COUNTY &amp; DISTRICT RET</v>
      </c>
    </row>
    <row r="2649" spans="1:10" x14ac:dyDescent="0.3">
      <c r="A2649" t="str">
        <f>""</f>
        <v/>
      </c>
      <c r="B2649" t="str">
        <f>""</f>
        <v/>
      </c>
      <c r="G2649" t="str">
        <f>""</f>
        <v/>
      </c>
      <c r="H2649" t="str">
        <f>""</f>
        <v/>
      </c>
      <c r="J2649" t="str">
        <f t="shared" si="63"/>
        <v>TEXAS COUNTY &amp; DISTRICT RET</v>
      </c>
    </row>
    <row r="2650" spans="1:10" x14ac:dyDescent="0.3">
      <c r="A2650" t="str">
        <f>""</f>
        <v/>
      </c>
      <c r="B2650" t="str">
        <f>""</f>
        <v/>
      </c>
      <c r="G2650" t="str">
        <f>""</f>
        <v/>
      </c>
      <c r="H2650" t="str">
        <f>""</f>
        <v/>
      </c>
      <c r="J2650" t="str">
        <f t="shared" si="63"/>
        <v>TEXAS COUNTY &amp; DISTRICT RET</v>
      </c>
    </row>
    <row r="2651" spans="1:10" x14ac:dyDescent="0.3">
      <c r="A2651" t="str">
        <f>""</f>
        <v/>
      </c>
      <c r="B2651" t="str">
        <f>""</f>
        <v/>
      </c>
      <c r="G2651" t="str">
        <f>""</f>
        <v/>
      </c>
      <c r="H2651" t="str">
        <f>""</f>
        <v/>
      </c>
      <c r="J2651" t="str">
        <f t="shared" si="63"/>
        <v>TEXAS COUNTY &amp; DISTRICT RET</v>
      </c>
    </row>
    <row r="2652" spans="1:10" x14ac:dyDescent="0.3">
      <c r="A2652" t="str">
        <f>""</f>
        <v/>
      </c>
      <c r="B2652" t="str">
        <f>""</f>
        <v/>
      </c>
      <c r="G2652" t="str">
        <f>""</f>
        <v/>
      </c>
      <c r="H2652" t="str">
        <f>""</f>
        <v/>
      </c>
      <c r="J2652" t="str">
        <f t="shared" si="63"/>
        <v>TEXAS COUNTY &amp; DISTRICT RET</v>
      </c>
    </row>
    <row r="2653" spans="1:10" x14ac:dyDescent="0.3">
      <c r="A2653" t="str">
        <f>""</f>
        <v/>
      </c>
      <c r="B2653" t="str">
        <f>""</f>
        <v/>
      </c>
      <c r="G2653" t="str">
        <f>""</f>
        <v/>
      </c>
      <c r="H2653" t="str">
        <f>""</f>
        <v/>
      </c>
      <c r="J2653" t="str">
        <f t="shared" ref="J2653:J2671" si="64">"TEXAS COUNTY &amp; DISTRICT RET"</f>
        <v>TEXAS COUNTY &amp; DISTRICT RET</v>
      </c>
    </row>
    <row r="2654" spans="1:10" x14ac:dyDescent="0.3">
      <c r="A2654" t="str">
        <f>""</f>
        <v/>
      </c>
      <c r="B2654" t="str">
        <f>""</f>
        <v/>
      </c>
      <c r="G2654" t="str">
        <f>""</f>
        <v/>
      </c>
      <c r="H2654" t="str">
        <f>""</f>
        <v/>
      </c>
      <c r="J2654" t="str">
        <f t="shared" si="64"/>
        <v>TEXAS COUNTY &amp; DISTRICT RET</v>
      </c>
    </row>
    <row r="2655" spans="1:10" x14ac:dyDescent="0.3">
      <c r="A2655" t="str">
        <f>""</f>
        <v/>
      </c>
      <c r="B2655" t="str">
        <f>""</f>
        <v/>
      </c>
      <c r="G2655" t="str">
        <f>""</f>
        <v/>
      </c>
      <c r="H2655" t="str">
        <f>""</f>
        <v/>
      </c>
      <c r="J2655" t="str">
        <f t="shared" si="64"/>
        <v>TEXAS COUNTY &amp; DISTRICT RET</v>
      </c>
    </row>
    <row r="2656" spans="1:10" x14ac:dyDescent="0.3">
      <c r="A2656" t="str">
        <f>""</f>
        <v/>
      </c>
      <c r="B2656" t="str">
        <f>""</f>
        <v/>
      </c>
      <c r="G2656" t="str">
        <f>""</f>
        <v/>
      </c>
      <c r="H2656" t="str">
        <f>""</f>
        <v/>
      </c>
      <c r="J2656" t="str">
        <f t="shared" si="64"/>
        <v>TEXAS COUNTY &amp; DISTRICT RET</v>
      </c>
    </row>
    <row r="2657" spans="1:10" x14ac:dyDescent="0.3">
      <c r="A2657" t="str">
        <f>""</f>
        <v/>
      </c>
      <c r="B2657" t="str">
        <f>""</f>
        <v/>
      </c>
      <c r="G2657" t="str">
        <f>""</f>
        <v/>
      </c>
      <c r="H2657" t="str">
        <f>""</f>
        <v/>
      </c>
      <c r="J2657" t="str">
        <f t="shared" si="64"/>
        <v>TEXAS COUNTY &amp; DISTRICT RET</v>
      </c>
    </row>
    <row r="2658" spans="1:10" x14ac:dyDescent="0.3">
      <c r="A2658" t="str">
        <f>""</f>
        <v/>
      </c>
      <c r="B2658" t="str">
        <f>""</f>
        <v/>
      </c>
      <c r="G2658" t="str">
        <f>""</f>
        <v/>
      </c>
      <c r="H2658" t="str">
        <f>""</f>
        <v/>
      </c>
      <c r="J2658" t="str">
        <f t="shared" si="64"/>
        <v>TEXAS COUNTY &amp; DISTRICT RET</v>
      </c>
    </row>
    <row r="2659" spans="1:10" x14ac:dyDescent="0.3">
      <c r="A2659" t="str">
        <f>""</f>
        <v/>
      </c>
      <c r="B2659" t="str">
        <f>""</f>
        <v/>
      </c>
      <c r="G2659" t="str">
        <f>""</f>
        <v/>
      </c>
      <c r="H2659" t="str">
        <f>""</f>
        <v/>
      </c>
      <c r="J2659" t="str">
        <f t="shared" si="64"/>
        <v>TEXAS COUNTY &amp; DISTRICT RET</v>
      </c>
    </row>
    <row r="2660" spans="1:10" x14ac:dyDescent="0.3">
      <c r="A2660" t="str">
        <f>""</f>
        <v/>
      </c>
      <c r="B2660" t="str">
        <f>""</f>
        <v/>
      </c>
      <c r="G2660" t="str">
        <f>""</f>
        <v/>
      </c>
      <c r="H2660" t="str">
        <f>""</f>
        <v/>
      </c>
      <c r="J2660" t="str">
        <f t="shared" si="64"/>
        <v>TEXAS COUNTY &amp; DISTRICT RET</v>
      </c>
    </row>
    <row r="2661" spans="1:10" x14ac:dyDescent="0.3">
      <c r="A2661" t="str">
        <f>""</f>
        <v/>
      </c>
      <c r="B2661" t="str">
        <f>""</f>
        <v/>
      </c>
      <c r="G2661" t="str">
        <f>""</f>
        <v/>
      </c>
      <c r="H2661" t="str">
        <f>""</f>
        <v/>
      </c>
      <c r="J2661" t="str">
        <f t="shared" si="64"/>
        <v>TEXAS COUNTY &amp; DISTRICT RET</v>
      </c>
    </row>
    <row r="2662" spans="1:10" x14ac:dyDescent="0.3">
      <c r="A2662" t="str">
        <f>""</f>
        <v/>
      </c>
      <c r="B2662" t="str">
        <f>""</f>
        <v/>
      </c>
      <c r="G2662" t="str">
        <f>""</f>
        <v/>
      </c>
      <c r="H2662" t="str">
        <f>""</f>
        <v/>
      </c>
      <c r="J2662" t="str">
        <f t="shared" si="64"/>
        <v>TEXAS COUNTY &amp; DISTRICT RET</v>
      </c>
    </row>
    <row r="2663" spans="1:10" x14ac:dyDescent="0.3">
      <c r="A2663" t="str">
        <f>""</f>
        <v/>
      </c>
      <c r="B2663" t="str">
        <f>""</f>
        <v/>
      </c>
      <c r="G2663" t="str">
        <f>""</f>
        <v/>
      </c>
      <c r="H2663" t="str">
        <f>""</f>
        <v/>
      </c>
      <c r="J2663" t="str">
        <f t="shared" si="64"/>
        <v>TEXAS COUNTY &amp; DISTRICT RET</v>
      </c>
    </row>
    <row r="2664" spans="1:10" x14ac:dyDescent="0.3">
      <c r="A2664" t="str">
        <f>""</f>
        <v/>
      </c>
      <c r="B2664" t="str">
        <f>""</f>
        <v/>
      </c>
      <c r="G2664" t="str">
        <f>""</f>
        <v/>
      </c>
      <c r="H2664" t="str">
        <f>""</f>
        <v/>
      </c>
      <c r="J2664" t="str">
        <f t="shared" si="64"/>
        <v>TEXAS COUNTY &amp; DISTRICT RET</v>
      </c>
    </row>
    <row r="2665" spans="1:10" x14ac:dyDescent="0.3">
      <c r="A2665" t="str">
        <f>""</f>
        <v/>
      </c>
      <c r="B2665" t="str">
        <f>""</f>
        <v/>
      </c>
      <c r="G2665" t="str">
        <f>""</f>
        <v/>
      </c>
      <c r="H2665" t="str">
        <f>""</f>
        <v/>
      </c>
      <c r="J2665" t="str">
        <f t="shared" si="64"/>
        <v>TEXAS COUNTY &amp; DISTRICT RET</v>
      </c>
    </row>
    <row r="2666" spans="1:10" x14ac:dyDescent="0.3">
      <c r="A2666" t="str">
        <f>""</f>
        <v/>
      </c>
      <c r="B2666" t="str">
        <f>""</f>
        <v/>
      </c>
      <c r="G2666" t="str">
        <f>""</f>
        <v/>
      </c>
      <c r="H2666" t="str">
        <f>""</f>
        <v/>
      </c>
      <c r="J2666" t="str">
        <f t="shared" si="64"/>
        <v>TEXAS COUNTY &amp; DISTRICT RET</v>
      </c>
    </row>
    <row r="2667" spans="1:10" x14ac:dyDescent="0.3">
      <c r="A2667" t="str">
        <f>""</f>
        <v/>
      </c>
      <c r="B2667" t="str">
        <f>""</f>
        <v/>
      </c>
      <c r="G2667" t="str">
        <f>""</f>
        <v/>
      </c>
      <c r="H2667" t="str">
        <f>""</f>
        <v/>
      </c>
      <c r="J2667" t="str">
        <f t="shared" si="64"/>
        <v>TEXAS COUNTY &amp; DISTRICT RET</v>
      </c>
    </row>
    <row r="2668" spans="1:10" x14ac:dyDescent="0.3">
      <c r="A2668" t="str">
        <f>""</f>
        <v/>
      </c>
      <c r="B2668" t="str">
        <f>""</f>
        <v/>
      </c>
      <c r="G2668" t="str">
        <f>""</f>
        <v/>
      </c>
      <c r="H2668" t="str">
        <f>""</f>
        <v/>
      </c>
      <c r="J2668" t="str">
        <f t="shared" si="64"/>
        <v>TEXAS COUNTY &amp; DISTRICT RET</v>
      </c>
    </row>
    <row r="2669" spans="1:10" x14ac:dyDescent="0.3">
      <c r="A2669" t="str">
        <f>""</f>
        <v/>
      </c>
      <c r="B2669" t="str">
        <f>""</f>
        <v/>
      </c>
      <c r="G2669" t="str">
        <f>""</f>
        <v/>
      </c>
      <c r="H2669" t="str">
        <f>""</f>
        <v/>
      </c>
      <c r="J2669" t="str">
        <f t="shared" si="64"/>
        <v>TEXAS COUNTY &amp; DISTRICT RET</v>
      </c>
    </row>
    <row r="2670" spans="1:10" x14ac:dyDescent="0.3">
      <c r="A2670" t="str">
        <f>""</f>
        <v/>
      </c>
      <c r="B2670" t="str">
        <f>""</f>
        <v/>
      </c>
      <c r="G2670" t="str">
        <f>""</f>
        <v/>
      </c>
      <c r="H2670" t="str">
        <f>""</f>
        <v/>
      </c>
      <c r="J2670" t="str">
        <f t="shared" si="64"/>
        <v>TEXAS COUNTY &amp; DISTRICT RET</v>
      </c>
    </row>
    <row r="2671" spans="1:10" x14ac:dyDescent="0.3">
      <c r="A2671" t="str">
        <f>""</f>
        <v/>
      </c>
      <c r="B2671" t="str">
        <f>""</f>
        <v/>
      </c>
      <c r="G2671" t="str">
        <f>""</f>
        <v/>
      </c>
      <c r="H2671" t="str">
        <f>""</f>
        <v/>
      </c>
      <c r="J2671" t="str">
        <f t="shared" si="64"/>
        <v>TEXAS COUNTY &amp; DISTRICT RET</v>
      </c>
    </row>
    <row r="2672" spans="1:10" x14ac:dyDescent="0.3">
      <c r="A2672" t="str">
        <f>""</f>
        <v/>
      </c>
      <c r="B2672" t="str">
        <f>""</f>
        <v/>
      </c>
      <c r="G2672" t="str">
        <f>"RET201708094187"</f>
        <v>RET201708094187</v>
      </c>
      <c r="H2672" t="str">
        <f>"TEXAS COUNTY  DISTRICT RET"</f>
        <v>TEXAS COUNTY  DISTRICT RET</v>
      </c>
      <c r="I2672" s="2">
        <v>5553.94</v>
      </c>
      <c r="J2672" t="str">
        <f>"TEXAS COUNTY  DISTRICT RET"</f>
        <v>TEXAS COUNTY  DISTRICT RET</v>
      </c>
    </row>
    <row r="2673" spans="1:10" x14ac:dyDescent="0.3">
      <c r="A2673" t="str">
        <f>""</f>
        <v/>
      </c>
      <c r="B2673" t="str">
        <f>""</f>
        <v/>
      </c>
      <c r="G2673" t="str">
        <f>""</f>
        <v/>
      </c>
      <c r="H2673" t="str">
        <f>""</f>
        <v/>
      </c>
      <c r="J2673" t="str">
        <f>"TEXAS COUNTY  DISTRICT RET"</f>
        <v>TEXAS COUNTY  DISTRICT RET</v>
      </c>
    </row>
    <row r="2674" spans="1:10" x14ac:dyDescent="0.3">
      <c r="A2674" t="str">
        <f>""</f>
        <v/>
      </c>
      <c r="B2674" t="str">
        <f>""</f>
        <v/>
      </c>
      <c r="G2674" t="str">
        <f>"RET201708094188"</f>
        <v>RET201708094188</v>
      </c>
      <c r="H2674" t="str">
        <f>"TEXAS COUNTY &amp; DISTRICT RET"</f>
        <v>TEXAS COUNTY &amp; DISTRICT RET</v>
      </c>
      <c r="I2674" s="2">
        <v>7933.15</v>
      </c>
      <c r="J2674" t="str">
        <f t="shared" ref="J2674:J2705" si="65">"TEXAS COUNTY &amp; DISTRICT RET"</f>
        <v>TEXAS COUNTY &amp; DISTRICT RET</v>
      </c>
    </row>
    <row r="2675" spans="1:10" x14ac:dyDescent="0.3">
      <c r="A2675" t="str">
        <f>""</f>
        <v/>
      </c>
      <c r="B2675" t="str">
        <f>""</f>
        <v/>
      </c>
      <c r="G2675" t="str">
        <f>""</f>
        <v/>
      </c>
      <c r="H2675" t="str">
        <f>""</f>
        <v/>
      </c>
      <c r="J2675" t="str">
        <f t="shared" si="65"/>
        <v>TEXAS COUNTY &amp; DISTRICT RET</v>
      </c>
    </row>
    <row r="2676" spans="1:10" x14ac:dyDescent="0.3">
      <c r="A2676" t="str">
        <f>""</f>
        <v/>
      </c>
      <c r="B2676" t="str">
        <f>""</f>
        <v/>
      </c>
      <c r="G2676" t="str">
        <f>"RET201708234445"</f>
        <v>RET201708234445</v>
      </c>
      <c r="H2676" t="str">
        <f>"TEXAS COUNTY &amp; DISTRICT RET"</f>
        <v>TEXAS COUNTY &amp; DISTRICT RET</v>
      </c>
      <c r="I2676" s="2">
        <v>135416.74</v>
      </c>
      <c r="J2676" t="str">
        <f t="shared" si="65"/>
        <v>TEXAS COUNTY &amp; DISTRICT RET</v>
      </c>
    </row>
    <row r="2677" spans="1:10" x14ac:dyDescent="0.3">
      <c r="A2677" t="str">
        <f>""</f>
        <v/>
      </c>
      <c r="B2677" t="str">
        <f>""</f>
        <v/>
      </c>
      <c r="G2677" t="str">
        <f>""</f>
        <v/>
      </c>
      <c r="H2677" t="str">
        <f>""</f>
        <v/>
      </c>
      <c r="J2677" t="str">
        <f t="shared" si="65"/>
        <v>TEXAS COUNTY &amp; DISTRICT RET</v>
      </c>
    </row>
    <row r="2678" spans="1:10" x14ac:dyDescent="0.3">
      <c r="A2678" t="str">
        <f>""</f>
        <v/>
      </c>
      <c r="B2678" t="str">
        <f>""</f>
        <v/>
      </c>
      <c r="G2678" t="str">
        <f>""</f>
        <v/>
      </c>
      <c r="H2678" t="str">
        <f>""</f>
        <v/>
      </c>
      <c r="J2678" t="str">
        <f t="shared" si="65"/>
        <v>TEXAS COUNTY &amp; DISTRICT RET</v>
      </c>
    </row>
    <row r="2679" spans="1:10" x14ac:dyDescent="0.3">
      <c r="A2679" t="str">
        <f>""</f>
        <v/>
      </c>
      <c r="B2679" t="str">
        <f>""</f>
        <v/>
      </c>
      <c r="G2679" t="str">
        <f>""</f>
        <v/>
      </c>
      <c r="H2679" t="str">
        <f>""</f>
        <v/>
      </c>
      <c r="J2679" t="str">
        <f t="shared" si="65"/>
        <v>TEXAS COUNTY &amp; DISTRICT RET</v>
      </c>
    </row>
    <row r="2680" spans="1:10" x14ac:dyDescent="0.3">
      <c r="A2680" t="str">
        <f>""</f>
        <v/>
      </c>
      <c r="B2680" t="str">
        <f>""</f>
        <v/>
      </c>
      <c r="G2680" t="str">
        <f>""</f>
        <v/>
      </c>
      <c r="H2680" t="str">
        <f>""</f>
        <v/>
      </c>
      <c r="J2680" t="str">
        <f t="shared" si="65"/>
        <v>TEXAS COUNTY &amp; DISTRICT RET</v>
      </c>
    </row>
    <row r="2681" spans="1:10" x14ac:dyDescent="0.3">
      <c r="A2681" t="str">
        <f>""</f>
        <v/>
      </c>
      <c r="B2681" t="str">
        <f>""</f>
        <v/>
      </c>
      <c r="G2681" t="str">
        <f>""</f>
        <v/>
      </c>
      <c r="H2681" t="str">
        <f>""</f>
        <v/>
      </c>
      <c r="J2681" t="str">
        <f t="shared" si="65"/>
        <v>TEXAS COUNTY &amp; DISTRICT RET</v>
      </c>
    </row>
    <row r="2682" spans="1:10" x14ac:dyDescent="0.3">
      <c r="A2682" t="str">
        <f>""</f>
        <v/>
      </c>
      <c r="B2682" t="str">
        <f>""</f>
        <v/>
      </c>
      <c r="G2682" t="str">
        <f>""</f>
        <v/>
      </c>
      <c r="H2682" t="str">
        <f>""</f>
        <v/>
      </c>
      <c r="J2682" t="str">
        <f t="shared" si="65"/>
        <v>TEXAS COUNTY &amp; DISTRICT RET</v>
      </c>
    </row>
    <row r="2683" spans="1:10" x14ac:dyDescent="0.3">
      <c r="A2683" t="str">
        <f>""</f>
        <v/>
      </c>
      <c r="B2683" t="str">
        <f>""</f>
        <v/>
      </c>
      <c r="G2683" t="str">
        <f>""</f>
        <v/>
      </c>
      <c r="H2683" t="str">
        <f>""</f>
        <v/>
      </c>
      <c r="J2683" t="str">
        <f t="shared" si="65"/>
        <v>TEXAS COUNTY &amp; DISTRICT RET</v>
      </c>
    </row>
    <row r="2684" spans="1:10" x14ac:dyDescent="0.3">
      <c r="A2684" t="str">
        <f>""</f>
        <v/>
      </c>
      <c r="B2684" t="str">
        <f>""</f>
        <v/>
      </c>
      <c r="G2684" t="str">
        <f>""</f>
        <v/>
      </c>
      <c r="H2684" t="str">
        <f>""</f>
        <v/>
      </c>
      <c r="J2684" t="str">
        <f t="shared" si="65"/>
        <v>TEXAS COUNTY &amp; DISTRICT RET</v>
      </c>
    </row>
    <row r="2685" spans="1:10" x14ac:dyDescent="0.3">
      <c r="A2685" t="str">
        <f>""</f>
        <v/>
      </c>
      <c r="B2685" t="str">
        <f>""</f>
        <v/>
      </c>
      <c r="G2685" t="str">
        <f>""</f>
        <v/>
      </c>
      <c r="H2685" t="str">
        <f>""</f>
        <v/>
      </c>
      <c r="J2685" t="str">
        <f t="shared" si="65"/>
        <v>TEXAS COUNTY &amp; DISTRICT RET</v>
      </c>
    </row>
    <row r="2686" spans="1:10" x14ac:dyDescent="0.3">
      <c r="A2686" t="str">
        <f>""</f>
        <v/>
      </c>
      <c r="B2686" t="str">
        <f>""</f>
        <v/>
      </c>
      <c r="G2686" t="str">
        <f>""</f>
        <v/>
      </c>
      <c r="H2686" t="str">
        <f>""</f>
        <v/>
      </c>
      <c r="J2686" t="str">
        <f t="shared" si="65"/>
        <v>TEXAS COUNTY &amp; DISTRICT RET</v>
      </c>
    </row>
    <row r="2687" spans="1:10" x14ac:dyDescent="0.3">
      <c r="A2687" t="str">
        <f>""</f>
        <v/>
      </c>
      <c r="B2687" t="str">
        <f>""</f>
        <v/>
      </c>
      <c r="G2687" t="str">
        <f>""</f>
        <v/>
      </c>
      <c r="H2687" t="str">
        <f>""</f>
        <v/>
      </c>
      <c r="J2687" t="str">
        <f t="shared" si="65"/>
        <v>TEXAS COUNTY &amp; DISTRICT RET</v>
      </c>
    </row>
    <row r="2688" spans="1:10" x14ac:dyDescent="0.3">
      <c r="A2688" t="str">
        <f>""</f>
        <v/>
      </c>
      <c r="B2688" t="str">
        <f>""</f>
        <v/>
      </c>
      <c r="G2688" t="str">
        <f>""</f>
        <v/>
      </c>
      <c r="H2688" t="str">
        <f>""</f>
        <v/>
      </c>
      <c r="J2688" t="str">
        <f t="shared" si="65"/>
        <v>TEXAS COUNTY &amp; DISTRICT RET</v>
      </c>
    </row>
    <row r="2689" spans="1:10" x14ac:dyDescent="0.3">
      <c r="A2689" t="str">
        <f>""</f>
        <v/>
      </c>
      <c r="B2689" t="str">
        <f>""</f>
        <v/>
      </c>
      <c r="G2689" t="str">
        <f>""</f>
        <v/>
      </c>
      <c r="H2689" t="str">
        <f>""</f>
        <v/>
      </c>
      <c r="J2689" t="str">
        <f t="shared" si="65"/>
        <v>TEXAS COUNTY &amp; DISTRICT RET</v>
      </c>
    </row>
    <row r="2690" spans="1:10" x14ac:dyDescent="0.3">
      <c r="A2690" t="str">
        <f>""</f>
        <v/>
      </c>
      <c r="B2690" t="str">
        <f>""</f>
        <v/>
      </c>
      <c r="G2690" t="str">
        <f>""</f>
        <v/>
      </c>
      <c r="H2690" t="str">
        <f>""</f>
        <v/>
      </c>
      <c r="J2690" t="str">
        <f t="shared" si="65"/>
        <v>TEXAS COUNTY &amp; DISTRICT RET</v>
      </c>
    </row>
    <row r="2691" spans="1:10" x14ac:dyDescent="0.3">
      <c r="A2691" t="str">
        <f>""</f>
        <v/>
      </c>
      <c r="B2691" t="str">
        <f>""</f>
        <v/>
      </c>
      <c r="G2691" t="str">
        <f>""</f>
        <v/>
      </c>
      <c r="H2691" t="str">
        <f>""</f>
        <v/>
      </c>
      <c r="J2691" t="str">
        <f t="shared" si="65"/>
        <v>TEXAS COUNTY &amp; DISTRICT RET</v>
      </c>
    </row>
    <row r="2692" spans="1:10" x14ac:dyDescent="0.3">
      <c r="A2692" t="str">
        <f>""</f>
        <v/>
      </c>
      <c r="B2692" t="str">
        <f>""</f>
        <v/>
      </c>
      <c r="G2692" t="str">
        <f>""</f>
        <v/>
      </c>
      <c r="H2692" t="str">
        <f>""</f>
        <v/>
      </c>
      <c r="J2692" t="str">
        <f t="shared" si="65"/>
        <v>TEXAS COUNTY &amp; DISTRICT RET</v>
      </c>
    </row>
    <row r="2693" spans="1:10" x14ac:dyDescent="0.3">
      <c r="A2693" t="str">
        <f>""</f>
        <v/>
      </c>
      <c r="B2693" t="str">
        <f>""</f>
        <v/>
      </c>
      <c r="G2693" t="str">
        <f>""</f>
        <v/>
      </c>
      <c r="H2693" t="str">
        <f>""</f>
        <v/>
      </c>
      <c r="J2693" t="str">
        <f t="shared" si="65"/>
        <v>TEXAS COUNTY &amp; DISTRICT RET</v>
      </c>
    </row>
    <row r="2694" spans="1:10" x14ac:dyDescent="0.3">
      <c r="A2694" t="str">
        <f>""</f>
        <v/>
      </c>
      <c r="B2694" t="str">
        <f>""</f>
        <v/>
      </c>
      <c r="G2694" t="str">
        <f>""</f>
        <v/>
      </c>
      <c r="H2694" t="str">
        <f>""</f>
        <v/>
      </c>
      <c r="J2694" t="str">
        <f t="shared" si="65"/>
        <v>TEXAS COUNTY &amp; DISTRICT RET</v>
      </c>
    </row>
    <row r="2695" spans="1:10" x14ac:dyDescent="0.3">
      <c r="A2695" t="str">
        <f>""</f>
        <v/>
      </c>
      <c r="B2695" t="str">
        <f>""</f>
        <v/>
      </c>
      <c r="G2695" t="str">
        <f>""</f>
        <v/>
      </c>
      <c r="H2695" t="str">
        <f>""</f>
        <v/>
      </c>
      <c r="J2695" t="str">
        <f t="shared" si="65"/>
        <v>TEXAS COUNTY &amp; DISTRICT RET</v>
      </c>
    </row>
    <row r="2696" spans="1:10" x14ac:dyDescent="0.3">
      <c r="A2696" t="str">
        <f>""</f>
        <v/>
      </c>
      <c r="B2696" t="str">
        <f>""</f>
        <v/>
      </c>
      <c r="G2696" t="str">
        <f>""</f>
        <v/>
      </c>
      <c r="H2696" t="str">
        <f>""</f>
        <v/>
      </c>
      <c r="J2696" t="str">
        <f t="shared" si="65"/>
        <v>TEXAS COUNTY &amp; DISTRICT RET</v>
      </c>
    </row>
    <row r="2697" spans="1:10" x14ac:dyDescent="0.3">
      <c r="A2697" t="str">
        <f>""</f>
        <v/>
      </c>
      <c r="B2697" t="str">
        <f>""</f>
        <v/>
      </c>
      <c r="G2697" t="str">
        <f>""</f>
        <v/>
      </c>
      <c r="H2697" t="str">
        <f>""</f>
        <v/>
      </c>
      <c r="J2697" t="str">
        <f t="shared" si="65"/>
        <v>TEXAS COUNTY &amp; DISTRICT RET</v>
      </c>
    </row>
    <row r="2698" spans="1:10" x14ac:dyDescent="0.3">
      <c r="A2698" t="str">
        <f>""</f>
        <v/>
      </c>
      <c r="B2698" t="str">
        <f>""</f>
        <v/>
      </c>
      <c r="G2698" t="str">
        <f>""</f>
        <v/>
      </c>
      <c r="H2698" t="str">
        <f>""</f>
        <v/>
      </c>
      <c r="J2698" t="str">
        <f t="shared" si="65"/>
        <v>TEXAS COUNTY &amp; DISTRICT RET</v>
      </c>
    </row>
    <row r="2699" spans="1:10" x14ac:dyDescent="0.3">
      <c r="A2699" t="str">
        <f>""</f>
        <v/>
      </c>
      <c r="B2699" t="str">
        <f>""</f>
        <v/>
      </c>
      <c r="G2699" t="str">
        <f>""</f>
        <v/>
      </c>
      <c r="H2699" t="str">
        <f>""</f>
        <v/>
      </c>
      <c r="J2699" t="str">
        <f t="shared" si="65"/>
        <v>TEXAS COUNTY &amp; DISTRICT RET</v>
      </c>
    </row>
    <row r="2700" spans="1:10" x14ac:dyDescent="0.3">
      <c r="A2700" t="str">
        <f>""</f>
        <v/>
      </c>
      <c r="B2700" t="str">
        <f>""</f>
        <v/>
      </c>
      <c r="G2700" t="str">
        <f>""</f>
        <v/>
      </c>
      <c r="H2700" t="str">
        <f>""</f>
        <v/>
      </c>
      <c r="J2700" t="str">
        <f t="shared" si="65"/>
        <v>TEXAS COUNTY &amp; DISTRICT RET</v>
      </c>
    </row>
    <row r="2701" spans="1:10" x14ac:dyDescent="0.3">
      <c r="A2701" t="str">
        <f>""</f>
        <v/>
      </c>
      <c r="B2701" t="str">
        <f>""</f>
        <v/>
      </c>
      <c r="G2701" t="str">
        <f>""</f>
        <v/>
      </c>
      <c r="H2701" t="str">
        <f>""</f>
        <v/>
      </c>
      <c r="J2701" t="str">
        <f t="shared" si="65"/>
        <v>TEXAS COUNTY &amp; DISTRICT RET</v>
      </c>
    </row>
    <row r="2702" spans="1:10" x14ac:dyDescent="0.3">
      <c r="A2702" t="str">
        <f>""</f>
        <v/>
      </c>
      <c r="B2702" t="str">
        <f>""</f>
        <v/>
      </c>
      <c r="G2702" t="str">
        <f>""</f>
        <v/>
      </c>
      <c r="H2702" t="str">
        <f>""</f>
        <v/>
      </c>
      <c r="J2702" t="str">
        <f t="shared" si="65"/>
        <v>TEXAS COUNTY &amp; DISTRICT RET</v>
      </c>
    </row>
    <row r="2703" spans="1:10" x14ac:dyDescent="0.3">
      <c r="A2703" t="str">
        <f>""</f>
        <v/>
      </c>
      <c r="B2703" t="str">
        <f>""</f>
        <v/>
      </c>
      <c r="G2703" t="str">
        <f>""</f>
        <v/>
      </c>
      <c r="H2703" t="str">
        <f>""</f>
        <v/>
      </c>
      <c r="J2703" t="str">
        <f t="shared" si="65"/>
        <v>TEXAS COUNTY &amp; DISTRICT RET</v>
      </c>
    </row>
    <row r="2704" spans="1:10" x14ac:dyDescent="0.3">
      <c r="A2704" t="str">
        <f>""</f>
        <v/>
      </c>
      <c r="B2704" t="str">
        <f>""</f>
        <v/>
      </c>
      <c r="G2704" t="str">
        <f>""</f>
        <v/>
      </c>
      <c r="H2704" t="str">
        <f>""</f>
        <v/>
      </c>
      <c r="J2704" t="str">
        <f t="shared" si="65"/>
        <v>TEXAS COUNTY &amp; DISTRICT RET</v>
      </c>
    </row>
    <row r="2705" spans="1:10" x14ac:dyDescent="0.3">
      <c r="A2705" t="str">
        <f>""</f>
        <v/>
      </c>
      <c r="B2705" t="str">
        <f>""</f>
        <v/>
      </c>
      <c r="G2705" t="str">
        <f>""</f>
        <v/>
      </c>
      <c r="H2705" t="str">
        <f>""</f>
        <v/>
      </c>
      <c r="J2705" t="str">
        <f t="shared" si="65"/>
        <v>TEXAS COUNTY &amp; DISTRICT RET</v>
      </c>
    </row>
    <row r="2706" spans="1:10" x14ac:dyDescent="0.3">
      <c r="A2706" t="str">
        <f>""</f>
        <v/>
      </c>
      <c r="B2706" t="str">
        <f>""</f>
        <v/>
      </c>
      <c r="G2706" t="str">
        <f>""</f>
        <v/>
      </c>
      <c r="H2706" t="str">
        <f>""</f>
        <v/>
      </c>
      <c r="J2706" t="str">
        <f t="shared" ref="J2706:J2726" si="66">"TEXAS COUNTY &amp; DISTRICT RET"</f>
        <v>TEXAS COUNTY &amp; DISTRICT RET</v>
      </c>
    </row>
    <row r="2707" spans="1:10" x14ac:dyDescent="0.3">
      <c r="A2707" t="str">
        <f>""</f>
        <v/>
      </c>
      <c r="B2707" t="str">
        <f>""</f>
        <v/>
      </c>
      <c r="G2707" t="str">
        <f>""</f>
        <v/>
      </c>
      <c r="H2707" t="str">
        <f>""</f>
        <v/>
      </c>
      <c r="J2707" t="str">
        <f t="shared" si="66"/>
        <v>TEXAS COUNTY &amp; DISTRICT RET</v>
      </c>
    </row>
    <row r="2708" spans="1:10" x14ac:dyDescent="0.3">
      <c r="A2708" t="str">
        <f>""</f>
        <v/>
      </c>
      <c r="B2708" t="str">
        <f>""</f>
        <v/>
      </c>
      <c r="G2708" t="str">
        <f>""</f>
        <v/>
      </c>
      <c r="H2708" t="str">
        <f>""</f>
        <v/>
      </c>
      <c r="J2708" t="str">
        <f t="shared" si="66"/>
        <v>TEXAS COUNTY &amp; DISTRICT RET</v>
      </c>
    </row>
    <row r="2709" spans="1:10" x14ac:dyDescent="0.3">
      <c r="A2709" t="str">
        <f>""</f>
        <v/>
      </c>
      <c r="B2709" t="str">
        <f>""</f>
        <v/>
      </c>
      <c r="G2709" t="str">
        <f>""</f>
        <v/>
      </c>
      <c r="H2709" t="str">
        <f>""</f>
        <v/>
      </c>
      <c r="J2709" t="str">
        <f t="shared" si="66"/>
        <v>TEXAS COUNTY &amp; DISTRICT RET</v>
      </c>
    </row>
    <row r="2710" spans="1:10" x14ac:dyDescent="0.3">
      <c r="A2710" t="str">
        <f>""</f>
        <v/>
      </c>
      <c r="B2710" t="str">
        <f>""</f>
        <v/>
      </c>
      <c r="G2710" t="str">
        <f>""</f>
        <v/>
      </c>
      <c r="H2710" t="str">
        <f>""</f>
        <v/>
      </c>
      <c r="J2710" t="str">
        <f t="shared" si="66"/>
        <v>TEXAS COUNTY &amp; DISTRICT RET</v>
      </c>
    </row>
    <row r="2711" spans="1:10" x14ac:dyDescent="0.3">
      <c r="A2711" t="str">
        <f>""</f>
        <v/>
      </c>
      <c r="B2711" t="str">
        <f>""</f>
        <v/>
      </c>
      <c r="G2711" t="str">
        <f>""</f>
        <v/>
      </c>
      <c r="H2711" t="str">
        <f>""</f>
        <v/>
      </c>
      <c r="J2711" t="str">
        <f t="shared" si="66"/>
        <v>TEXAS COUNTY &amp; DISTRICT RET</v>
      </c>
    </row>
    <row r="2712" spans="1:10" x14ac:dyDescent="0.3">
      <c r="A2712" t="str">
        <f>""</f>
        <v/>
      </c>
      <c r="B2712" t="str">
        <f>""</f>
        <v/>
      </c>
      <c r="G2712" t="str">
        <f>""</f>
        <v/>
      </c>
      <c r="H2712" t="str">
        <f>""</f>
        <v/>
      </c>
      <c r="J2712" t="str">
        <f t="shared" si="66"/>
        <v>TEXAS COUNTY &amp; DISTRICT RET</v>
      </c>
    </row>
    <row r="2713" spans="1:10" x14ac:dyDescent="0.3">
      <c r="A2713" t="str">
        <f>""</f>
        <v/>
      </c>
      <c r="B2713" t="str">
        <f>""</f>
        <v/>
      </c>
      <c r="G2713" t="str">
        <f>""</f>
        <v/>
      </c>
      <c r="H2713" t="str">
        <f>""</f>
        <v/>
      </c>
      <c r="J2713" t="str">
        <f t="shared" si="66"/>
        <v>TEXAS COUNTY &amp; DISTRICT RET</v>
      </c>
    </row>
    <row r="2714" spans="1:10" x14ac:dyDescent="0.3">
      <c r="A2714" t="str">
        <f>""</f>
        <v/>
      </c>
      <c r="B2714" t="str">
        <f>""</f>
        <v/>
      </c>
      <c r="G2714" t="str">
        <f>""</f>
        <v/>
      </c>
      <c r="H2714" t="str">
        <f>""</f>
        <v/>
      </c>
      <c r="J2714" t="str">
        <f t="shared" si="66"/>
        <v>TEXAS COUNTY &amp; DISTRICT RET</v>
      </c>
    </row>
    <row r="2715" spans="1:10" x14ac:dyDescent="0.3">
      <c r="A2715" t="str">
        <f>""</f>
        <v/>
      </c>
      <c r="B2715" t="str">
        <f>""</f>
        <v/>
      </c>
      <c r="G2715" t="str">
        <f>""</f>
        <v/>
      </c>
      <c r="H2715" t="str">
        <f>""</f>
        <v/>
      </c>
      <c r="J2715" t="str">
        <f t="shared" si="66"/>
        <v>TEXAS COUNTY &amp; DISTRICT RET</v>
      </c>
    </row>
    <row r="2716" spans="1:10" x14ac:dyDescent="0.3">
      <c r="A2716" t="str">
        <f>""</f>
        <v/>
      </c>
      <c r="B2716" t="str">
        <f>""</f>
        <v/>
      </c>
      <c r="G2716" t="str">
        <f>""</f>
        <v/>
      </c>
      <c r="H2716" t="str">
        <f>""</f>
        <v/>
      </c>
      <c r="J2716" t="str">
        <f t="shared" si="66"/>
        <v>TEXAS COUNTY &amp; DISTRICT RET</v>
      </c>
    </row>
    <row r="2717" spans="1:10" x14ac:dyDescent="0.3">
      <c r="A2717" t="str">
        <f>""</f>
        <v/>
      </c>
      <c r="B2717" t="str">
        <f>""</f>
        <v/>
      </c>
      <c r="G2717" t="str">
        <f>""</f>
        <v/>
      </c>
      <c r="H2717" t="str">
        <f>""</f>
        <v/>
      </c>
      <c r="J2717" t="str">
        <f t="shared" si="66"/>
        <v>TEXAS COUNTY &amp; DISTRICT RET</v>
      </c>
    </row>
    <row r="2718" spans="1:10" x14ac:dyDescent="0.3">
      <c r="A2718" t="str">
        <f>""</f>
        <v/>
      </c>
      <c r="B2718" t="str">
        <f>""</f>
        <v/>
      </c>
      <c r="G2718" t="str">
        <f>""</f>
        <v/>
      </c>
      <c r="H2718" t="str">
        <f>""</f>
        <v/>
      </c>
      <c r="J2718" t="str">
        <f t="shared" si="66"/>
        <v>TEXAS COUNTY &amp; DISTRICT RET</v>
      </c>
    </row>
    <row r="2719" spans="1:10" x14ac:dyDescent="0.3">
      <c r="A2719" t="str">
        <f>""</f>
        <v/>
      </c>
      <c r="B2719" t="str">
        <f>""</f>
        <v/>
      </c>
      <c r="G2719" t="str">
        <f>""</f>
        <v/>
      </c>
      <c r="H2719" t="str">
        <f>""</f>
        <v/>
      </c>
      <c r="J2719" t="str">
        <f t="shared" si="66"/>
        <v>TEXAS COUNTY &amp; DISTRICT RET</v>
      </c>
    </row>
    <row r="2720" spans="1:10" x14ac:dyDescent="0.3">
      <c r="A2720" t="str">
        <f>""</f>
        <v/>
      </c>
      <c r="B2720" t="str">
        <f>""</f>
        <v/>
      </c>
      <c r="G2720" t="str">
        <f>""</f>
        <v/>
      </c>
      <c r="H2720" t="str">
        <f>""</f>
        <v/>
      </c>
      <c r="J2720" t="str">
        <f t="shared" si="66"/>
        <v>TEXAS COUNTY &amp; DISTRICT RET</v>
      </c>
    </row>
    <row r="2721" spans="1:10" x14ac:dyDescent="0.3">
      <c r="A2721" t="str">
        <f>""</f>
        <v/>
      </c>
      <c r="B2721" t="str">
        <f>""</f>
        <v/>
      </c>
      <c r="G2721" t="str">
        <f>""</f>
        <v/>
      </c>
      <c r="H2721" t="str">
        <f>""</f>
        <v/>
      </c>
      <c r="J2721" t="str">
        <f t="shared" si="66"/>
        <v>TEXAS COUNTY &amp; DISTRICT RET</v>
      </c>
    </row>
    <row r="2722" spans="1:10" x14ac:dyDescent="0.3">
      <c r="A2722" t="str">
        <f>""</f>
        <v/>
      </c>
      <c r="B2722" t="str">
        <f>""</f>
        <v/>
      </c>
      <c r="G2722" t="str">
        <f>""</f>
        <v/>
      </c>
      <c r="H2722" t="str">
        <f>""</f>
        <v/>
      </c>
      <c r="J2722" t="str">
        <f t="shared" si="66"/>
        <v>TEXAS COUNTY &amp; DISTRICT RET</v>
      </c>
    </row>
    <row r="2723" spans="1:10" x14ac:dyDescent="0.3">
      <c r="A2723" t="str">
        <f>""</f>
        <v/>
      </c>
      <c r="B2723" t="str">
        <f>""</f>
        <v/>
      </c>
      <c r="G2723" t="str">
        <f>""</f>
        <v/>
      </c>
      <c r="H2723" t="str">
        <f>""</f>
        <v/>
      </c>
      <c r="J2723" t="str">
        <f t="shared" si="66"/>
        <v>TEXAS COUNTY &amp; DISTRICT RET</v>
      </c>
    </row>
    <row r="2724" spans="1:10" x14ac:dyDescent="0.3">
      <c r="A2724" t="str">
        <f>""</f>
        <v/>
      </c>
      <c r="B2724" t="str">
        <f>""</f>
        <v/>
      </c>
      <c r="G2724" t="str">
        <f>""</f>
        <v/>
      </c>
      <c r="H2724" t="str">
        <f>""</f>
        <v/>
      </c>
      <c r="J2724" t="str">
        <f t="shared" si="66"/>
        <v>TEXAS COUNTY &amp; DISTRICT RET</v>
      </c>
    </row>
    <row r="2725" spans="1:10" x14ac:dyDescent="0.3">
      <c r="A2725" t="str">
        <f>""</f>
        <v/>
      </c>
      <c r="B2725" t="str">
        <f>""</f>
        <v/>
      </c>
      <c r="G2725" t="str">
        <f>""</f>
        <v/>
      </c>
      <c r="H2725" t="str">
        <f>""</f>
        <v/>
      </c>
      <c r="J2725" t="str">
        <f t="shared" si="66"/>
        <v>TEXAS COUNTY &amp; DISTRICT RET</v>
      </c>
    </row>
    <row r="2726" spans="1:10" x14ac:dyDescent="0.3">
      <c r="A2726" t="str">
        <f>""</f>
        <v/>
      </c>
      <c r="B2726" t="str">
        <f>""</f>
        <v/>
      </c>
      <c r="G2726" t="str">
        <f>""</f>
        <v/>
      </c>
      <c r="H2726" t="str">
        <f>""</f>
        <v/>
      </c>
      <c r="J2726" t="str">
        <f t="shared" si="66"/>
        <v>TEXAS COUNTY &amp; DISTRICT RET</v>
      </c>
    </row>
    <row r="2727" spans="1:10" x14ac:dyDescent="0.3">
      <c r="A2727" t="str">
        <f>""</f>
        <v/>
      </c>
      <c r="B2727" t="str">
        <f>""</f>
        <v/>
      </c>
      <c r="G2727" t="str">
        <f>"RET201708244446"</f>
        <v>RET201708244446</v>
      </c>
      <c r="H2727" t="str">
        <f>"TEXAS COUNTY  DISTRICT RET"</f>
        <v>TEXAS COUNTY  DISTRICT RET</v>
      </c>
      <c r="I2727" s="2">
        <v>5560.36</v>
      </c>
      <c r="J2727" t="str">
        <f>"TEXAS COUNTY  DISTRICT RET"</f>
        <v>TEXAS COUNTY  DISTRICT RET</v>
      </c>
    </row>
    <row r="2728" spans="1:10" x14ac:dyDescent="0.3">
      <c r="A2728" t="str">
        <f>""</f>
        <v/>
      </c>
      <c r="B2728" t="str">
        <f>""</f>
        <v/>
      </c>
      <c r="G2728" t="str">
        <f>""</f>
        <v/>
      </c>
      <c r="H2728" t="str">
        <f>""</f>
        <v/>
      </c>
      <c r="J2728" t="str">
        <f>"TEXAS COUNTY  DISTRICT RET"</f>
        <v>TEXAS COUNTY  DISTRICT RET</v>
      </c>
    </row>
    <row r="2729" spans="1:10" x14ac:dyDescent="0.3">
      <c r="A2729" t="str">
        <f>""</f>
        <v/>
      </c>
      <c r="B2729" t="str">
        <f>""</f>
        <v/>
      </c>
      <c r="G2729" t="str">
        <f>"RET201708244447"</f>
        <v>RET201708244447</v>
      </c>
      <c r="H2729" t="str">
        <f>"TEXAS COUNTY &amp; DISTRICT RET"</f>
        <v>TEXAS COUNTY &amp; DISTRICT RET</v>
      </c>
      <c r="I2729" s="2">
        <v>8244.6</v>
      </c>
      <c r="J2729" t="str">
        <f>"TEXAS COUNTY &amp; DISTRICT RET"</f>
        <v>TEXAS COUNTY &amp; DISTRICT RET</v>
      </c>
    </row>
    <row r="2730" spans="1:10" x14ac:dyDescent="0.3">
      <c r="A2730" t="str">
        <f>""</f>
        <v/>
      </c>
      <c r="B2730" t="str">
        <f>""</f>
        <v/>
      </c>
      <c r="G2730" t="str">
        <f>""</f>
        <v/>
      </c>
      <c r="H2730" t="str">
        <f>""</f>
        <v/>
      </c>
      <c r="J2730" t="str">
        <f>"TEXAS COUNTY &amp; DISTRICT RET"</f>
        <v>TEXAS COUNTY &amp; DISTRICT RET</v>
      </c>
    </row>
    <row r="2731" spans="1:10" x14ac:dyDescent="0.3">
      <c r="A2731" t="str">
        <f>"01"</f>
        <v>01</v>
      </c>
      <c r="B2731" t="str">
        <f>"002457"</f>
        <v>002457</v>
      </c>
      <c r="C2731" t="s">
        <v>477</v>
      </c>
      <c r="D2731">
        <v>45811</v>
      </c>
      <c r="E2731" s="2">
        <v>1360</v>
      </c>
      <c r="F2731" s="1">
        <v>42978</v>
      </c>
      <c r="G2731" t="str">
        <f>"LEG201708094186"</f>
        <v>LEG201708094186</v>
      </c>
      <c r="H2731" t="str">
        <f>"TEXAS LEGAL PROTECTION PLAN"</f>
        <v>TEXAS LEGAL PROTECTION PLAN</v>
      </c>
      <c r="I2731" s="2">
        <v>680</v>
      </c>
      <c r="J2731" t="str">
        <f>"TEXAS LEGAL PROTECTION PLAN"</f>
        <v>TEXAS LEGAL PROTECTION PLAN</v>
      </c>
    </row>
    <row r="2732" spans="1:10" x14ac:dyDescent="0.3">
      <c r="A2732" t="str">
        <f>""</f>
        <v/>
      </c>
      <c r="B2732" t="str">
        <f>""</f>
        <v/>
      </c>
      <c r="G2732" t="str">
        <f>"LEG201708094187"</f>
        <v>LEG201708094187</v>
      </c>
      <c r="H2732" t="str">
        <f>"TEXAS LEGAL PROTECTION PLAN"</f>
        <v>TEXAS LEGAL PROTECTION PLAN</v>
      </c>
      <c r="I2732" s="2">
        <v>10</v>
      </c>
      <c r="J2732" t="str">
        <f>"TEXAS LEGAL PROTECTION PLAN"</f>
        <v>TEXAS LEGAL PROTECTION PLAN</v>
      </c>
    </row>
    <row r="2733" spans="1:10" x14ac:dyDescent="0.3">
      <c r="A2733" t="str">
        <f>""</f>
        <v/>
      </c>
      <c r="B2733" t="str">
        <f>""</f>
        <v/>
      </c>
      <c r="G2733" t="str">
        <f>"LEG201708234445"</f>
        <v>LEG201708234445</v>
      </c>
      <c r="H2733" t="str">
        <f>"TEXAS LEGAL PROTECTION PLAN"</f>
        <v>TEXAS LEGAL PROTECTION PLAN</v>
      </c>
      <c r="I2733" s="2">
        <v>660</v>
      </c>
      <c r="J2733" t="str">
        <f>"TEXAS LEGAL PROTECTION PLAN"</f>
        <v>TEXAS LEGAL PROTECTION PLAN</v>
      </c>
    </row>
    <row r="2734" spans="1:10" x14ac:dyDescent="0.3">
      <c r="A2734" t="str">
        <f>""</f>
        <v/>
      </c>
      <c r="B2734" t="str">
        <f>""</f>
        <v/>
      </c>
      <c r="G2734" t="str">
        <f>"LEG201708244446"</f>
        <v>LEG201708244446</v>
      </c>
      <c r="H2734" t="str">
        <f>"TEXAS LEGAL PROTECTION PLAN"</f>
        <v>TEXAS LEGAL PROTECTION PLAN</v>
      </c>
      <c r="I2734" s="2">
        <v>10</v>
      </c>
      <c r="J2734" t="str">
        <f>"TEXAS LEGAL PROTECTION PLAN"</f>
        <v>TEXAS LEGAL PROTECTION PLAN</v>
      </c>
    </row>
    <row r="2735" spans="1:10" x14ac:dyDescent="0.3">
      <c r="A2735" t="str">
        <f>"01"</f>
        <v>01</v>
      </c>
      <c r="B2735" t="str">
        <f>"T14362"</f>
        <v>T14362</v>
      </c>
      <c r="C2735" t="s">
        <v>478</v>
      </c>
      <c r="D2735">
        <v>45783</v>
      </c>
      <c r="E2735" s="2">
        <v>186</v>
      </c>
      <c r="F2735" s="1">
        <v>42958</v>
      </c>
      <c r="G2735" t="str">
        <f>"SL6201708094186"</f>
        <v>SL6201708094186</v>
      </c>
      <c r="H2735" t="str">
        <f>"TG STUDENT LOAN - P CROUCH"</f>
        <v>TG STUDENT LOAN - P CROUCH</v>
      </c>
      <c r="I2735" s="2">
        <v>186</v>
      </c>
      <c r="J2735" t="str">
        <f>"TG STUDENT LOAN - P CROUCH"</f>
        <v>TG STUDENT LOAN - P CROUCH</v>
      </c>
    </row>
    <row r="2736" spans="1:10" x14ac:dyDescent="0.3">
      <c r="A2736" t="str">
        <f>"01"</f>
        <v>01</v>
      </c>
      <c r="B2736" t="str">
        <f>"T14362"</f>
        <v>T14362</v>
      </c>
      <c r="C2736" t="s">
        <v>478</v>
      </c>
      <c r="D2736">
        <v>45810</v>
      </c>
      <c r="E2736" s="2">
        <v>186</v>
      </c>
      <c r="F2736" s="1">
        <v>42972</v>
      </c>
      <c r="G2736" t="str">
        <f>"SL6201708234445"</f>
        <v>SL6201708234445</v>
      </c>
      <c r="H2736" t="str">
        <f>"TG STUDENT LOAN - P CROUCH"</f>
        <v>TG STUDENT LOAN - P CROUCH</v>
      </c>
      <c r="I2736" s="2">
        <v>186</v>
      </c>
      <c r="J2736" t="str">
        <f>"TG STUDENT LOAN - P CROUCH"</f>
        <v>TG STUDENT LOAN - P CROUCH</v>
      </c>
    </row>
    <row r="2737" spans="1:10" x14ac:dyDescent="0.3">
      <c r="A2737" t="str">
        <f>"01"</f>
        <v>01</v>
      </c>
      <c r="B2737" t="str">
        <f>"T10887"</f>
        <v>T10887</v>
      </c>
      <c r="C2737" t="s">
        <v>479</v>
      </c>
      <c r="D2737">
        <v>45809</v>
      </c>
      <c r="E2737" s="2">
        <v>212.65</v>
      </c>
      <c r="F2737" s="1">
        <v>42972</v>
      </c>
      <c r="G2737" t="str">
        <f>"SL9201708234445"</f>
        <v>SL9201708234445</v>
      </c>
      <c r="H2737" t="str">
        <f>"STUDENT LOAN"</f>
        <v>STUDENT LOAN</v>
      </c>
      <c r="I2737" s="2">
        <v>212.65</v>
      </c>
      <c r="J2737" t="str">
        <f>"STUDENT LOAN"</f>
        <v>STUDENT LOAN</v>
      </c>
    </row>
    <row r="2738" spans="1:10" x14ac:dyDescent="0.3">
      <c r="A2738" t="str">
        <f>"01"</f>
        <v>01</v>
      </c>
      <c r="B2738" t="str">
        <f>"VERITY"</f>
        <v>VERITY</v>
      </c>
      <c r="C2738" t="s">
        <v>480</v>
      </c>
      <c r="D2738">
        <v>0</v>
      </c>
      <c r="E2738" s="2">
        <v>17439.73</v>
      </c>
      <c r="F2738" s="1">
        <v>42958</v>
      </c>
      <c r="G2738" t="str">
        <f>"FSA201708094186"</f>
        <v>FSA201708094186</v>
      </c>
      <c r="H2738" t="str">
        <f>"VERITY NAT 125 VENDOR"</f>
        <v>VERITY NAT 125 VENDOR</v>
      </c>
      <c r="I2738" s="2">
        <v>7946.78</v>
      </c>
      <c r="J2738" t="str">
        <f>"VERITY NAT 125 VENDOR"</f>
        <v>VERITY NAT 125 VENDOR</v>
      </c>
    </row>
    <row r="2739" spans="1:10" x14ac:dyDescent="0.3">
      <c r="A2739" t="str">
        <f>""</f>
        <v/>
      </c>
      <c r="B2739" t="str">
        <f>""</f>
        <v/>
      </c>
      <c r="G2739" t="str">
        <f>"FSA201708094187"</f>
        <v>FSA201708094187</v>
      </c>
      <c r="H2739" t="str">
        <f>"VERITY NAT 125 VENDOR"</f>
        <v>VERITY NAT 125 VENDOR</v>
      </c>
      <c r="I2739" s="2">
        <v>528.16999999999996</v>
      </c>
      <c r="J2739" t="str">
        <f>"VERITY NAT 125 VENDOR"</f>
        <v>VERITY NAT 125 VENDOR</v>
      </c>
    </row>
    <row r="2740" spans="1:10" x14ac:dyDescent="0.3">
      <c r="A2740" t="str">
        <f>""</f>
        <v/>
      </c>
      <c r="B2740" t="str">
        <f>""</f>
        <v/>
      </c>
      <c r="G2740" t="str">
        <f>"FSC201708094186"</f>
        <v>FSC201708094186</v>
      </c>
      <c r="H2740" t="str">
        <f>"VERITY NAT 125 DEP CARE"</f>
        <v>VERITY NAT 125 DEP CARE</v>
      </c>
      <c r="I2740" s="2">
        <v>416.66</v>
      </c>
      <c r="J2740" t="str">
        <f>"VERITY NAT 125 DEP CARE"</f>
        <v>VERITY NAT 125 DEP CARE</v>
      </c>
    </row>
    <row r="2741" spans="1:10" x14ac:dyDescent="0.3">
      <c r="A2741" t="str">
        <f>""</f>
        <v/>
      </c>
      <c r="B2741" t="str">
        <f>""</f>
        <v/>
      </c>
      <c r="G2741" t="str">
        <f>"FSF201708094186"</f>
        <v>FSF201708094186</v>
      </c>
      <c r="H2741" t="str">
        <f>"VERITY NAT 125 VENDOR"</f>
        <v>VERITY NAT 125 VENDOR</v>
      </c>
      <c r="I2741" s="2">
        <v>616.25</v>
      </c>
      <c r="J2741" t="str">
        <f t="shared" ref="J2741:J2780" si="67">"VERITY NAT 125 VENDOR"</f>
        <v>VERITY NAT 125 VENDOR</v>
      </c>
    </row>
    <row r="2742" spans="1:10" x14ac:dyDescent="0.3">
      <c r="A2742" t="str">
        <f>""</f>
        <v/>
      </c>
      <c r="B2742" t="str">
        <f>""</f>
        <v/>
      </c>
      <c r="G2742" t="str">
        <f>""</f>
        <v/>
      </c>
      <c r="H2742" t="str">
        <f>""</f>
        <v/>
      </c>
      <c r="J2742" t="str">
        <f t="shared" si="67"/>
        <v>VERITY NAT 125 VENDOR</v>
      </c>
    </row>
    <row r="2743" spans="1:10" x14ac:dyDescent="0.3">
      <c r="A2743" t="str">
        <f>""</f>
        <v/>
      </c>
      <c r="B2743" t="str">
        <f>""</f>
        <v/>
      </c>
      <c r="G2743" t="str">
        <f>""</f>
        <v/>
      </c>
      <c r="H2743" t="str">
        <f>""</f>
        <v/>
      </c>
      <c r="J2743" t="str">
        <f t="shared" si="67"/>
        <v>VERITY NAT 125 VENDOR</v>
      </c>
    </row>
    <row r="2744" spans="1:10" x14ac:dyDescent="0.3">
      <c r="A2744" t="str">
        <f>""</f>
        <v/>
      </c>
      <c r="B2744" t="str">
        <f>""</f>
        <v/>
      </c>
      <c r="G2744" t="str">
        <f>""</f>
        <v/>
      </c>
      <c r="H2744" t="str">
        <f>""</f>
        <v/>
      </c>
      <c r="J2744" t="str">
        <f t="shared" si="67"/>
        <v>VERITY NAT 125 VENDOR</v>
      </c>
    </row>
    <row r="2745" spans="1:10" x14ac:dyDescent="0.3">
      <c r="A2745" t="str">
        <f>""</f>
        <v/>
      </c>
      <c r="B2745" t="str">
        <f>""</f>
        <v/>
      </c>
      <c r="G2745" t="str">
        <f>""</f>
        <v/>
      </c>
      <c r="H2745" t="str">
        <f>""</f>
        <v/>
      </c>
      <c r="J2745" t="str">
        <f t="shared" si="67"/>
        <v>VERITY NAT 125 VENDOR</v>
      </c>
    </row>
    <row r="2746" spans="1:10" x14ac:dyDescent="0.3">
      <c r="A2746" t="str">
        <f>""</f>
        <v/>
      </c>
      <c r="B2746" t="str">
        <f>""</f>
        <v/>
      </c>
      <c r="G2746" t="str">
        <f>""</f>
        <v/>
      </c>
      <c r="H2746" t="str">
        <f>""</f>
        <v/>
      </c>
      <c r="J2746" t="str">
        <f t="shared" si="67"/>
        <v>VERITY NAT 125 VENDOR</v>
      </c>
    </row>
    <row r="2747" spans="1:10" x14ac:dyDescent="0.3">
      <c r="A2747" t="str">
        <f>""</f>
        <v/>
      </c>
      <c r="B2747" t="str">
        <f>""</f>
        <v/>
      </c>
      <c r="G2747" t="str">
        <f>""</f>
        <v/>
      </c>
      <c r="H2747" t="str">
        <f>""</f>
        <v/>
      </c>
      <c r="J2747" t="str">
        <f t="shared" si="67"/>
        <v>VERITY NAT 125 VENDOR</v>
      </c>
    </row>
    <row r="2748" spans="1:10" x14ac:dyDescent="0.3">
      <c r="A2748" t="str">
        <f>""</f>
        <v/>
      </c>
      <c r="B2748" t="str">
        <f>""</f>
        <v/>
      </c>
      <c r="G2748" t="str">
        <f>""</f>
        <v/>
      </c>
      <c r="H2748" t="str">
        <f>""</f>
        <v/>
      </c>
      <c r="J2748" t="str">
        <f t="shared" si="67"/>
        <v>VERITY NAT 125 VENDOR</v>
      </c>
    </row>
    <row r="2749" spans="1:10" x14ac:dyDescent="0.3">
      <c r="A2749" t="str">
        <f>""</f>
        <v/>
      </c>
      <c r="B2749" t="str">
        <f>""</f>
        <v/>
      </c>
      <c r="G2749" t="str">
        <f>""</f>
        <v/>
      </c>
      <c r="H2749" t="str">
        <f>""</f>
        <v/>
      </c>
      <c r="J2749" t="str">
        <f t="shared" si="67"/>
        <v>VERITY NAT 125 VENDOR</v>
      </c>
    </row>
    <row r="2750" spans="1:10" x14ac:dyDescent="0.3">
      <c r="A2750" t="str">
        <f>""</f>
        <v/>
      </c>
      <c r="B2750" t="str">
        <f>""</f>
        <v/>
      </c>
      <c r="G2750" t="str">
        <f>""</f>
        <v/>
      </c>
      <c r="H2750" t="str">
        <f>""</f>
        <v/>
      </c>
      <c r="J2750" t="str">
        <f t="shared" si="67"/>
        <v>VERITY NAT 125 VENDOR</v>
      </c>
    </row>
    <row r="2751" spans="1:10" x14ac:dyDescent="0.3">
      <c r="A2751" t="str">
        <f>""</f>
        <v/>
      </c>
      <c r="B2751" t="str">
        <f>""</f>
        <v/>
      </c>
      <c r="G2751" t="str">
        <f>""</f>
        <v/>
      </c>
      <c r="H2751" t="str">
        <f>""</f>
        <v/>
      </c>
      <c r="J2751" t="str">
        <f t="shared" si="67"/>
        <v>VERITY NAT 125 VENDOR</v>
      </c>
    </row>
    <row r="2752" spans="1:10" x14ac:dyDescent="0.3">
      <c r="A2752" t="str">
        <f>""</f>
        <v/>
      </c>
      <c r="B2752" t="str">
        <f>""</f>
        <v/>
      </c>
      <c r="G2752" t="str">
        <f>""</f>
        <v/>
      </c>
      <c r="H2752" t="str">
        <f>""</f>
        <v/>
      </c>
      <c r="J2752" t="str">
        <f t="shared" si="67"/>
        <v>VERITY NAT 125 VENDOR</v>
      </c>
    </row>
    <row r="2753" spans="1:10" x14ac:dyDescent="0.3">
      <c r="A2753" t="str">
        <f>""</f>
        <v/>
      </c>
      <c r="B2753" t="str">
        <f>""</f>
        <v/>
      </c>
      <c r="G2753" t="str">
        <f>""</f>
        <v/>
      </c>
      <c r="H2753" t="str">
        <f>""</f>
        <v/>
      </c>
      <c r="J2753" t="str">
        <f t="shared" si="67"/>
        <v>VERITY NAT 125 VENDOR</v>
      </c>
    </row>
    <row r="2754" spans="1:10" x14ac:dyDescent="0.3">
      <c r="A2754" t="str">
        <f>""</f>
        <v/>
      </c>
      <c r="B2754" t="str">
        <f>""</f>
        <v/>
      </c>
      <c r="G2754" t="str">
        <f>""</f>
        <v/>
      </c>
      <c r="H2754" t="str">
        <f>""</f>
        <v/>
      </c>
      <c r="J2754" t="str">
        <f t="shared" si="67"/>
        <v>VERITY NAT 125 VENDOR</v>
      </c>
    </row>
    <row r="2755" spans="1:10" x14ac:dyDescent="0.3">
      <c r="A2755" t="str">
        <f>""</f>
        <v/>
      </c>
      <c r="B2755" t="str">
        <f>""</f>
        <v/>
      </c>
      <c r="G2755" t="str">
        <f>""</f>
        <v/>
      </c>
      <c r="H2755" t="str">
        <f>""</f>
        <v/>
      </c>
      <c r="J2755" t="str">
        <f t="shared" si="67"/>
        <v>VERITY NAT 125 VENDOR</v>
      </c>
    </row>
    <row r="2756" spans="1:10" x14ac:dyDescent="0.3">
      <c r="A2756" t="str">
        <f>""</f>
        <v/>
      </c>
      <c r="B2756" t="str">
        <f>""</f>
        <v/>
      </c>
      <c r="G2756" t="str">
        <f>""</f>
        <v/>
      </c>
      <c r="H2756" t="str">
        <f>""</f>
        <v/>
      </c>
      <c r="J2756" t="str">
        <f t="shared" si="67"/>
        <v>VERITY NAT 125 VENDOR</v>
      </c>
    </row>
    <row r="2757" spans="1:10" x14ac:dyDescent="0.3">
      <c r="A2757" t="str">
        <f>""</f>
        <v/>
      </c>
      <c r="B2757" t="str">
        <f>""</f>
        <v/>
      </c>
      <c r="G2757" t="str">
        <f>""</f>
        <v/>
      </c>
      <c r="H2757" t="str">
        <f>""</f>
        <v/>
      </c>
      <c r="J2757" t="str">
        <f t="shared" si="67"/>
        <v>VERITY NAT 125 VENDOR</v>
      </c>
    </row>
    <row r="2758" spans="1:10" x14ac:dyDescent="0.3">
      <c r="A2758" t="str">
        <f>""</f>
        <v/>
      </c>
      <c r="B2758" t="str">
        <f>""</f>
        <v/>
      </c>
      <c r="G2758" t="str">
        <f>""</f>
        <v/>
      </c>
      <c r="H2758" t="str">
        <f>""</f>
        <v/>
      </c>
      <c r="J2758" t="str">
        <f t="shared" si="67"/>
        <v>VERITY NAT 125 VENDOR</v>
      </c>
    </row>
    <row r="2759" spans="1:10" x14ac:dyDescent="0.3">
      <c r="A2759" t="str">
        <f>""</f>
        <v/>
      </c>
      <c r="B2759" t="str">
        <f>""</f>
        <v/>
      </c>
      <c r="G2759" t="str">
        <f>""</f>
        <v/>
      </c>
      <c r="H2759" t="str">
        <f>""</f>
        <v/>
      </c>
      <c r="J2759" t="str">
        <f t="shared" si="67"/>
        <v>VERITY NAT 125 VENDOR</v>
      </c>
    </row>
    <row r="2760" spans="1:10" x14ac:dyDescent="0.3">
      <c r="A2760" t="str">
        <f>""</f>
        <v/>
      </c>
      <c r="B2760" t="str">
        <f>""</f>
        <v/>
      </c>
      <c r="G2760" t="str">
        <f>""</f>
        <v/>
      </c>
      <c r="H2760" t="str">
        <f>""</f>
        <v/>
      </c>
      <c r="J2760" t="str">
        <f t="shared" si="67"/>
        <v>VERITY NAT 125 VENDOR</v>
      </c>
    </row>
    <row r="2761" spans="1:10" x14ac:dyDescent="0.3">
      <c r="A2761" t="str">
        <f>""</f>
        <v/>
      </c>
      <c r="B2761" t="str">
        <f>""</f>
        <v/>
      </c>
      <c r="G2761" t="str">
        <f>""</f>
        <v/>
      </c>
      <c r="H2761" t="str">
        <f>""</f>
        <v/>
      </c>
      <c r="J2761" t="str">
        <f t="shared" si="67"/>
        <v>VERITY NAT 125 VENDOR</v>
      </c>
    </row>
    <row r="2762" spans="1:10" x14ac:dyDescent="0.3">
      <c r="A2762" t="str">
        <f>""</f>
        <v/>
      </c>
      <c r="B2762" t="str">
        <f>""</f>
        <v/>
      </c>
      <c r="G2762" t="str">
        <f>""</f>
        <v/>
      </c>
      <c r="H2762" t="str">
        <f>""</f>
        <v/>
      </c>
      <c r="J2762" t="str">
        <f t="shared" si="67"/>
        <v>VERITY NAT 125 VENDOR</v>
      </c>
    </row>
    <row r="2763" spans="1:10" x14ac:dyDescent="0.3">
      <c r="A2763" t="str">
        <f>""</f>
        <v/>
      </c>
      <c r="B2763" t="str">
        <f>""</f>
        <v/>
      </c>
      <c r="G2763" t="str">
        <f>""</f>
        <v/>
      </c>
      <c r="H2763" t="str">
        <f>""</f>
        <v/>
      </c>
      <c r="J2763" t="str">
        <f t="shared" si="67"/>
        <v>VERITY NAT 125 VENDOR</v>
      </c>
    </row>
    <row r="2764" spans="1:10" x14ac:dyDescent="0.3">
      <c r="A2764" t="str">
        <f>""</f>
        <v/>
      </c>
      <c r="B2764" t="str">
        <f>""</f>
        <v/>
      </c>
      <c r="G2764" t="str">
        <f>""</f>
        <v/>
      </c>
      <c r="H2764" t="str">
        <f>""</f>
        <v/>
      </c>
      <c r="J2764" t="str">
        <f t="shared" si="67"/>
        <v>VERITY NAT 125 VENDOR</v>
      </c>
    </row>
    <row r="2765" spans="1:10" x14ac:dyDescent="0.3">
      <c r="A2765" t="str">
        <f>""</f>
        <v/>
      </c>
      <c r="B2765" t="str">
        <f>""</f>
        <v/>
      </c>
      <c r="G2765" t="str">
        <f>""</f>
        <v/>
      </c>
      <c r="H2765" t="str">
        <f>""</f>
        <v/>
      </c>
      <c r="J2765" t="str">
        <f t="shared" si="67"/>
        <v>VERITY NAT 125 VENDOR</v>
      </c>
    </row>
    <row r="2766" spans="1:10" x14ac:dyDescent="0.3">
      <c r="A2766" t="str">
        <f>""</f>
        <v/>
      </c>
      <c r="B2766" t="str">
        <f>""</f>
        <v/>
      </c>
      <c r="G2766" t="str">
        <f>""</f>
        <v/>
      </c>
      <c r="H2766" t="str">
        <f>""</f>
        <v/>
      </c>
      <c r="J2766" t="str">
        <f t="shared" si="67"/>
        <v>VERITY NAT 125 VENDOR</v>
      </c>
    </row>
    <row r="2767" spans="1:10" x14ac:dyDescent="0.3">
      <c r="A2767" t="str">
        <f>""</f>
        <v/>
      </c>
      <c r="B2767" t="str">
        <f>""</f>
        <v/>
      </c>
      <c r="G2767" t="str">
        <f>""</f>
        <v/>
      </c>
      <c r="H2767" t="str">
        <f>""</f>
        <v/>
      </c>
      <c r="J2767" t="str">
        <f t="shared" si="67"/>
        <v>VERITY NAT 125 VENDOR</v>
      </c>
    </row>
    <row r="2768" spans="1:10" x14ac:dyDescent="0.3">
      <c r="A2768" t="str">
        <f>""</f>
        <v/>
      </c>
      <c r="B2768" t="str">
        <f>""</f>
        <v/>
      </c>
      <c r="G2768" t="str">
        <f>""</f>
        <v/>
      </c>
      <c r="H2768" t="str">
        <f>""</f>
        <v/>
      </c>
      <c r="J2768" t="str">
        <f t="shared" si="67"/>
        <v>VERITY NAT 125 VENDOR</v>
      </c>
    </row>
    <row r="2769" spans="1:10" x14ac:dyDescent="0.3">
      <c r="A2769" t="str">
        <f>""</f>
        <v/>
      </c>
      <c r="B2769" t="str">
        <f>""</f>
        <v/>
      </c>
      <c r="G2769" t="str">
        <f>""</f>
        <v/>
      </c>
      <c r="H2769" t="str">
        <f>""</f>
        <v/>
      </c>
      <c r="J2769" t="str">
        <f t="shared" si="67"/>
        <v>VERITY NAT 125 VENDOR</v>
      </c>
    </row>
    <row r="2770" spans="1:10" x14ac:dyDescent="0.3">
      <c r="A2770" t="str">
        <f>""</f>
        <v/>
      </c>
      <c r="B2770" t="str">
        <f>""</f>
        <v/>
      </c>
      <c r="G2770" t="str">
        <f>""</f>
        <v/>
      </c>
      <c r="H2770" t="str">
        <f>""</f>
        <v/>
      </c>
      <c r="J2770" t="str">
        <f t="shared" si="67"/>
        <v>VERITY NAT 125 VENDOR</v>
      </c>
    </row>
    <row r="2771" spans="1:10" x14ac:dyDescent="0.3">
      <c r="A2771" t="str">
        <f>""</f>
        <v/>
      </c>
      <c r="B2771" t="str">
        <f>""</f>
        <v/>
      </c>
      <c r="G2771" t="str">
        <f>""</f>
        <v/>
      </c>
      <c r="H2771" t="str">
        <f>""</f>
        <v/>
      </c>
      <c r="J2771" t="str">
        <f t="shared" si="67"/>
        <v>VERITY NAT 125 VENDOR</v>
      </c>
    </row>
    <row r="2772" spans="1:10" x14ac:dyDescent="0.3">
      <c r="A2772" t="str">
        <f>""</f>
        <v/>
      </c>
      <c r="B2772" t="str">
        <f>""</f>
        <v/>
      </c>
      <c r="G2772" t="str">
        <f>""</f>
        <v/>
      </c>
      <c r="H2772" t="str">
        <f>""</f>
        <v/>
      </c>
      <c r="J2772" t="str">
        <f t="shared" si="67"/>
        <v>VERITY NAT 125 VENDOR</v>
      </c>
    </row>
    <row r="2773" spans="1:10" x14ac:dyDescent="0.3">
      <c r="A2773" t="str">
        <f>""</f>
        <v/>
      </c>
      <c r="B2773" t="str">
        <f>""</f>
        <v/>
      </c>
      <c r="G2773" t="str">
        <f>""</f>
        <v/>
      </c>
      <c r="H2773" t="str">
        <f>""</f>
        <v/>
      </c>
      <c r="J2773" t="str">
        <f t="shared" si="67"/>
        <v>VERITY NAT 125 VENDOR</v>
      </c>
    </row>
    <row r="2774" spans="1:10" x14ac:dyDescent="0.3">
      <c r="A2774" t="str">
        <f>""</f>
        <v/>
      </c>
      <c r="B2774" t="str">
        <f>""</f>
        <v/>
      </c>
      <c r="G2774" t="str">
        <f>""</f>
        <v/>
      </c>
      <c r="H2774" t="str">
        <f>""</f>
        <v/>
      </c>
      <c r="J2774" t="str">
        <f t="shared" si="67"/>
        <v>VERITY NAT 125 VENDOR</v>
      </c>
    </row>
    <row r="2775" spans="1:10" x14ac:dyDescent="0.3">
      <c r="A2775" t="str">
        <f>""</f>
        <v/>
      </c>
      <c r="B2775" t="str">
        <f>""</f>
        <v/>
      </c>
      <c r="G2775" t="str">
        <f>""</f>
        <v/>
      </c>
      <c r="H2775" t="str">
        <f>""</f>
        <v/>
      </c>
      <c r="J2775" t="str">
        <f t="shared" si="67"/>
        <v>VERITY NAT 125 VENDOR</v>
      </c>
    </row>
    <row r="2776" spans="1:10" x14ac:dyDescent="0.3">
      <c r="A2776" t="str">
        <f>""</f>
        <v/>
      </c>
      <c r="B2776" t="str">
        <f>""</f>
        <v/>
      </c>
      <c r="G2776" t="str">
        <f>""</f>
        <v/>
      </c>
      <c r="H2776" t="str">
        <f>""</f>
        <v/>
      </c>
      <c r="J2776" t="str">
        <f t="shared" si="67"/>
        <v>VERITY NAT 125 VENDOR</v>
      </c>
    </row>
    <row r="2777" spans="1:10" x14ac:dyDescent="0.3">
      <c r="A2777" t="str">
        <f>""</f>
        <v/>
      </c>
      <c r="B2777" t="str">
        <f>""</f>
        <v/>
      </c>
      <c r="G2777" t="str">
        <f>""</f>
        <v/>
      </c>
      <c r="H2777" t="str">
        <f>""</f>
        <v/>
      </c>
      <c r="J2777" t="str">
        <f t="shared" si="67"/>
        <v>VERITY NAT 125 VENDOR</v>
      </c>
    </row>
    <row r="2778" spans="1:10" x14ac:dyDescent="0.3">
      <c r="A2778" t="str">
        <f>""</f>
        <v/>
      </c>
      <c r="B2778" t="str">
        <f>""</f>
        <v/>
      </c>
      <c r="G2778" t="str">
        <f>""</f>
        <v/>
      </c>
      <c r="H2778" t="str">
        <f>""</f>
        <v/>
      </c>
      <c r="J2778" t="str">
        <f t="shared" si="67"/>
        <v>VERITY NAT 125 VENDOR</v>
      </c>
    </row>
    <row r="2779" spans="1:10" x14ac:dyDescent="0.3">
      <c r="A2779" t="str">
        <f>""</f>
        <v/>
      </c>
      <c r="B2779" t="str">
        <f>""</f>
        <v/>
      </c>
      <c r="G2779" t="str">
        <f>"FSF201708094187"</f>
        <v>FSF201708094187</v>
      </c>
      <c r="H2779" t="str">
        <f>"VERITY NAT 125 VENDOR"</f>
        <v>VERITY NAT 125 VENDOR</v>
      </c>
      <c r="I2779" s="2">
        <v>25.5</v>
      </c>
      <c r="J2779" t="str">
        <f t="shared" si="67"/>
        <v>VERITY NAT 125 VENDOR</v>
      </c>
    </row>
    <row r="2780" spans="1:10" x14ac:dyDescent="0.3">
      <c r="A2780" t="str">
        <f>""</f>
        <v/>
      </c>
      <c r="B2780" t="str">
        <f>""</f>
        <v/>
      </c>
      <c r="G2780" t="str">
        <f>""</f>
        <v/>
      </c>
      <c r="H2780" t="str">
        <f>""</f>
        <v/>
      </c>
      <c r="J2780" t="str">
        <f t="shared" si="67"/>
        <v>VERITY NAT 125 VENDOR</v>
      </c>
    </row>
    <row r="2781" spans="1:10" x14ac:dyDescent="0.3">
      <c r="A2781" t="str">
        <f>""</f>
        <v/>
      </c>
      <c r="B2781" t="str">
        <f>""</f>
        <v/>
      </c>
      <c r="G2781" t="str">
        <f>"FSO201708094186"</f>
        <v>FSO201708094186</v>
      </c>
      <c r="H2781" t="str">
        <f>"VERITY FSA ONLY FEE"</f>
        <v>VERITY FSA ONLY FEE</v>
      </c>
      <c r="I2781" s="2">
        <v>24</v>
      </c>
      <c r="J2781" t="str">
        <f t="shared" ref="J2781:J2790" si="68">"VERITY FSA ONLY FEE"</f>
        <v>VERITY FSA ONLY FEE</v>
      </c>
    </row>
    <row r="2782" spans="1:10" x14ac:dyDescent="0.3">
      <c r="A2782" t="str">
        <f>""</f>
        <v/>
      </c>
      <c r="B2782" t="str">
        <f>""</f>
        <v/>
      </c>
      <c r="G2782" t="str">
        <f>""</f>
        <v/>
      </c>
      <c r="H2782" t="str">
        <f>""</f>
        <v/>
      </c>
      <c r="J2782" t="str">
        <f t="shared" si="68"/>
        <v>VERITY FSA ONLY FEE</v>
      </c>
    </row>
    <row r="2783" spans="1:10" x14ac:dyDescent="0.3">
      <c r="A2783" t="str">
        <f>""</f>
        <v/>
      </c>
      <c r="B2783" t="str">
        <f>""</f>
        <v/>
      </c>
      <c r="G2783" t="str">
        <f>""</f>
        <v/>
      </c>
      <c r="H2783" t="str">
        <f>""</f>
        <v/>
      </c>
      <c r="J2783" t="str">
        <f t="shared" si="68"/>
        <v>VERITY FSA ONLY FEE</v>
      </c>
    </row>
    <row r="2784" spans="1:10" x14ac:dyDescent="0.3">
      <c r="A2784" t="str">
        <f>""</f>
        <v/>
      </c>
      <c r="B2784" t="str">
        <f>""</f>
        <v/>
      </c>
      <c r="G2784" t="str">
        <f>""</f>
        <v/>
      </c>
      <c r="H2784" t="str">
        <f>""</f>
        <v/>
      </c>
      <c r="J2784" t="str">
        <f t="shared" si="68"/>
        <v>VERITY FSA ONLY FEE</v>
      </c>
    </row>
    <row r="2785" spans="1:10" x14ac:dyDescent="0.3">
      <c r="A2785" t="str">
        <f>""</f>
        <v/>
      </c>
      <c r="B2785" t="str">
        <f>""</f>
        <v/>
      </c>
      <c r="G2785" t="str">
        <f>""</f>
        <v/>
      </c>
      <c r="H2785" t="str">
        <f>""</f>
        <v/>
      </c>
      <c r="J2785" t="str">
        <f t="shared" si="68"/>
        <v>VERITY FSA ONLY FEE</v>
      </c>
    </row>
    <row r="2786" spans="1:10" x14ac:dyDescent="0.3">
      <c r="A2786" t="str">
        <f>""</f>
        <v/>
      </c>
      <c r="B2786" t="str">
        <f>""</f>
        <v/>
      </c>
      <c r="G2786" t="str">
        <f>""</f>
        <v/>
      </c>
      <c r="H2786" t="str">
        <f>""</f>
        <v/>
      </c>
      <c r="J2786" t="str">
        <f t="shared" si="68"/>
        <v>VERITY FSA ONLY FEE</v>
      </c>
    </row>
    <row r="2787" spans="1:10" x14ac:dyDescent="0.3">
      <c r="A2787" t="str">
        <f>""</f>
        <v/>
      </c>
      <c r="B2787" t="str">
        <f>""</f>
        <v/>
      </c>
      <c r="G2787" t="str">
        <f>""</f>
        <v/>
      </c>
      <c r="H2787" t="str">
        <f>""</f>
        <v/>
      </c>
      <c r="J2787" t="str">
        <f t="shared" si="68"/>
        <v>VERITY FSA ONLY FEE</v>
      </c>
    </row>
    <row r="2788" spans="1:10" x14ac:dyDescent="0.3">
      <c r="A2788" t="str">
        <f>""</f>
        <v/>
      </c>
      <c r="B2788" t="str">
        <f>""</f>
        <v/>
      </c>
      <c r="G2788" t="str">
        <f>""</f>
        <v/>
      </c>
      <c r="H2788" t="str">
        <f>""</f>
        <v/>
      </c>
      <c r="J2788" t="str">
        <f t="shared" si="68"/>
        <v>VERITY FSA ONLY FEE</v>
      </c>
    </row>
    <row r="2789" spans="1:10" x14ac:dyDescent="0.3">
      <c r="A2789" t="str">
        <f>""</f>
        <v/>
      </c>
      <c r="B2789" t="str">
        <f>""</f>
        <v/>
      </c>
      <c r="G2789" t="str">
        <f>""</f>
        <v/>
      </c>
      <c r="H2789" t="str">
        <f>""</f>
        <v/>
      </c>
      <c r="J2789" t="str">
        <f t="shared" si="68"/>
        <v>VERITY FSA ONLY FEE</v>
      </c>
    </row>
    <row r="2790" spans="1:10" x14ac:dyDescent="0.3">
      <c r="A2790" t="str">
        <f>""</f>
        <v/>
      </c>
      <c r="B2790" t="str">
        <f>""</f>
        <v/>
      </c>
      <c r="G2790" t="str">
        <f>""</f>
        <v/>
      </c>
      <c r="H2790" t="str">
        <f>""</f>
        <v/>
      </c>
      <c r="J2790" t="str">
        <f t="shared" si="68"/>
        <v>VERITY FSA ONLY FEE</v>
      </c>
    </row>
    <row r="2791" spans="1:10" x14ac:dyDescent="0.3">
      <c r="A2791" t="str">
        <f>""</f>
        <v/>
      </c>
      <c r="B2791" t="str">
        <f>""</f>
        <v/>
      </c>
      <c r="G2791" t="str">
        <f>"FSO201708094187"</f>
        <v>FSO201708094187</v>
      </c>
      <c r="H2791" t="str">
        <f>"VERITY FSA ONLY"</f>
        <v>VERITY FSA ONLY</v>
      </c>
      <c r="I2791" s="2">
        <v>3</v>
      </c>
      <c r="J2791" t="str">
        <f>"VERITY FSA ONLY"</f>
        <v>VERITY FSA ONLY</v>
      </c>
    </row>
    <row r="2792" spans="1:10" x14ac:dyDescent="0.3">
      <c r="A2792" t="str">
        <f>""</f>
        <v/>
      </c>
      <c r="B2792" t="str">
        <f>""</f>
        <v/>
      </c>
      <c r="G2792" t="str">
        <f>""</f>
        <v/>
      </c>
      <c r="H2792" t="str">
        <f>""</f>
        <v/>
      </c>
      <c r="J2792" t="str">
        <f>"VERITY FSA ONLY"</f>
        <v>VERITY FSA ONLY</v>
      </c>
    </row>
    <row r="2793" spans="1:10" x14ac:dyDescent="0.3">
      <c r="A2793" t="str">
        <f>""</f>
        <v/>
      </c>
      <c r="B2793" t="str">
        <f>""</f>
        <v/>
      </c>
      <c r="G2793" t="str">
        <f>"HRA201708094186"</f>
        <v>HRA201708094186</v>
      </c>
      <c r="H2793" t="str">
        <f>"VERITY HRA FEES"</f>
        <v>VERITY HRA FEES</v>
      </c>
      <c r="I2793" s="2">
        <v>6851.37</v>
      </c>
      <c r="J2793" t="str">
        <f t="shared" ref="J2793:J2840" si="69">"VERITY HRA FEES"</f>
        <v>VERITY HRA FEES</v>
      </c>
    </row>
    <row r="2794" spans="1:10" x14ac:dyDescent="0.3">
      <c r="A2794" t="str">
        <f>""</f>
        <v/>
      </c>
      <c r="B2794" t="str">
        <f>""</f>
        <v/>
      </c>
      <c r="G2794" t="str">
        <f>""</f>
        <v/>
      </c>
      <c r="H2794" t="str">
        <f>""</f>
        <v/>
      </c>
      <c r="J2794" t="str">
        <f t="shared" si="69"/>
        <v>VERITY HRA FEES</v>
      </c>
    </row>
    <row r="2795" spans="1:10" x14ac:dyDescent="0.3">
      <c r="A2795" t="str">
        <f>""</f>
        <v/>
      </c>
      <c r="B2795" t="str">
        <f>""</f>
        <v/>
      </c>
      <c r="G2795" t="str">
        <f>""</f>
        <v/>
      </c>
      <c r="H2795" t="str">
        <f>""</f>
        <v/>
      </c>
      <c r="J2795" t="str">
        <f t="shared" si="69"/>
        <v>VERITY HRA FEES</v>
      </c>
    </row>
    <row r="2796" spans="1:10" x14ac:dyDescent="0.3">
      <c r="A2796" t="str">
        <f>""</f>
        <v/>
      </c>
      <c r="B2796" t="str">
        <f>""</f>
        <v/>
      </c>
      <c r="G2796" t="str">
        <f>""</f>
        <v/>
      </c>
      <c r="H2796" t="str">
        <f>""</f>
        <v/>
      </c>
      <c r="J2796" t="str">
        <f t="shared" si="69"/>
        <v>VERITY HRA FEES</v>
      </c>
    </row>
    <row r="2797" spans="1:10" x14ac:dyDescent="0.3">
      <c r="A2797" t="str">
        <f>""</f>
        <v/>
      </c>
      <c r="B2797" t="str">
        <f>""</f>
        <v/>
      </c>
      <c r="G2797" t="str">
        <f>""</f>
        <v/>
      </c>
      <c r="H2797" t="str">
        <f>""</f>
        <v/>
      </c>
      <c r="J2797" t="str">
        <f t="shared" si="69"/>
        <v>VERITY HRA FEES</v>
      </c>
    </row>
    <row r="2798" spans="1:10" x14ac:dyDescent="0.3">
      <c r="A2798" t="str">
        <f>""</f>
        <v/>
      </c>
      <c r="B2798" t="str">
        <f>""</f>
        <v/>
      </c>
      <c r="G2798" t="str">
        <f>""</f>
        <v/>
      </c>
      <c r="H2798" t="str">
        <f>""</f>
        <v/>
      </c>
      <c r="J2798" t="str">
        <f t="shared" si="69"/>
        <v>VERITY HRA FEES</v>
      </c>
    </row>
    <row r="2799" spans="1:10" x14ac:dyDescent="0.3">
      <c r="A2799" t="str">
        <f>""</f>
        <v/>
      </c>
      <c r="B2799" t="str">
        <f>""</f>
        <v/>
      </c>
      <c r="G2799" t="str">
        <f>""</f>
        <v/>
      </c>
      <c r="H2799" t="str">
        <f>""</f>
        <v/>
      </c>
      <c r="J2799" t="str">
        <f t="shared" si="69"/>
        <v>VERITY HRA FEES</v>
      </c>
    </row>
    <row r="2800" spans="1:10" x14ac:dyDescent="0.3">
      <c r="A2800" t="str">
        <f>""</f>
        <v/>
      </c>
      <c r="B2800" t="str">
        <f>""</f>
        <v/>
      </c>
      <c r="G2800" t="str">
        <f>""</f>
        <v/>
      </c>
      <c r="H2800" t="str">
        <f>""</f>
        <v/>
      </c>
      <c r="J2800" t="str">
        <f t="shared" si="69"/>
        <v>VERITY HRA FEES</v>
      </c>
    </row>
    <row r="2801" spans="1:10" x14ac:dyDescent="0.3">
      <c r="A2801" t="str">
        <f>""</f>
        <v/>
      </c>
      <c r="B2801" t="str">
        <f>""</f>
        <v/>
      </c>
      <c r="G2801" t="str">
        <f>""</f>
        <v/>
      </c>
      <c r="H2801" t="str">
        <f>""</f>
        <v/>
      </c>
      <c r="J2801" t="str">
        <f t="shared" si="69"/>
        <v>VERITY HRA FEES</v>
      </c>
    </row>
    <row r="2802" spans="1:10" x14ac:dyDescent="0.3">
      <c r="A2802" t="str">
        <f>""</f>
        <v/>
      </c>
      <c r="B2802" t="str">
        <f>""</f>
        <v/>
      </c>
      <c r="G2802" t="str">
        <f>""</f>
        <v/>
      </c>
      <c r="H2802" t="str">
        <f>""</f>
        <v/>
      </c>
      <c r="J2802" t="str">
        <f t="shared" si="69"/>
        <v>VERITY HRA FEES</v>
      </c>
    </row>
    <row r="2803" spans="1:10" x14ac:dyDescent="0.3">
      <c r="A2803" t="str">
        <f>""</f>
        <v/>
      </c>
      <c r="B2803" t="str">
        <f>""</f>
        <v/>
      </c>
      <c r="G2803" t="str">
        <f>""</f>
        <v/>
      </c>
      <c r="H2803" t="str">
        <f>""</f>
        <v/>
      </c>
      <c r="J2803" t="str">
        <f t="shared" si="69"/>
        <v>VERITY HRA FEES</v>
      </c>
    </row>
    <row r="2804" spans="1:10" x14ac:dyDescent="0.3">
      <c r="A2804" t="str">
        <f>""</f>
        <v/>
      </c>
      <c r="B2804" t="str">
        <f>""</f>
        <v/>
      </c>
      <c r="G2804" t="str">
        <f>""</f>
        <v/>
      </c>
      <c r="H2804" t="str">
        <f>""</f>
        <v/>
      </c>
      <c r="J2804" t="str">
        <f t="shared" si="69"/>
        <v>VERITY HRA FEES</v>
      </c>
    </row>
    <row r="2805" spans="1:10" x14ac:dyDescent="0.3">
      <c r="A2805" t="str">
        <f>""</f>
        <v/>
      </c>
      <c r="B2805" t="str">
        <f>""</f>
        <v/>
      </c>
      <c r="G2805" t="str">
        <f>""</f>
        <v/>
      </c>
      <c r="H2805" t="str">
        <f>""</f>
        <v/>
      </c>
      <c r="J2805" t="str">
        <f t="shared" si="69"/>
        <v>VERITY HRA FEES</v>
      </c>
    </row>
    <row r="2806" spans="1:10" x14ac:dyDescent="0.3">
      <c r="A2806" t="str">
        <f>""</f>
        <v/>
      </c>
      <c r="B2806" t="str">
        <f>""</f>
        <v/>
      </c>
      <c r="G2806" t="str">
        <f>""</f>
        <v/>
      </c>
      <c r="H2806" t="str">
        <f>""</f>
        <v/>
      </c>
      <c r="J2806" t="str">
        <f t="shared" si="69"/>
        <v>VERITY HRA FEES</v>
      </c>
    </row>
    <row r="2807" spans="1:10" x14ac:dyDescent="0.3">
      <c r="A2807" t="str">
        <f>""</f>
        <v/>
      </c>
      <c r="B2807" t="str">
        <f>""</f>
        <v/>
      </c>
      <c r="G2807" t="str">
        <f>""</f>
        <v/>
      </c>
      <c r="H2807" t="str">
        <f>""</f>
        <v/>
      </c>
      <c r="J2807" t="str">
        <f t="shared" si="69"/>
        <v>VERITY HRA FEES</v>
      </c>
    </row>
    <row r="2808" spans="1:10" x14ac:dyDescent="0.3">
      <c r="A2808" t="str">
        <f>""</f>
        <v/>
      </c>
      <c r="B2808" t="str">
        <f>""</f>
        <v/>
      </c>
      <c r="G2808" t="str">
        <f>""</f>
        <v/>
      </c>
      <c r="H2808" t="str">
        <f>""</f>
        <v/>
      </c>
      <c r="J2808" t="str">
        <f t="shared" si="69"/>
        <v>VERITY HRA FEES</v>
      </c>
    </row>
    <row r="2809" spans="1:10" x14ac:dyDescent="0.3">
      <c r="A2809" t="str">
        <f>""</f>
        <v/>
      </c>
      <c r="B2809" t="str">
        <f>""</f>
        <v/>
      </c>
      <c r="G2809" t="str">
        <f>""</f>
        <v/>
      </c>
      <c r="H2809" t="str">
        <f>""</f>
        <v/>
      </c>
      <c r="J2809" t="str">
        <f t="shared" si="69"/>
        <v>VERITY HRA FEES</v>
      </c>
    </row>
    <row r="2810" spans="1:10" x14ac:dyDescent="0.3">
      <c r="A2810" t="str">
        <f>""</f>
        <v/>
      </c>
      <c r="B2810" t="str">
        <f>""</f>
        <v/>
      </c>
      <c r="G2810" t="str">
        <f>""</f>
        <v/>
      </c>
      <c r="H2810" t="str">
        <f>""</f>
        <v/>
      </c>
      <c r="J2810" t="str">
        <f t="shared" si="69"/>
        <v>VERITY HRA FEES</v>
      </c>
    </row>
    <row r="2811" spans="1:10" x14ac:dyDescent="0.3">
      <c r="A2811" t="str">
        <f>""</f>
        <v/>
      </c>
      <c r="B2811" t="str">
        <f>""</f>
        <v/>
      </c>
      <c r="G2811" t="str">
        <f>""</f>
        <v/>
      </c>
      <c r="H2811" t="str">
        <f>""</f>
        <v/>
      </c>
      <c r="J2811" t="str">
        <f t="shared" si="69"/>
        <v>VERITY HRA FEES</v>
      </c>
    </row>
    <row r="2812" spans="1:10" x14ac:dyDescent="0.3">
      <c r="A2812" t="str">
        <f>""</f>
        <v/>
      </c>
      <c r="B2812" t="str">
        <f>""</f>
        <v/>
      </c>
      <c r="G2812" t="str">
        <f>""</f>
        <v/>
      </c>
      <c r="H2812" t="str">
        <f>""</f>
        <v/>
      </c>
      <c r="J2812" t="str">
        <f t="shared" si="69"/>
        <v>VERITY HRA FEES</v>
      </c>
    </row>
    <row r="2813" spans="1:10" x14ac:dyDescent="0.3">
      <c r="A2813" t="str">
        <f>""</f>
        <v/>
      </c>
      <c r="B2813" t="str">
        <f>""</f>
        <v/>
      </c>
      <c r="G2813" t="str">
        <f>""</f>
        <v/>
      </c>
      <c r="H2813" t="str">
        <f>""</f>
        <v/>
      </c>
      <c r="J2813" t="str">
        <f t="shared" si="69"/>
        <v>VERITY HRA FEES</v>
      </c>
    </row>
    <row r="2814" spans="1:10" x14ac:dyDescent="0.3">
      <c r="A2814" t="str">
        <f>""</f>
        <v/>
      </c>
      <c r="B2814" t="str">
        <f>""</f>
        <v/>
      </c>
      <c r="G2814" t="str">
        <f>""</f>
        <v/>
      </c>
      <c r="H2814" t="str">
        <f>""</f>
        <v/>
      </c>
      <c r="J2814" t="str">
        <f t="shared" si="69"/>
        <v>VERITY HRA FEES</v>
      </c>
    </row>
    <row r="2815" spans="1:10" x14ac:dyDescent="0.3">
      <c r="A2815" t="str">
        <f>""</f>
        <v/>
      </c>
      <c r="B2815" t="str">
        <f>""</f>
        <v/>
      </c>
      <c r="G2815" t="str">
        <f>""</f>
        <v/>
      </c>
      <c r="H2815" t="str">
        <f>""</f>
        <v/>
      </c>
      <c r="J2815" t="str">
        <f t="shared" si="69"/>
        <v>VERITY HRA FEES</v>
      </c>
    </row>
    <row r="2816" spans="1:10" x14ac:dyDescent="0.3">
      <c r="A2816" t="str">
        <f>""</f>
        <v/>
      </c>
      <c r="B2816" t="str">
        <f>""</f>
        <v/>
      </c>
      <c r="G2816" t="str">
        <f>""</f>
        <v/>
      </c>
      <c r="H2816" t="str">
        <f>""</f>
        <v/>
      </c>
      <c r="J2816" t="str">
        <f t="shared" si="69"/>
        <v>VERITY HRA FEES</v>
      </c>
    </row>
    <row r="2817" spans="1:10" x14ac:dyDescent="0.3">
      <c r="A2817" t="str">
        <f>""</f>
        <v/>
      </c>
      <c r="B2817" t="str">
        <f>""</f>
        <v/>
      </c>
      <c r="G2817" t="str">
        <f>""</f>
        <v/>
      </c>
      <c r="H2817" t="str">
        <f>""</f>
        <v/>
      </c>
      <c r="J2817" t="str">
        <f t="shared" si="69"/>
        <v>VERITY HRA FEES</v>
      </c>
    </row>
    <row r="2818" spans="1:10" x14ac:dyDescent="0.3">
      <c r="A2818" t="str">
        <f>""</f>
        <v/>
      </c>
      <c r="B2818" t="str">
        <f>""</f>
        <v/>
      </c>
      <c r="G2818" t="str">
        <f>""</f>
        <v/>
      </c>
      <c r="H2818" t="str">
        <f>""</f>
        <v/>
      </c>
      <c r="J2818" t="str">
        <f t="shared" si="69"/>
        <v>VERITY HRA FEES</v>
      </c>
    </row>
    <row r="2819" spans="1:10" x14ac:dyDescent="0.3">
      <c r="A2819" t="str">
        <f>""</f>
        <v/>
      </c>
      <c r="B2819" t="str">
        <f>""</f>
        <v/>
      </c>
      <c r="G2819" t="str">
        <f>""</f>
        <v/>
      </c>
      <c r="H2819" t="str">
        <f>""</f>
        <v/>
      </c>
      <c r="J2819" t="str">
        <f t="shared" si="69"/>
        <v>VERITY HRA FEES</v>
      </c>
    </row>
    <row r="2820" spans="1:10" x14ac:dyDescent="0.3">
      <c r="A2820" t="str">
        <f>""</f>
        <v/>
      </c>
      <c r="B2820" t="str">
        <f>""</f>
        <v/>
      </c>
      <c r="G2820" t="str">
        <f>""</f>
        <v/>
      </c>
      <c r="H2820" t="str">
        <f>""</f>
        <v/>
      </c>
      <c r="J2820" t="str">
        <f t="shared" si="69"/>
        <v>VERITY HRA FEES</v>
      </c>
    </row>
    <row r="2821" spans="1:10" x14ac:dyDescent="0.3">
      <c r="A2821" t="str">
        <f>""</f>
        <v/>
      </c>
      <c r="B2821" t="str">
        <f>""</f>
        <v/>
      </c>
      <c r="G2821" t="str">
        <f>""</f>
        <v/>
      </c>
      <c r="H2821" t="str">
        <f>""</f>
        <v/>
      </c>
      <c r="J2821" t="str">
        <f t="shared" si="69"/>
        <v>VERITY HRA FEES</v>
      </c>
    </row>
    <row r="2822" spans="1:10" x14ac:dyDescent="0.3">
      <c r="A2822" t="str">
        <f>""</f>
        <v/>
      </c>
      <c r="B2822" t="str">
        <f>""</f>
        <v/>
      </c>
      <c r="G2822" t="str">
        <f>""</f>
        <v/>
      </c>
      <c r="H2822" t="str">
        <f>""</f>
        <v/>
      </c>
      <c r="J2822" t="str">
        <f t="shared" si="69"/>
        <v>VERITY HRA FEES</v>
      </c>
    </row>
    <row r="2823" spans="1:10" x14ac:dyDescent="0.3">
      <c r="A2823" t="str">
        <f>""</f>
        <v/>
      </c>
      <c r="B2823" t="str">
        <f>""</f>
        <v/>
      </c>
      <c r="G2823" t="str">
        <f>""</f>
        <v/>
      </c>
      <c r="H2823" t="str">
        <f>""</f>
        <v/>
      </c>
      <c r="J2823" t="str">
        <f t="shared" si="69"/>
        <v>VERITY HRA FEES</v>
      </c>
    </row>
    <row r="2824" spans="1:10" x14ac:dyDescent="0.3">
      <c r="A2824" t="str">
        <f>""</f>
        <v/>
      </c>
      <c r="B2824" t="str">
        <f>""</f>
        <v/>
      </c>
      <c r="G2824" t="str">
        <f>""</f>
        <v/>
      </c>
      <c r="H2824" t="str">
        <f>""</f>
        <v/>
      </c>
      <c r="J2824" t="str">
        <f t="shared" si="69"/>
        <v>VERITY HRA FEES</v>
      </c>
    </row>
    <row r="2825" spans="1:10" x14ac:dyDescent="0.3">
      <c r="A2825" t="str">
        <f>""</f>
        <v/>
      </c>
      <c r="B2825" t="str">
        <f>""</f>
        <v/>
      </c>
      <c r="G2825" t="str">
        <f>""</f>
        <v/>
      </c>
      <c r="H2825" t="str">
        <f>""</f>
        <v/>
      </c>
      <c r="J2825" t="str">
        <f t="shared" si="69"/>
        <v>VERITY HRA FEES</v>
      </c>
    </row>
    <row r="2826" spans="1:10" x14ac:dyDescent="0.3">
      <c r="A2826" t="str">
        <f>""</f>
        <v/>
      </c>
      <c r="B2826" t="str">
        <f>""</f>
        <v/>
      </c>
      <c r="G2826" t="str">
        <f>""</f>
        <v/>
      </c>
      <c r="H2826" t="str">
        <f>""</f>
        <v/>
      </c>
      <c r="J2826" t="str">
        <f t="shared" si="69"/>
        <v>VERITY HRA FEES</v>
      </c>
    </row>
    <row r="2827" spans="1:10" x14ac:dyDescent="0.3">
      <c r="A2827" t="str">
        <f>""</f>
        <v/>
      </c>
      <c r="B2827" t="str">
        <f>""</f>
        <v/>
      </c>
      <c r="G2827" t="str">
        <f>""</f>
        <v/>
      </c>
      <c r="H2827" t="str">
        <f>""</f>
        <v/>
      </c>
      <c r="J2827" t="str">
        <f t="shared" si="69"/>
        <v>VERITY HRA FEES</v>
      </c>
    </row>
    <row r="2828" spans="1:10" x14ac:dyDescent="0.3">
      <c r="A2828" t="str">
        <f>""</f>
        <v/>
      </c>
      <c r="B2828" t="str">
        <f>""</f>
        <v/>
      </c>
      <c r="G2828" t="str">
        <f>""</f>
        <v/>
      </c>
      <c r="H2828" t="str">
        <f>""</f>
        <v/>
      </c>
      <c r="J2828" t="str">
        <f t="shared" si="69"/>
        <v>VERITY HRA FEES</v>
      </c>
    </row>
    <row r="2829" spans="1:10" x14ac:dyDescent="0.3">
      <c r="A2829" t="str">
        <f>""</f>
        <v/>
      </c>
      <c r="B2829" t="str">
        <f>""</f>
        <v/>
      </c>
      <c r="G2829" t="str">
        <f>""</f>
        <v/>
      </c>
      <c r="H2829" t="str">
        <f>""</f>
        <v/>
      </c>
      <c r="J2829" t="str">
        <f t="shared" si="69"/>
        <v>VERITY HRA FEES</v>
      </c>
    </row>
    <row r="2830" spans="1:10" x14ac:dyDescent="0.3">
      <c r="A2830" t="str">
        <f>""</f>
        <v/>
      </c>
      <c r="B2830" t="str">
        <f>""</f>
        <v/>
      </c>
      <c r="G2830" t="str">
        <f>""</f>
        <v/>
      </c>
      <c r="H2830" t="str">
        <f>""</f>
        <v/>
      </c>
      <c r="J2830" t="str">
        <f t="shared" si="69"/>
        <v>VERITY HRA FEES</v>
      </c>
    </row>
    <row r="2831" spans="1:10" x14ac:dyDescent="0.3">
      <c r="A2831" t="str">
        <f>""</f>
        <v/>
      </c>
      <c r="B2831" t="str">
        <f>""</f>
        <v/>
      </c>
      <c r="G2831" t="str">
        <f>""</f>
        <v/>
      </c>
      <c r="H2831" t="str">
        <f>""</f>
        <v/>
      </c>
      <c r="J2831" t="str">
        <f t="shared" si="69"/>
        <v>VERITY HRA FEES</v>
      </c>
    </row>
    <row r="2832" spans="1:10" x14ac:dyDescent="0.3">
      <c r="A2832" t="str">
        <f>""</f>
        <v/>
      </c>
      <c r="B2832" t="str">
        <f>""</f>
        <v/>
      </c>
      <c r="G2832" t="str">
        <f>""</f>
        <v/>
      </c>
      <c r="H2832" t="str">
        <f>""</f>
        <v/>
      </c>
      <c r="J2832" t="str">
        <f t="shared" si="69"/>
        <v>VERITY HRA FEES</v>
      </c>
    </row>
    <row r="2833" spans="1:10" x14ac:dyDescent="0.3">
      <c r="A2833" t="str">
        <f>""</f>
        <v/>
      </c>
      <c r="B2833" t="str">
        <f>""</f>
        <v/>
      </c>
      <c r="G2833" t="str">
        <f>""</f>
        <v/>
      </c>
      <c r="H2833" t="str">
        <f>""</f>
        <v/>
      </c>
      <c r="J2833" t="str">
        <f t="shared" si="69"/>
        <v>VERITY HRA FEES</v>
      </c>
    </row>
    <row r="2834" spans="1:10" x14ac:dyDescent="0.3">
      <c r="A2834" t="str">
        <f>""</f>
        <v/>
      </c>
      <c r="B2834" t="str">
        <f>""</f>
        <v/>
      </c>
      <c r="G2834" t="str">
        <f>""</f>
        <v/>
      </c>
      <c r="H2834" t="str">
        <f>""</f>
        <v/>
      </c>
      <c r="J2834" t="str">
        <f t="shared" si="69"/>
        <v>VERITY HRA FEES</v>
      </c>
    </row>
    <row r="2835" spans="1:10" x14ac:dyDescent="0.3">
      <c r="A2835" t="str">
        <f>""</f>
        <v/>
      </c>
      <c r="B2835" t="str">
        <f>""</f>
        <v/>
      </c>
      <c r="G2835" t="str">
        <f>""</f>
        <v/>
      </c>
      <c r="H2835" t="str">
        <f>""</f>
        <v/>
      </c>
      <c r="J2835" t="str">
        <f t="shared" si="69"/>
        <v>VERITY HRA FEES</v>
      </c>
    </row>
    <row r="2836" spans="1:10" x14ac:dyDescent="0.3">
      <c r="A2836" t="str">
        <f>""</f>
        <v/>
      </c>
      <c r="B2836" t="str">
        <f>""</f>
        <v/>
      </c>
      <c r="G2836" t="str">
        <f>""</f>
        <v/>
      </c>
      <c r="H2836" t="str">
        <f>""</f>
        <v/>
      </c>
      <c r="J2836" t="str">
        <f t="shared" si="69"/>
        <v>VERITY HRA FEES</v>
      </c>
    </row>
    <row r="2837" spans="1:10" x14ac:dyDescent="0.3">
      <c r="A2837" t="str">
        <f>""</f>
        <v/>
      </c>
      <c r="B2837" t="str">
        <f>""</f>
        <v/>
      </c>
      <c r="G2837" t="str">
        <f>""</f>
        <v/>
      </c>
      <c r="H2837" t="str">
        <f>""</f>
        <v/>
      </c>
      <c r="J2837" t="str">
        <f t="shared" si="69"/>
        <v>VERITY HRA FEES</v>
      </c>
    </row>
    <row r="2838" spans="1:10" x14ac:dyDescent="0.3">
      <c r="A2838" t="str">
        <f>""</f>
        <v/>
      </c>
      <c r="B2838" t="str">
        <f>""</f>
        <v/>
      </c>
      <c r="G2838" t="str">
        <f>""</f>
        <v/>
      </c>
      <c r="H2838" t="str">
        <f>""</f>
        <v/>
      </c>
      <c r="J2838" t="str">
        <f t="shared" si="69"/>
        <v>VERITY HRA FEES</v>
      </c>
    </row>
    <row r="2839" spans="1:10" x14ac:dyDescent="0.3">
      <c r="A2839" t="str">
        <f>""</f>
        <v/>
      </c>
      <c r="B2839" t="str">
        <f>""</f>
        <v/>
      </c>
      <c r="G2839" t="str">
        <f>""</f>
        <v/>
      </c>
      <c r="H2839" t="str">
        <f>""</f>
        <v/>
      </c>
      <c r="J2839" t="str">
        <f t="shared" si="69"/>
        <v>VERITY HRA FEES</v>
      </c>
    </row>
    <row r="2840" spans="1:10" x14ac:dyDescent="0.3">
      <c r="A2840" t="str">
        <f>""</f>
        <v/>
      </c>
      <c r="B2840" t="str">
        <f>""</f>
        <v/>
      </c>
      <c r="G2840" t="str">
        <f>"HRA201708094187"</f>
        <v>HRA201708094187</v>
      </c>
      <c r="H2840" t="str">
        <f>"VERITY HRA FEES"</f>
        <v>VERITY HRA FEES</v>
      </c>
      <c r="I2840" s="2">
        <v>200</v>
      </c>
      <c r="J2840" t="str">
        <f t="shared" si="69"/>
        <v>VERITY HRA FEES</v>
      </c>
    </row>
    <row r="2841" spans="1:10" x14ac:dyDescent="0.3">
      <c r="A2841" t="str">
        <f>""</f>
        <v/>
      </c>
      <c r="B2841" t="str">
        <f>""</f>
        <v/>
      </c>
      <c r="G2841" t="str">
        <f>"HRF201708094186"</f>
        <v>HRF201708094186</v>
      </c>
      <c r="H2841" t="str">
        <f>"VERITY HRA FEE"</f>
        <v>VERITY HRA FEE</v>
      </c>
      <c r="I2841" s="2">
        <v>798</v>
      </c>
      <c r="J2841" t="str">
        <f t="shared" ref="J2841:J2881" si="70">"VERITY HRA FEE"</f>
        <v>VERITY HRA FEE</v>
      </c>
    </row>
    <row r="2842" spans="1:10" x14ac:dyDescent="0.3">
      <c r="A2842" t="str">
        <f>""</f>
        <v/>
      </c>
      <c r="B2842" t="str">
        <f>""</f>
        <v/>
      </c>
      <c r="G2842" t="str">
        <f>""</f>
        <v/>
      </c>
      <c r="H2842" t="str">
        <f>""</f>
        <v/>
      </c>
      <c r="J2842" t="str">
        <f t="shared" si="70"/>
        <v>VERITY HRA FEE</v>
      </c>
    </row>
    <row r="2843" spans="1:10" x14ac:dyDescent="0.3">
      <c r="A2843" t="str">
        <f>""</f>
        <v/>
      </c>
      <c r="B2843" t="str">
        <f>""</f>
        <v/>
      </c>
      <c r="G2843" t="str">
        <f>""</f>
        <v/>
      </c>
      <c r="H2843" t="str">
        <f>""</f>
        <v/>
      </c>
      <c r="J2843" t="str">
        <f t="shared" si="70"/>
        <v>VERITY HRA FEE</v>
      </c>
    </row>
    <row r="2844" spans="1:10" x14ac:dyDescent="0.3">
      <c r="A2844" t="str">
        <f>""</f>
        <v/>
      </c>
      <c r="B2844" t="str">
        <f>""</f>
        <v/>
      </c>
      <c r="G2844" t="str">
        <f>""</f>
        <v/>
      </c>
      <c r="H2844" t="str">
        <f>""</f>
        <v/>
      </c>
      <c r="J2844" t="str">
        <f t="shared" si="70"/>
        <v>VERITY HRA FEE</v>
      </c>
    </row>
    <row r="2845" spans="1:10" x14ac:dyDescent="0.3">
      <c r="A2845" t="str">
        <f>""</f>
        <v/>
      </c>
      <c r="B2845" t="str">
        <f>""</f>
        <v/>
      </c>
      <c r="G2845" t="str">
        <f>""</f>
        <v/>
      </c>
      <c r="H2845" t="str">
        <f>""</f>
        <v/>
      </c>
      <c r="J2845" t="str">
        <f t="shared" si="70"/>
        <v>VERITY HRA FEE</v>
      </c>
    </row>
    <row r="2846" spans="1:10" x14ac:dyDescent="0.3">
      <c r="A2846" t="str">
        <f>""</f>
        <v/>
      </c>
      <c r="B2846" t="str">
        <f>""</f>
        <v/>
      </c>
      <c r="G2846" t="str">
        <f>""</f>
        <v/>
      </c>
      <c r="H2846" t="str">
        <f>""</f>
        <v/>
      </c>
      <c r="J2846" t="str">
        <f t="shared" si="70"/>
        <v>VERITY HRA FEE</v>
      </c>
    </row>
    <row r="2847" spans="1:10" x14ac:dyDescent="0.3">
      <c r="A2847" t="str">
        <f>""</f>
        <v/>
      </c>
      <c r="B2847" t="str">
        <f>""</f>
        <v/>
      </c>
      <c r="G2847" t="str">
        <f>""</f>
        <v/>
      </c>
      <c r="H2847" t="str">
        <f>""</f>
        <v/>
      </c>
      <c r="J2847" t="str">
        <f t="shared" si="70"/>
        <v>VERITY HRA FEE</v>
      </c>
    </row>
    <row r="2848" spans="1:10" x14ac:dyDescent="0.3">
      <c r="A2848" t="str">
        <f>""</f>
        <v/>
      </c>
      <c r="B2848" t="str">
        <f>""</f>
        <v/>
      </c>
      <c r="G2848" t="str">
        <f>""</f>
        <v/>
      </c>
      <c r="H2848" t="str">
        <f>""</f>
        <v/>
      </c>
      <c r="J2848" t="str">
        <f t="shared" si="70"/>
        <v>VERITY HRA FEE</v>
      </c>
    </row>
    <row r="2849" spans="1:10" x14ac:dyDescent="0.3">
      <c r="A2849" t="str">
        <f>""</f>
        <v/>
      </c>
      <c r="B2849" t="str">
        <f>""</f>
        <v/>
      </c>
      <c r="G2849" t="str">
        <f>""</f>
        <v/>
      </c>
      <c r="H2849" t="str">
        <f>""</f>
        <v/>
      </c>
      <c r="J2849" t="str">
        <f t="shared" si="70"/>
        <v>VERITY HRA FEE</v>
      </c>
    </row>
    <row r="2850" spans="1:10" x14ac:dyDescent="0.3">
      <c r="A2850" t="str">
        <f>""</f>
        <v/>
      </c>
      <c r="B2850" t="str">
        <f>""</f>
        <v/>
      </c>
      <c r="G2850" t="str">
        <f>""</f>
        <v/>
      </c>
      <c r="H2850" t="str">
        <f>""</f>
        <v/>
      </c>
      <c r="J2850" t="str">
        <f t="shared" si="70"/>
        <v>VERITY HRA FEE</v>
      </c>
    </row>
    <row r="2851" spans="1:10" x14ac:dyDescent="0.3">
      <c r="A2851" t="str">
        <f>""</f>
        <v/>
      </c>
      <c r="B2851" t="str">
        <f>""</f>
        <v/>
      </c>
      <c r="G2851" t="str">
        <f>""</f>
        <v/>
      </c>
      <c r="H2851" t="str">
        <f>""</f>
        <v/>
      </c>
      <c r="J2851" t="str">
        <f t="shared" si="70"/>
        <v>VERITY HRA FEE</v>
      </c>
    </row>
    <row r="2852" spans="1:10" x14ac:dyDescent="0.3">
      <c r="A2852" t="str">
        <f>""</f>
        <v/>
      </c>
      <c r="B2852" t="str">
        <f>""</f>
        <v/>
      </c>
      <c r="G2852" t="str">
        <f>""</f>
        <v/>
      </c>
      <c r="H2852" t="str">
        <f>""</f>
        <v/>
      </c>
      <c r="J2852" t="str">
        <f t="shared" si="70"/>
        <v>VERITY HRA FEE</v>
      </c>
    </row>
    <row r="2853" spans="1:10" x14ac:dyDescent="0.3">
      <c r="A2853" t="str">
        <f>""</f>
        <v/>
      </c>
      <c r="B2853" t="str">
        <f>""</f>
        <v/>
      </c>
      <c r="G2853" t="str">
        <f>""</f>
        <v/>
      </c>
      <c r="H2853" t="str">
        <f>""</f>
        <v/>
      </c>
      <c r="J2853" t="str">
        <f t="shared" si="70"/>
        <v>VERITY HRA FEE</v>
      </c>
    </row>
    <row r="2854" spans="1:10" x14ac:dyDescent="0.3">
      <c r="A2854" t="str">
        <f>""</f>
        <v/>
      </c>
      <c r="B2854" t="str">
        <f>""</f>
        <v/>
      </c>
      <c r="G2854" t="str">
        <f>""</f>
        <v/>
      </c>
      <c r="H2854" t="str">
        <f>""</f>
        <v/>
      </c>
      <c r="J2854" t="str">
        <f t="shared" si="70"/>
        <v>VERITY HRA FEE</v>
      </c>
    </row>
    <row r="2855" spans="1:10" x14ac:dyDescent="0.3">
      <c r="A2855" t="str">
        <f>""</f>
        <v/>
      </c>
      <c r="B2855" t="str">
        <f>""</f>
        <v/>
      </c>
      <c r="G2855" t="str">
        <f>""</f>
        <v/>
      </c>
      <c r="H2855" t="str">
        <f>""</f>
        <v/>
      </c>
      <c r="J2855" t="str">
        <f t="shared" si="70"/>
        <v>VERITY HRA FEE</v>
      </c>
    </row>
    <row r="2856" spans="1:10" x14ac:dyDescent="0.3">
      <c r="A2856" t="str">
        <f>""</f>
        <v/>
      </c>
      <c r="B2856" t="str">
        <f>""</f>
        <v/>
      </c>
      <c r="G2856" t="str">
        <f>""</f>
        <v/>
      </c>
      <c r="H2856" t="str">
        <f>""</f>
        <v/>
      </c>
      <c r="J2856" t="str">
        <f t="shared" si="70"/>
        <v>VERITY HRA FEE</v>
      </c>
    </row>
    <row r="2857" spans="1:10" x14ac:dyDescent="0.3">
      <c r="A2857" t="str">
        <f>""</f>
        <v/>
      </c>
      <c r="B2857" t="str">
        <f>""</f>
        <v/>
      </c>
      <c r="G2857" t="str">
        <f>""</f>
        <v/>
      </c>
      <c r="H2857" t="str">
        <f>""</f>
        <v/>
      </c>
      <c r="J2857" t="str">
        <f t="shared" si="70"/>
        <v>VERITY HRA FEE</v>
      </c>
    </row>
    <row r="2858" spans="1:10" x14ac:dyDescent="0.3">
      <c r="A2858" t="str">
        <f>""</f>
        <v/>
      </c>
      <c r="B2858" t="str">
        <f>""</f>
        <v/>
      </c>
      <c r="G2858" t="str">
        <f>""</f>
        <v/>
      </c>
      <c r="H2858" t="str">
        <f>""</f>
        <v/>
      </c>
      <c r="J2858" t="str">
        <f t="shared" si="70"/>
        <v>VERITY HRA FEE</v>
      </c>
    </row>
    <row r="2859" spans="1:10" x14ac:dyDescent="0.3">
      <c r="A2859" t="str">
        <f>""</f>
        <v/>
      </c>
      <c r="B2859" t="str">
        <f>""</f>
        <v/>
      </c>
      <c r="G2859" t="str">
        <f>""</f>
        <v/>
      </c>
      <c r="H2859" t="str">
        <f>""</f>
        <v/>
      </c>
      <c r="J2859" t="str">
        <f t="shared" si="70"/>
        <v>VERITY HRA FEE</v>
      </c>
    </row>
    <row r="2860" spans="1:10" x14ac:dyDescent="0.3">
      <c r="A2860" t="str">
        <f>""</f>
        <v/>
      </c>
      <c r="B2860" t="str">
        <f>""</f>
        <v/>
      </c>
      <c r="G2860" t="str">
        <f>""</f>
        <v/>
      </c>
      <c r="H2860" t="str">
        <f>""</f>
        <v/>
      </c>
      <c r="J2860" t="str">
        <f t="shared" si="70"/>
        <v>VERITY HRA FEE</v>
      </c>
    </row>
    <row r="2861" spans="1:10" x14ac:dyDescent="0.3">
      <c r="A2861" t="str">
        <f>""</f>
        <v/>
      </c>
      <c r="B2861" t="str">
        <f>""</f>
        <v/>
      </c>
      <c r="G2861" t="str">
        <f>""</f>
        <v/>
      </c>
      <c r="H2861" t="str">
        <f>""</f>
        <v/>
      </c>
      <c r="J2861" t="str">
        <f t="shared" si="70"/>
        <v>VERITY HRA FEE</v>
      </c>
    </row>
    <row r="2862" spans="1:10" x14ac:dyDescent="0.3">
      <c r="A2862" t="str">
        <f>""</f>
        <v/>
      </c>
      <c r="B2862" t="str">
        <f>""</f>
        <v/>
      </c>
      <c r="G2862" t="str">
        <f>""</f>
        <v/>
      </c>
      <c r="H2862" t="str">
        <f>""</f>
        <v/>
      </c>
      <c r="J2862" t="str">
        <f t="shared" si="70"/>
        <v>VERITY HRA FEE</v>
      </c>
    </row>
    <row r="2863" spans="1:10" x14ac:dyDescent="0.3">
      <c r="A2863" t="str">
        <f>""</f>
        <v/>
      </c>
      <c r="B2863" t="str">
        <f>""</f>
        <v/>
      </c>
      <c r="G2863" t="str">
        <f>""</f>
        <v/>
      </c>
      <c r="H2863" t="str">
        <f>""</f>
        <v/>
      </c>
      <c r="J2863" t="str">
        <f t="shared" si="70"/>
        <v>VERITY HRA FEE</v>
      </c>
    </row>
    <row r="2864" spans="1:10" x14ac:dyDescent="0.3">
      <c r="A2864" t="str">
        <f>""</f>
        <v/>
      </c>
      <c r="B2864" t="str">
        <f>""</f>
        <v/>
      </c>
      <c r="G2864" t="str">
        <f>""</f>
        <v/>
      </c>
      <c r="H2864" t="str">
        <f>""</f>
        <v/>
      </c>
      <c r="J2864" t="str">
        <f t="shared" si="70"/>
        <v>VERITY HRA FEE</v>
      </c>
    </row>
    <row r="2865" spans="1:10" x14ac:dyDescent="0.3">
      <c r="A2865" t="str">
        <f>""</f>
        <v/>
      </c>
      <c r="B2865" t="str">
        <f>""</f>
        <v/>
      </c>
      <c r="G2865" t="str">
        <f>""</f>
        <v/>
      </c>
      <c r="H2865" t="str">
        <f>""</f>
        <v/>
      </c>
      <c r="J2865" t="str">
        <f t="shared" si="70"/>
        <v>VERITY HRA FEE</v>
      </c>
    </row>
    <row r="2866" spans="1:10" x14ac:dyDescent="0.3">
      <c r="A2866" t="str">
        <f>""</f>
        <v/>
      </c>
      <c r="B2866" t="str">
        <f>""</f>
        <v/>
      </c>
      <c r="G2866" t="str">
        <f>""</f>
        <v/>
      </c>
      <c r="H2866" t="str">
        <f>""</f>
        <v/>
      </c>
      <c r="J2866" t="str">
        <f t="shared" si="70"/>
        <v>VERITY HRA FEE</v>
      </c>
    </row>
    <row r="2867" spans="1:10" x14ac:dyDescent="0.3">
      <c r="A2867" t="str">
        <f>""</f>
        <v/>
      </c>
      <c r="B2867" t="str">
        <f>""</f>
        <v/>
      </c>
      <c r="G2867" t="str">
        <f>""</f>
        <v/>
      </c>
      <c r="H2867" t="str">
        <f>""</f>
        <v/>
      </c>
      <c r="J2867" t="str">
        <f t="shared" si="70"/>
        <v>VERITY HRA FEE</v>
      </c>
    </row>
    <row r="2868" spans="1:10" x14ac:dyDescent="0.3">
      <c r="A2868" t="str">
        <f>""</f>
        <v/>
      </c>
      <c r="B2868" t="str">
        <f>""</f>
        <v/>
      </c>
      <c r="G2868" t="str">
        <f>""</f>
        <v/>
      </c>
      <c r="H2868" t="str">
        <f>""</f>
        <v/>
      </c>
      <c r="J2868" t="str">
        <f t="shared" si="70"/>
        <v>VERITY HRA FEE</v>
      </c>
    </row>
    <row r="2869" spans="1:10" x14ac:dyDescent="0.3">
      <c r="A2869" t="str">
        <f>""</f>
        <v/>
      </c>
      <c r="B2869" t="str">
        <f>""</f>
        <v/>
      </c>
      <c r="G2869" t="str">
        <f>""</f>
        <v/>
      </c>
      <c r="H2869" t="str">
        <f>""</f>
        <v/>
      </c>
      <c r="J2869" t="str">
        <f t="shared" si="70"/>
        <v>VERITY HRA FEE</v>
      </c>
    </row>
    <row r="2870" spans="1:10" x14ac:dyDescent="0.3">
      <c r="A2870" t="str">
        <f>""</f>
        <v/>
      </c>
      <c r="B2870" t="str">
        <f>""</f>
        <v/>
      </c>
      <c r="G2870" t="str">
        <f>""</f>
        <v/>
      </c>
      <c r="H2870" t="str">
        <f>""</f>
        <v/>
      </c>
      <c r="J2870" t="str">
        <f t="shared" si="70"/>
        <v>VERITY HRA FEE</v>
      </c>
    </row>
    <row r="2871" spans="1:10" x14ac:dyDescent="0.3">
      <c r="A2871" t="str">
        <f>""</f>
        <v/>
      </c>
      <c r="B2871" t="str">
        <f>""</f>
        <v/>
      </c>
      <c r="G2871" t="str">
        <f>""</f>
        <v/>
      </c>
      <c r="H2871" t="str">
        <f>""</f>
        <v/>
      </c>
      <c r="J2871" t="str">
        <f t="shared" si="70"/>
        <v>VERITY HRA FEE</v>
      </c>
    </row>
    <row r="2872" spans="1:10" x14ac:dyDescent="0.3">
      <c r="A2872" t="str">
        <f>""</f>
        <v/>
      </c>
      <c r="B2872" t="str">
        <f>""</f>
        <v/>
      </c>
      <c r="G2872" t="str">
        <f>""</f>
        <v/>
      </c>
      <c r="H2872" t="str">
        <f>""</f>
        <v/>
      </c>
      <c r="J2872" t="str">
        <f t="shared" si="70"/>
        <v>VERITY HRA FEE</v>
      </c>
    </row>
    <row r="2873" spans="1:10" x14ac:dyDescent="0.3">
      <c r="A2873" t="str">
        <f>""</f>
        <v/>
      </c>
      <c r="B2873" t="str">
        <f>""</f>
        <v/>
      </c>
      <c r="G2873" t="str">
        <f>""</f>
        <v/>
      </c>
      <c r="H2873" t="str">
        <f>""</f>
        <v/>
      </c>
      <c r="J2873" t="str">
        <f t="shared" si="70"/>
        <v>VERITY HRA FEE</v>
      </c>
    </row>
    <row r="2874" spans="1:10" x14ac:dyDescent="0.3">
      <c r="A2874" t="str">
        <f>""</f>
        <v/>
      </c>
      <c r="B2874" t="str">
        <f>""</f>
        <v/>
      </c>
      <c r="G2874" t="str">
        <f>""</f>
        <v/>
      </c>
      <c r="H2874" t="str">
        <f>""</f>
        <v/>
      </c>
      <c r="J2874" t="str">
        <f t="shared" si="70"/>
        <v>VERITY HRA FEE</v>
      </c>
    </row>
    <row r="2875" spans="1:10" x14ac:dyDescent="0.3">
      <c r="A2875" t="str">
        <f>""</f>
        <v/>
      </c>
      <c r="B2875" t="str">
        <f>""</f>
        <v/>
      </c>
      <c r="G2875" t="str">
        <f>""</f>
        <v/>
      </c>
      <c r="H2875" t="str">
        <f>""</f>
        <v/>
      </c>
      <c r="J2875" t="str">
        <f t="shared" si="70"/>
        <v>VERITY HRA FEE</v>
      </c>
    </row>
    <row r="2876" spans="1:10" x14ac:dyDescent="0.3">
      <c r="A2876" t="str">
        <f>""</f>
        <v/>
      </c>
      <c r="B2876" t="str">
        <f>""</f>
        <v/>
      </c>
      <c r="G2876" t="str">
        <f>""</f>
        <v/>
      </c>
      <c r="H2876" t="str">
        <f>""</f>
        <v/>
      </c>
      <c r="J2876" t="str">
        <f t="shared" si="70"/>
        <v>VERITY HRA FEE</v>
      </c>
    </row>
    <row r="2877" spans="1:10" x14ac:dyDescent="0.3">
      <c r="A2877" t="str">
        <f>""</f>
        <v/>
      </c>
      <c r="B2877" t="str">
        <f>""</f>
        <v/>
      </c>
      <c r="G2877" t="str">
        <f>""</f>
        <v/>
      </c>
      <c r="H2877" t="str">
        <f>""</f>
        <v/>
      </c>
      <c r="J2877" t="str">
        <f t="shared" si="70"/>
        <v>VERITY HRA FEE</v>
      </c>
    </row>
    <row r="2878" spans="1:10" x14ac:dyDescent="0.3">
      <c r="A2878" t="str">
        <f>""</f>
        <v/>
      </c>
      <c r="B2878" t="str">
        <f>""</f>
        <v/>
      </c>
      <c r="G2878" t="str">
        <f>""</f>
        <v/>
      </c>
      <c r="H2878" t="str">
        <f>""</f>
        <v/>
      </c>
      <c r="J2878" t="str">
        <f t="shared" si="70"/>
        <v>VERITY HRA FEE</v>
      </c>
    </row>
    <row r="2879" spans="1:10" x14ac:dyDescent="0.3">
      <c r="A2879" t="str">
        <f>""</f>
        <v/>
      </c>
      <c r="B2879" t="str">
        <f>""</f>
        <v/>
      </c>
      <c r="G2879" t="str">
        <f>""</f>
        <v/>
      </c>
      <c r="H2879" t="str">
        <f>""</f>
        <v/>
      </c>
      <c r="J2879" t="str">
        <f t="shared" si="70"/>
        <v>VERITY HRA FEE</v>
      </c>
    </row>
    <row r="2880" spans="1:10" x14ac:dyDescent="0.3">
      <c r="A2880" t="str">
        <f>""</f>
        <v/>
      </c>
      <c r="B2880" t="str">
        <f>""</f>
        <v/>
      </c>
      <c r="G2880" t="str">
        <f>""</f>
        <v/>
      </c>
      <c r="H2880" t="str">
        <f>""</f>
        <v/>
      </c>
      <c r="J2880" t="str">
        <f t="shared" si="70"/>
        <v>VERITY HRA FEE</v>
      </c>
    </row>
    <row r="2881" spans="1:10" x14ac:dyDescent="0.3">
      <c r="A2881" t="str">
        <f>""</f>
        <v/>
      </c>
      <c r="B2881" t="str">
        <f>""</f>
        <v/>
      </c>
      <c r="G2881" t="str">
        <f>"HRF201708094187"</f>
        <v>HRF201708094187</v>
      </c>
      <c r="H2881" t="str">
        <f>"VERITY HRA FEE"</f>
        <v>VERITY HRA FEE</v>
      </c>
      <c r="I2881" s="2">
        <v>30</v>
      </c>
      <c r="J2881" t="str">
        <f t="shared" si="70"/>
        <v>VERITY HRA FEE</v>
      </c>
    </row>
    <row r="2882" spans="1:10" x14ac:dyDescent="0.3">
      <c r="A2882" t="str">
        <f>"01"</f>
        <v>01</v>
      </c>
      <c r="B2882" t="str">
        <f>"VERITY"</f>
        <v>VERITY</v>
      </c>
      <c r="C2882" t="s">
        <v>480</v>
      </c>
      <c r="D2882">
        <v>0</v>
      </c>
      <c r="E2882" s="2">
        <v>17282.37</v>
      </c>
      <c r="F2882" s="1">
        <v>42972</v>
      </c>
      <c r="G2882" t="str">
        <f>"FSA201708234445"</f>
        <v>FSA201708234445</v>
      </c>
      <c r="H2882" t="str">
        <f>"VERITY NAT 125 VENDOR"</f>
        <v>VERITY NAT 125 VENDOR</v>
      </c>
      <c r="I2882" s="2">
        <v>7946.78</v>
      </c>
      <c r="J2882" t="str">
        <f>"VERITY NAT 125 VENDOR"</f>
        <v>VERITY NAT 125 VENDOR</v>
      </c>
    </row>
    <row r="2883" spans="1:10" x14ac:dyDescent="0.3">
      <c r="A2883" t="str">
        <f>""</f>
        <v/>
      </c>
      <c r="B2883" t="str">
        <f>""</f>
        <v/>
      </c>
      <c r="G2883" t="str">
        <f>"FSA201708244446"</f>
        <v>FSA201708244446</v>
      </c>
      <c r="H2883" t="str">
        <f>"VERITY NAT 125 VENDOR"</f>
        <v>VERITY NAT 125 VENDOR</v>
      </c>
      <c r="I2883" s="2">
        <v>528.16999999999996</v>
      </c>
      <c r="J2883" t="str">
        <f>"VERITY NAT 125 VENDOR"</f>
        <v>VERITY NAT 125 VENDOR</v>
      </c>
    </row>
    <row r="2884" spans="1:10" x14ac:dyDescent="0.3">
      <c r="A2884" t="str">
        <f>""</f>
        <v/>
      </c>
      <c r="B2884" t="str">
        <f>""</f>
        <v/>
      </c>
      <c r="G2884" t="str">
        <f>"FSC201708234445"</f>
        <v>FSC201708234445</v>
      </c>
      <c r="H2884" t="str">
        <f>"VERITY NAT 125 DEP CARE"</f>
        <v>VERITY NAT 125 DEP CARE</v>
      </c>
      <c r="I2884" s="2">
        <v>416.66</v>
      </c>
      <c r="J2884" t="str">
        <f>"VERITY NAT 125 DEP CARE"</f>
        <v>VERITY NAT 125 DEP CARE</v>
      </c>
    </row>
    <row r="2885" spans="1:10" x14ac:dyDescent="0.3">
      <c r="A2885" t="str">
        <f>""</f>
        <v/>
      </c>
      <c r="B2885" t="str">
        <f>""</f>
        <v/>
      </c>
      <c r="G2885" t="str">
        <f>"FSF201708234445"</f>
        <v>FSF201708234445</v>
      </c>
      <c r="H2885" t="str">
        <f>"VERITY NAT 125 VENDOR"</f>
        <v>VERITY NAT 125 VENDOR</v>
      </c>
      <c r="I2885" s="2">
        <v>616.25</v>
      </c>
      <c r="J2885" t="str">
        <f t="shared" ref="J2885:J2924" si="71">"VERITY NAT 125 VENDOR"</f>
        <v>VERITY NAT 125 VENDOR</v>
      </c>
    </row>
    <row r="2886" spans="1:10" x14ac:dyDescent="0.3">
      <c r="A2886" t="str">
        <f>""</f>
        <v/>
      </c>
      <c r="B2886" t="str">
        <f>""</f>
        <v/>
      </c>
      <c r="G2886" t="str">
        <f>""</f>
        <v/>
      </c>
      <c r="H2886" t="str">
        <f>""</f>
        <v/>
      </c>
      <c r="J2886" t="str">
        <f t="shared" si="71"/>
        <v>VERITY NAT 125 VENDOR</v>
      </c>
    </row>
    <row r="2887" spans="1:10" x14ac:dyDescent="0.3">
      <c r="A2887" t="str">
        <f>""</f>
        <v/>
      </c>
      <c r="B2887" t="str">
        <f>""</f>
        <v/>
      </c>
      <c r="G2887" t="str">
        <f>""</f>
        <v/>
      </c>
      <c r="H2887" t="str">
        <f>""</f>
        <v/>
      </c>
      <c r="J2887" t="str">
        <f t="shared" si="71"/>
        <v>VERITY NAT 125 VENDOR</v>
      </c>
    </row>
    <row r="2888" spans="1:10" x14ac:dyDescent="0.3">
      <c r="A2888" t="str">
        <f>""</f>
        <v/>
      </c>
      <c r="B2888" t="str">
        <f>""</f>
        <v/>
      </c>
      <c r="G2888" t="str">
        <f>""</f>
        <v/>
      </c>
      <c r="H2888" t="str">
        <f>""</f>
        <v/>
      </c>
      <c r="J2888" t="str">
        <f t="shared" si="71"/>
        <v>VERITY NAT 125 VENDOR</v>
      </c>
    </row>
    <row r="2889" spans="1:10" x14ac:dyDescent="0.3">
      <c r="A2889" t="str">
        <f>""</f>
        <v/>
      </c>
      <c r="B2889" t="str">
        <f>""</f>
        <v/>
      </c>
      <c r="G2889" t="str">
        <f>""</f>
        <v/>
      </c>
      <c r="H2889" t="str">
        <f>""</f>
        <v/>
      </c>
      <c r="J2889" t="str">
        <f t="shared" si="71"/>
        <v>VERITY NAT 125 VENDOR</v>
      </c>
    </row>
    <row r="2890" spans="1:10" x14ac:dyDescent="0.3">
      <c r="A2890" t="str">
        <f>""</f>
        <v/>
      </c>
      <c r="B2890" t="str">
        <f>""</f>
        <v/>
      </c>
      <c r="G2890" t="str">
        <f>""</f>
        <v/>
      </c>
      <c r="H2890" t="str">
        <f>""</f>
        <v/>
      </c>
      <c r="J2890" t="str">
        <f t="shared" si="71"/>
        <v>VERITY NAT 125 VENDOR</v>
      </c>
    </row>
    <row r="2891" spans="1:10" x14ac:dyDescent="0.3">
      <c r="A2891" t="str">
        <f>""</f>
        <v/>
      </c>
      <c r="B2891" t="str">
        <f>""</f>
        <v/>
      </c>
      <c r="G2891" t="str">
        <f>""</f>
        <v/>
      </c>
      <c r="H2891" t="str">
        <f>""</f>
        <v/>
      </c>
      <c r="J2891" t="str">
        <f t="shared" si="71"/>
        <v>VERITY NAT 125 VENDOR</v>
      </c>
    </row>
    <row r="2892" spans="1:10" x14ac:dyDescent="0.3">
      <c r="A2892" t="str">
        <f>""</f>
        <v/>
      </c>
      <c r="B2892" t="str">
        <f>""</f>
        <v/>
      </c>
      <c r="G2892" t="str">
        <f>""</f>
        <v/>
      </c>
      <c r="H2892" t="str">
        <f>""</f>
        <v/>
      </c>
      <c r="J2892" t="str">
        <f t="shared" si="71"/>
        <v>VERITY NAT 125 VENDOR</v>
      </c>
    </row>
    <row r="2893" spans="1:10" x14ac:dyDescent="0.3">
      <c r="A2893" t="str">
        <f>""</f>
        <v/>
      </c>
      <c r="B2893" t="str">
        <f>""</f>
        <v/>
      </c>
      <c r="G2893" t="str">
        <f>""</f>
        <v/>
      </c>
      <c r="H2893" t="str">
        <f>""</f>
        <v/>
      </c>
      <c r="J2893" t="str">
        <f t="shared" si="71"/>
        <v>VERITY NAT 125 VENDOR</v>
      </c>
    </row>
    <row r="2894" spans="1:10" x14ac:dyDescent="0.3">
      <c r="A2894" t="str">
        <f>""</f>
        <v/>
      </c>
      <c r="B2894" t="str">
        <f>""</f>
        <v/>
      </c>
      <c r="G2894" t="str">
        <f>""</f>
        <v/>
      </c>
      <c r="H2894" t="str">
        <f>""</f>
        <v/>
      </c>
      <c r="J2894" t="str">
        <f t="shared" si="71"/>
        <v>VERITY NAT 125 VENDOR</v>
      </c>
    </row>
    <row r="2895" spans="1:10" x14ac:dyDescent="0.3">
      <c r="A2895" t="str">
        <f>""</f>
        <v/>
      </c>
      <c r="B2895" t="str">
        <f>""</f>
        <v/>
      </c>
      <c r="G2895" t="str">
        <f>""</f>
        <v/>
      </c>
      <c r="H2895" t="str">
        <f>""</f>
        <v/>
      </c>
      <c r="J2895" t="str">
        <f t="shared" si="71"/>
        <v>VERITY NAT 125 VENDOR</v>
      </c>
    </row>
    <row r="2896" spans="1:10" x14ac:dyDescent="0.3">
      <c r="A2896" t="str">
        <f>""</f>
        <v/>
      </c>
      <c r="B2896" t="str">
        <f>""</f>
        <v/>
      </c>
      <c r="G2896" t="str">
        <f>""</f>
        <v/>
      </c>
      <c r="H2896" t="str">
        <f>""</f>
        <v/>
      </c>
      <c r="J2896" t="str">
        <f t="shared" si="71"/>
        <v>VERITY NAT 125 VENDOR</v>
      </c>
    </row>
    <row r="2897" spans="1:10" x14ac:dyDescent="0.3">
      <c r="A2897" t="str">
        <f>""</f>
        <v/>
      </c>
      <c r="B2897" t="str">
        <f>""</f>
        <v/>
      </c>
      <c r="G2897" t="str">
        <f>""</f>
        <v/>
      </c>
      <c r="H2897" t="str">
        <f>""</f>
        <v/>
      </c>
      <c r="J2897" t="str">
        <f t="shared" si="71"/>
        <v>VERITY NAT 125 VENDOR</v>
      </c>
    </row>
    <row r="2898" spans="1:10" x14ac:dyDescent="0.3">
      <c r="A2898" t="str">
        <f>""</f>
        <v/>
      </c>
      <c r="B2898" t="str">
        <f>""</f>
        <v/>
      </c>
      <c r="G2898" t="str">
        <f>""</f>
        <v/>
      </c>
      <c r="H2898" t="str">
        <f>""</f>
        <v/>
      </c>
      <c r="J2898" t="str">
        <f t="shared" si="71"/>
        <v>VERITY NAT 125 VENDOR</v>
      </c>
    </row>
    <row r="2899" spans="1:10" x14ac:dyDescent="0.3">
      <c r="A2899" t="str">
        <f>""</f>
        <v/>
      </c>
      <c r="B2899" t="str">
        <f>""</f>
        <v/>
      </c>
      <c r="G2899" t="str">
        <f>""</f>
        <v/>
      </c>
      <c r="H2899" t="str">
        <f>""</f>
        <v/>
      </c>
      <c r="J2899" t="str">
        <f t="shared" si="71"/>
        <v>VERITY NAT 125 VENDOR</v>
      </c>
    </row>
    <row r="2900" spans="1:10" x14ac:dyDescent="0.3">
      <c r="A2900" t="str">
        <f>""</f>
        <v/>
      </c>
      <c r="B2900" t="str">
        <f>""</f>
        <v/>
      </c>
      <c r="G2900" t="str">
        <f>""</f>
        <v/>
      </c>
      <c r="H2900" t="str">
        <f>""</f>
        <v/>
      </c>
      <c r="J2900" t="str">
        <f t="shared" si="71"/>
        <v>VERITY NAT 125 VENDOR</v>
      </c>
    </row>
    <row r="2901" spans="1:10" x14ac:dyDescent="0.3">
      <c r="A2901" t="str">
        <f>""</f>
        <v/>
      </c>
      <c r="B2901" t="str">
        <f>""</f>
        <v/>
      </c>
      <c r="G2901" t="str">
        <f>""</f>
        <v/>
      </c>
      <c r="H2901" t="str">
        <f>""</f>
        <v/>
      </c>
      <c r="J2901" t="str">
        <f t="shared" si="71"/>
        <v>VERITY NAT 125 VENDOR</v>
      </c>
    </row>
    <row r="2902" spans="1:10" x14ac:dyDescent="0.3">
      <c r="A2902" t="str">
        <f>""</f>
        <v/>
      </c>
      <c r="B2902" t="str">
        <f>""</f>
        <v/>
      </c>
      <c r="G2902" t="str">
        <f>""</f>
        <v/>
      </c>
      <c r="H2902" t="str">
        <f>""</f>
        <v/>
      </c>
      <c r="J2902" t="str">
        <f t="shared" si="71"/>
        <v>VERITY NAT 125 VENDOR</v>
      </c>
    </row>
    <row r="2903" spans="1:10" x14ac:dyDescent="0.3">
      <c r="A2903" t="str">
        <f>""</f>
        <v/>
      </c>
      <c r="B2903" t="str">
        <f>""</f>
        <v/>
      </c>
      <c r="G2903" t="str">
        <f>""</f>
        <v/>
      </c>
      <c r="H2903" t="str">
        <f>""</f>
        <v/>
      </c>
      <c r="J2903" t="str">
        <f t="shared" si="71"/>
        <v>VERITY NAT 125 VENDOR</v>
      </c>
    </row>
    <row r="2904" spans="1:10" x14ac:dyDescent="0.3">
      <c r="A2904" t="str">
        <f>""</f>
        <v/>
      </c>
      <c r="B2904" t="str">
        <f>""</f>
        <v/>
      </c>
      <c r="G2904" t="str">
        <f>""</f>
        <v/>
      </c>
      <c r="H2904" t="str">
        <f>""</f>
        <v/>
      </c>
      <c r="J2904" t="str">
        <f t="shared" si="71"/>
        <v>VERITY NAT 125 VENDOR</v>
      </c>
    </row>
    <row r="2905" spans="1:10" x14ac:dyDescent="0.3">
      <c r="A2905" t="str">
        <f>""</f>
        <v/>
      </c>
      <c r="B2905" t="str">
        <f>""</f>
        <v/>
      </c>
      <c r="G2905" t="str">
        <f>""</f>
        <v/>
      </c>
      <c r="H2905" t="str">
        <f>""</f>
        <v/>
      </c>
      <c r="J2905" t="str">
        <f t="shared" si="71"/>
        <v>VERITY NAT 125 VENDOR</v>
      </c>
    </row>
    <row r="2906" spans="1:10" x14ac:dyDescent="0.3">
      <c r="A2906" t="str">
        <f>""</f>
        <v/>
      </c>
      <c r="B2906" t="str">
        <f>""</f>
        <v/>
      </c>
      <c r="G2906" t="str">
        <f>""</f>
        <v/>
      </c>
      <c r="H2906" t="str">
        <f>""</f>
        <v/>
      </c>
      <c r="J2906" t="str">
        <f t="shared" si="71"/>
        <v>VERITY NAT 125 VENDOR</v>
      </c>
    </row>
    <row r="2907" spans="1:10" x14ac:dyDescent="0.3">
      <c r="A2907" t="str">
        <f>""</f>
        <v/>
      </c>
      <c r="B2907" t="str">
        <f>""</f>
        <v/>
      </c>
      <c r="G2907" t="str">
        <f>""</f>
        <v/>
      </c>
      <c r="H2907" t="str">
        <f>""</f>
        <v/>
      </c>
      <c r="J2907" t="str">
        <f t="shared" si="71"/>
        <v>VERITY NAT 125 VENDOR</v>
      </c>
    </row>
    <row r="2908" spans="1:10" x14ac:dyDescent="0.3">
      <c r="A2908" t="str">
        <f>""</f>
        <v/>
      </c>
      <c r="B2908" t="str">
        <f>""</f>
        <v/>
      </c>
      <c r="G2908" t="str">
        <f>""</f>
        <v/>
      </c>
      <c r="H2908" t="str">
        <f>""</f>
        <v/>
      </c>
      <c r="J2908" t="str">
        <f t="shared" si="71"/>
        <v>VERITY NAT 125 VENDOR</v>
      </c>
    </row>
    <row r="2909" spans="1:10" x14ac:dyDescent="0.3">
      <c r="A2909" t="str">
        <f>""</f>
        <v/>
      </c>
      <c r="B2909" t="str">
        <f>""</f>
        <v/>
      </c>
      <c r="G2909" t="str">
        <f>""</f>
        <v/>
      </c>
      <c r="H2909" t="str">
        <f>""</f>
        <v/>
      </c>
      <c r="J2909" t="str">
        <f t="shared" si="71"/>
        <v>VERITY NAT 125 VENDOR</v>
      </c>
    </row>
    <row r="2910" spans="1:10" x14ac:dyDescent="0.3">
      <c r="A2910" t="str">
        <f>""</f>
        <v/>
      </c>
      <c r="B2910" t="str">
        <f>""</f>
        <v/>
      </c>
      <c r="G2910" t="str">
        <f>""</f>
        <v/>
      </c>
      <c r="H2910" t="str">
        <f>""</f>
        <v/>
      </c>
      <c r="J2910" t="str">
        <f t="shared" si="71"/>
        <v>VERITY NAT 125 VENDOR</v>
      </c>
    </row>
    <row r="2911" spans="1:10" x14ac:dyDescent="0.3">
      <c r="A2911" t="str">
        <f>""</f>
        <v/>
      </c>
      <c r="B2911" t="str">
        <f>""</f>
        <v/>
      </c>
      <c r="G2911" t="str">
        <f>""</f>
        <v/>
      </c>
      <c r="H2911" t="str">
        <f>""</f>
        <v/>
      </c>
      <c r="J2911" t="str">
        <f t="shared" si="71"/>
        <v>VERITY NAT 125 VENDOR</v>
      </c>
    </row>
    <row r="2912" spans="1:10" x14ac:dyDescent="0.3">
      <c r="A2912" t="str">
        <f>""</f>
        <v/>
      </c>
      <c r="B2912" t="str">
        <f>""</f>
        <v/>
      </c>
      <c r="G2912" t="str">
        <f>""</f>
        <v/>
      </c>
      <c r="H2912" t="str">
        <f>""</f>
        <v/>
      </c>
      <c r="J2912" t="str">
        <f t="shared" si="71"/>
        <v>VERITY NAT 125 VENDOR</v>
      </c>
    </row>
    <row r="2913" spans="1:10" x14ac:dyDescent="0.3">
      <c r="A2913" t="str">
        <f>""</f>
        <v/>
      </c>
      <c r="B2913" t="str">
        <f>""</f>
        <v/>
      </c>
      <c r="G2913" t="str">
        <f>""</f>
        <v/>
      </c>
      <c r="H2913" t="str">
        <f>""</f>
        <v/>
      </c>
      <c r="J2913" t="str">
        <f t="shared" si="71"/>
        <v>VERITY NAT 125 VENDOR</v>
      </c>
    </row>
    <row r="2914" spans="1:10" x14ac:dyDescent="0.3">
      <c r="A2914" t="str">
        <f>""</f>
        <v/>
      </c>
      <c r="B2914" t="str">
        <f>""</f>
        <v/>
      </c>
      <c r="G2914" t="str">
        <f>""</f>
        <v/>
      </c>
      <c r="H2914" t="str">
        <f>""</f>
        <v/>
      </c>
      <c r="J2914" t="str">
        <f t="shared" si="71"/>
        <v>VERITY NAT 125 VENDOR</v>
      </c>
    </row>
    <row r="2915" spans="1:10" x14ac:dyDescent="0.3">
      <c r="A2915" t="str">
        <f>""</f>
        <v/>
      </c>
      <c r="B2915" t="str">
        <f>""</f>
        <v/>
      </c>
      <c r="G2915" t="str">
        <f>""</f>
        <v/>
      </c>
      <c r="H2915" t="str">
        <f>""</f>
        <v/>
      </c>
      <c r="J2915" t="str">
        <f t="shared" si="71"/>
        <v>VERITY NAT 125 VENDOR</v>
      </c>
    </row>
    <row r="2916" spans="1:10" x14ac:dyDescent="0.3">
      <c r="A2916" t="str">
        <f>""</f>
        <v/>
      </c>
      <c r="B2916" t="str">
        <f>""</f>
        <v/>
      </c>
      <c r="G2916" t="str">
        <f>""</f>
        <v/>
      </c>
      <c r="H2916" t="str">
        <f>""</f>
        <v/>
      </c>
      <c r="J2916" t="str">
        <f t="shared" si="71"/>
        <v>VERITY NAT 125 VENDOR</v>
      </c>
    </row>
    <row r="2917" spans="1:10" x14ac:dyDescent="0.3">
      <c r="A2917" t="str">
        <f>""</f>
        <v/>
      </c>
      <c r="B2917" t="str">
        <f>""</f>
        <v/>
      </c>
      <c r="G2917" t="str">
        <f>""</f>
        <v/>
      </c>
      <c r="H2917" t="str">
        <f>""</f>
        <v/>
      </c>
      <c r="J2917" t="str">
        <f t="shared" si="71"/>
        <v>VERITY NAT 125 VENDOR</v>
      </c>
    </row>
    <row r="2918" spans="1:10" x14ac:dyDescent="0.3">
      <c r="A2918" t="str">
        <f>""</f>
        <v/>
      </c>
      <c r="B2918" t="str">
        <f>""</f>
        <v/>
      </c>
      <c r="G2918" t="str">
        <f>""</f>
        <v/>
      </c>
      <c r="H2918" t="str">
        <f>""</f>
        <v/>
      </c>
      <c r="J2918" t="str">
        <f t="shared" si="71"/>
        <v>VERITY NAT 125 VENDOR</v>
      </c>
    </row>
    <row r="2919" spans="1:10" x14ac:dyDescent="0.3">
      <c r="A2919" t="str">
        <f>""</f>
        <v/>
      </c>
      <c r="B2919" t="str">
        <f>""</f>
        <v/>
      </c>
      <c r="G2919" t="str">
        <f>""</f>
        <v/>
      </c>
      <c r="H2919" t="str">
        <f>""</f>
        <v/>
      </c>
      <c r="J2919" t="str">
        <f t="shared" si="71"/>
        <v>VERITY NAT 125 VENDOR</v>
      </c>
    </row>
    <row r="2920" spans="1:10" x14ac:dyDescent="0.3">
      <c r="A2920" t="str">
        <f>""</f>
        <v/>
      </c>
      <c r="B2920" t="str">
        <f>""</f>
        <v/>
      </c>
      <c r="G2920" t="str">
        <f>""</f>
        <v/>
      </c>
      <c r="H2920" t="str">
        <f>""</f>
        <v/>
      </c>
      <c r="J2920" t="str">
        <f t="shared" si="71"/>
        <v>VERITY NAT 125 VENDOR</v>
      </c>
    </row>
    <row r="2921" spans="1:10" x14ac:dyDescent="0.3">
      <c r="A2921" t="str">
        <f>""</f>
        <v/>
      </c>
      <c r="B2921" t="str">
        <f>""</f>
        <v/>
      </c>
      <c r="G2921" t="str">
        <f>""</f>
        <v/>
      </c>
      <c r="H2921" t="str">
        <f>""</f>
        <v/>
      </c>
      <c r="J2921" t="str">
        <f t="shared" si="71"/>
        <v>VERITY NAT 125 VENDOR</v>
      </c>
    </row>
    <row r="2922" spans="1:10" x14ac:dyDescent="0.3">
      <c r="A2922" t="str">
        <f>""</f>
        <v/>
      </c>
      <c r="B2922" t="str">
        <f>""</f>
        <v/>
      </c>
      <c r="G2922" t="str">
        <f>""</f>
        <v/>
      </c>
      <c r="H2922" t="str">
        <f>""</f>
        <v/>
      </c>
      <c r="J2922" t="str">
        <f t="shared" si="71"/>
        <v>VERITY NAT 125 VENDOR</v>
      </c>
    </row>
    <row r="2923" spans="1:10" x14ac:dyDescent="0.3">
      <c r="A2923" t="str">
        <f>""</f>
        <v/>
      </c>
      <c r="B2923" t="str">
        <f>""</f>
        <v/>
      </c>
      <c r="G2923" t="str">
        <f>"FSF201708244446"</f>
        <v>FSF201708244446</v>
      </c>
      <c r="H2923" t="str">
        <f>"VERITY NAT 125 VENDOR"</f>
        <v>VERITY NAT 125 VENDOR</v>
      </c>
      <c r="I2923" s="2">
        <v>25.5</v>
      </c>
      <c r="J2923" t="str">
        <f t="shared" si="71"/>
        <v>VERITY NAT 125 VENDOR</v>
      </c>
    </row>
    <row r="2924" spans="1:10" x14ac:dyDescent="0.3">
      <c r="A2924" t="str">
        <f>""</f>
        <v/>
      </c>
      <c r="B2924" t="str">
        <f>""</f>
        <v/>
      </c>
      <c r="G2924" t="str">
        <f>""</f>
        <v/>
      </c>
      <c r="H2924" t="str">
        <f>""</f>
        <v/>
      </c>
      <c r="J2924" t="str">
        <f t="shared" si="71"/>
        <v>VERITY NAT 125 VENDOR</v>
      </c>
    </row>
    <row r="2925" spans="1:10" x14ac:dyDescent="0.3">
      <c r="A2925" t="str">
        <f>""</f>
        <v/>
      </c>
      <c r="B2925" t="str">
        <f>""</f>
        <v/>
      </c>
      <c r="G2925" t="str">
        <f>"FSO201708234445"</f>
        <v>FSO201708234445</v>
      </c>
      <c r="H2925" t="str">
        <f>"VERITY FSA ONLY FEE"</f>
        <v>VERITY FSA ONLY FEE</v>
      </c>
      <c r="I2925" s="2">
        <v>24</v>
      </c>
      <c r="J2925" t="str">
        <f t="shared" ref="J2925:J2934" si="72">"VERITY FSA ONLY FEE"</f>
        <v>VERITY FSA ONLY FEE</v>
      </c>
    </row>
    <row r="2926" spans="1:10" x14ac:dyDescent="0.3">
      <c r="A2926" t="str">
        <f>""</f>
        <v/>
      </c>
      <c r="B2926" t="str">
        <f>""</f>
        <v/>
      </c>
      <c r="G2926" t="str">
        <f>""</f>
        <v/>
      </c>
      <c r="H2926" t="str">
        <f>""</f>
        <v/>
      </c>
      <c r="J2926" t="str">
        <f t="shared" si="72"/>
        <v>VERITY FSA ONLY FEE</v>
      </c>
    </row>
    <row r="2927" spans="1:10" x14ac:dyDescent="0.3">
      <c r="A2927" t="str">
        <f>""</f>
        <v/>
      </c>
      <c r="B2927" t="str">
        <f>""</f>
        <v/>
      </c>
      <c r="G2927" t="str">
        <f>""</f>
        <v/>
      </c>
      <c r="H2927" t="str">
        <f>""</f>
        <v/>
      </c>
      <c r="J2927" t="str">
        <f t="shared" si="72"/>
        <v>VERITY FSA ONLY FEE</v>
      </c>
    </row>
    <row r="2928" spans="1:10" x14ac:dyDescent="0.3">
      <c r="A2928" t="str">
        <f>""</f>
        <v/>
      </c>
      <c r="B2928" t="str">
        <f>""</f>
        <v/>
      </c>
      <c r="G2928" t="str">
        <f>""</f>
        <v/>
      </c>
      <c r="H2928" t="str">
        <f>""</f>
        <v/>
      </c>
      <c r="J2928" t="str">
        <f t="shared" si="72"/>
        <v>VERITY FSA ONLY FEE</v>
      </c>
    </row>
    <row r="2929" spans="1:10" x14ac:dyDescent="0.3">
      <c r="A2929" t="str">
        <f>""</f>
        <v/>
      </c>
      <c r="B2929" t="str">
        <f>""</f>
        <v/>
      </c>
      <c r="G2929" t="str">
        <f>""</f>
        <v/>
      </c>
      <c r="H2929" t="str">
        <f>""</f>
        <v/>
      </c>
      <c r="J2929" t="str">
        <f t="shared" si="72"/>
        <v>VERITY FSA ONLY FEE</v>
      </c>
    </row>
    <row r="2930" spans="1:10" x14ac:dyDescent="0.3">
      <c r="A2930" t="str">
        <f>""</f>
        <v/>
      </c>
      <c r="B2930" t="str">
        <f>""</f>
        <v/>
      </c>
      <c r="G2930" t="str">
        <f>""</f>
        <v/>
      </c>
      <c r="H2930" t="str">
        <f>""</f>
        <v/>
      </c>
      <c r="J2930" t="str">
        <f t="shared" si="72"/>
        <v>VERITY FSA ONLY FEE</v>
      </c>
    </row>
    <row r="2931" spans="1:10" x14ac:dyDescent="0.3">
      <c r="A2931" t="str">
        <f>""</f>
        <v/>
      </c>
      <c r="B2931" t="str">
        <f>""</f>
        <v/>
      </c>
      <c r="G2931" t="str">
        <f>""</f>
        <v/>
      </c>
      <c r="H2931" t="str">
        <f>""</f>
        <v/>
      </c>
      <c r="J2931" t="str">
        <f t="shared" si="72"/>
        <v>VERITY FSA ONLY FEE</v>
      </c>
    </row>
    <row r="2932" spans="1:10" x14ac:dyDescent="0.3">
      <c r="A2932" t="str">
        <f>""</f>
        <v/>
      </c>
      <c r="B2932" t="str">
        <f>""</f>
        <v/>
      </c>
      <c r="G2932" t="str">
        <f>""</f>
        <v/>
      </c>
      <c r="H2932" t="str">
        <f>""</f>
        <v/>
      </c>
      <c r="J2932" t="str">
        <f t="shared" si="72"/>
        <v>VERITY FSA ONLY FEE</v>
      </c>
    </row>
    <row r="2933" spans="1:10" x14ac:dyDescent="0.3">
      <c r="A2933" t="str">
        <f>""</f>
        <v/>
      </c>
      <c r="B2933" t="str">
        <f>""</f>
        <v/>
      </c>
      <c r="G2933" t="str">
        <f>""</f>
        <v/>
      </c>
      <c r="H2933" t="str">
        <f>""</f>
        <v/>
      </c>
      <c r="J2933" t="str">
        <f t="shared" si="72"/>
        <v>VERITY FSA ONLY FEE</v>
      </c>
    </row>
    <row r="2934" spans="1:10" x14ac:dyDescent="0.3">
      <c r="A2934" t="str">
        <f>""</f>
        <v/>
      </c>
      <c r="B2934" t="str">
        <f>""</f>
        <v/>
      </c>
      <c r="G2934" t="str">
        <f>""</f>
        <v/>
      </c>
      <c r="H2934" t="str">
        <f>""</f>
        <v/>
      </c>
      <c r="J2934" t="str">
        <f t="shared" si="72"/>
        <v>VERITY FSA ONLY FEE</v>
      </c>
    </row>
    <row r="2935" spans="1:10" x14ac:dyDescent="0.3">
      <c r="A2935" t="str">
        <f>""</f>
        <v/>
      </c>
      <c r="B2935" t="str">
        <f>""</f>
        <v/>
      </c>
      <c r="G2935" t="str">
        <f>"FSO201708244446"</f>
        <v>FSO201708244446</v>
      </c>
      <c r="H2935" t="str">
        <f>"VERITY FSA ONLY"</f>
        <v>VERITY FSA ONLY</v>
      </c>
      <c r="I2935" s="2">
        <v>3</v>
      </c>
      <c r="J2935" t="str">
        <f>"VERITY FSA ONLY"</f>
        <v>VERITY FSA ONLY</v>
      </c>
    </row>
    <row r="2936" spans="1:10" x14ac:dyDescent="0.3">
      <c r="A2936" t="str">
        <f>""</f>
        <v/>
      </c>
      <c r="B2936" t="str">
        <f>""</f>
        <v/>
      </c>
      <c r="G2936" t="str">
        <f>""</f>
        <v/>
      </c>
      <c r="H2936" t="str">
        <f>""</f>
        <v/>
      </c>
      <c r="J2936" t="str">
        <f>"VERITY FSA ONLY"</f>
        <v>VERITY FSA ONLY</v>
      </c>
    </row>
    <row r="2937" spans="1:10" x14ac:dyDescent="0.3">
      <c r="A2937" t="str">
        <f>""</f>
        <v/>
      </c>
      <c r="B2937" t="str">
        <f>""</f>
        <v/>
      </c>
      <c r="G2937" t="str">
        <f>"HRA201708234445"</f>
        <v>HRA201708234445</v>
      </c>
      <c r="H2937" t="str">
        <f>"VERITY HRA FEES"</f>
        <v>VERITY HRA FEES</v>
      </c>
      <c r="I2937" s="2">
        <v>6718.01</v>
      </c>
      <c r="J2937" t="str">
        <f t="shared" ref="J2937:J2984" si="73">"VERITY HRA FEES"</f>
        <v>VERITY HRA FEES</v>
      </c>
    </row>
    <row r="2938" spans="1:10" x14ac:dyDescent="0.3">
      <c r="A2938" t="str">
        <f>""</f>
        <v/>
      </c>
      <c r="B2938" t="str">
        <f>""</f>
        <v/>
      </c>
      <c r="G2938" t="str">
        <f>""</f>
        <v/>
      </c>
      <c r="H2938" t="str">
        <f>""</f>
        <v/>
      </c>
      <c r="J2938" t="str">
        <f t="shared" si="73"/>
        <v>VERITY HRA FEES</v>
      </c>
    </row>
    <row r="2939" spans="1:10" x14ac:dyDescent="0.3">
      <c r="A2939" t="str">
        <f>""</f>
        <v/>
      </c>
      <c r="B2939" t="str">
        <f>""</f>
        <v/>
      </c>
      <c r="G2939" t="str">
        <f>""</f>
        <v/>
      </c>
      <c r="H2939" t="str">
        <f>""</f>
        <v/>
      </c>
      <c r="J2939" t="str">
        <f t="shared" si="73"/>
        <v>VERITY HRA FEES</v>
      </c>
    </row>
    <row r="2940" spans="1:10" x14ac:dyDescent="0.3">
      <c r="A2940" t="str">
        <f>""</f>
        <v/>
      </c>
      <c r="B2940" t="str">
        <f>""</f>
        <v/>
      </c>
      <c r="G2940" t="str">
        <f>""</f>
        <v/>
      </c>
      <c r="H2940" t="str">
        <f>""</f>
        <v/>
      </c>
      <c r="J2940" t="str">
        <f t="shared" si="73"/>
        <v>VERITY HRA FEES</v>
      </c>
    </row>
    <row r="2941" spans="1:10" x14ac:dyDescent="0.3">
      <c r="A2941" t="str">
        <f>""</f>
        <v/>
      </c>
      <c r="B2941" t="str">
        <f>""</f>
        <v/>
      </c>
      <c r="G2941" t="str">
        <f>""</f>
        <v/>
      </c>
      <c r="H2941" t="str">
        <f>""</f>
        <v/>
      </c>
      <c r="J2941" t="str">
        <f t="shared" si="73"/>
        <v>VERITY HRA FEES</v>
      </c>
    </row>
    <row r="2942" spans="1:10" x14ac:dyDescent="0.3">
      <c r="A2942" t="str">
        <f>""</f>
        <v/>
      </c>
      <c r="B2942" t="str">
        <f>""</f>
        <v/>
      </c>
      <c r="G2942" t="str">
        <f>""</f>
        <v/>
      </c>
      <c r="H2942" t="str">
        <f>""</f>
        <v/>
      </c>
      <c r="J2942" t="str">
        <f t="shared" si="73"/>
        <v>VERITY HRA FEES</v>
      </c>
    </row>
    <row r="2943" spans="1:10" x14ac:dyDescent="0.3">
      <c r="A2943" t="str">
        <f>""</f>
        <v/>
      </c>
      <c r="B2943" t="str">
        <f>""</f>
        <v/>
      </c>
      <c r="G2943" t="str">
        <f>""</f>
        <v/>
      </c>
      <c r="H2943" t="str">
        <f>""</f>
        <v/>
      </c>
      <c r="J2943" t="str">
        <f t="shared" si="73"/>
        <v>VERITY HRA FEES</v>
      </c>
    </row>
    <row r="2944" spans="1:10" x14ac:dyDescent="0.3">
      <c r="A2944" t="str">
        <f>""</f>
        <v/>
      </c>
      <c r="B2944" t="str">
        <f>""</f>
        <v/>
      </c>
      <c r="G2944" t="str">
        <f>""</f>
        <v/>
      </c>
      <c r="H2944" t="str">
        <f>""</f>
        <v/>
      </c>
      <c r="J2944" t="str">
        <f t="shared" si="73"/>
        <v>VERITY HRA FEES</v>
      </c>
    </row>
    <row r="2945" spans="1:10" x14ac:dyDescent="0.3">
      <c r="A2945" t="str">
        <f>""</f>
        <v/>
      </c>
      <c r="B2945" t="str">
        <f>""</f>
        <v/>
      </c>
      <c r="G2945" t="str">
        <f>""</f>
        <v/>
      </c>
      <c r="H2945" t="str">
        <f>""</f>
        <v/>
      </c>
      <c r="J2945" t="str">
        <f t="shared" si="73"/>
        <v>VERITY HRA FEES</v>
      </c>
    </row>
    <row r="2946" spans="1:10" x14ac:dyDescent="0.3">
      <c r="A2946" t="str">
        <f>""</f>
        <v/>
      </c>
      <c r="B2946" t="str">
        <f>""</f>
        <v/>
      </c>
      <c r="G2946" t="str">
        <f>""</f>
        <v/>
      </c>
      <c r="H2946" t="str">
        <f>""</f>
        <v/>
      </c>
      <c r="J2946" t="str">
        <f t="shared" si="73"/>
        <v>VERITY HRA FEES</v>
      </c>
    </row>
    <row r="2947" spans="1:10" x14ac:dyDescent="0.3">
      <c r="A2947" t="str">
        <f>""</f>
        <v/>
      </c>
      <c r="B2947" t="str">
        <f>""</f>
        <v/>
      </c>
      <c r="G2947" t="str">
        <f>""</f>
        <v/>
      </c>
      <c r="H2947" t="str">
        <f>""</f>
        <v/>
      </c>
      <c r="J2947" t="str">
        <f t="shared" si="73"/>
        <v>VERITY HRA FEES</v>
      </c>
    </row>
    <row r="2948" spans="1:10" x14ac:dyDescent="0.3">
      <c r="A2948" t="str">
        <f>""</f>
        <v/>
      </c>
      <c r="B2948" t="str">
        <f>""</f>
        <v/>
      </c>
      <c r="G2948" t="str">
        <f>""</f>
        <v/>
      </c>
      <c r="H2948" t="str">
        <f>""</f>
        <v/>
      </c>
      <c r="J2948" t="str">
        <f t="shared" si="73"/>
        <v>VERITY HRA FEES</v>
      </c>
    </row>
    <row r="2949" spans="1:10" x14ac:dyDescent="0.3">
      <c r="A2949" t="str">
        <f>""</f>
        <v/>
      </c>
      <c r="B2949" t="str">
        <f>""</f>
        <v/>
      </c>
      <c r="G2949" t="str">
        <f>""</f>
        <v/>
      </c>
      <c r="H2949" t="str">
        <f>""</f>
        <v/>
      </c>
      <c r="J2949" t="str">
        <f t="shared" si="73"/>
        <v>VERITY HRA FEES</v>
      </c>
    </row>
    <row r="2950" spans="1:10" x14ac:dyDescent="0.3">
      <c r="A2950" t="str">
        <f>""</f>
        <v/>
      </c>
      <c r="B2950" t="str">
        <f>""</f>
        <v/>
      </c>
      <c r="G2950" t="str">
        <f>""</f>
        <v/>
      </c>
      <c r="H2950" t="str">
        <f>""</f>
        <v/>
      </c>
      <c r="J2950" t="str">
        <f t="shared" si="73"/>
        <v>VERITY HRA FEES</v>
      </c>
    </row>
    <row r="2951" spans="1:10" x14ac:dyDescent="0.3">
      <c r="A2951" t="str">
        <f>""</f>
        <v/>
      </c>
      <c r="B2951" t="str">
        <f>""</f>
        <v/>
      </c>
      <c r="G2951" t="str">
        <f>""</f>
        <v/>
      </c>
      <c r="H2951" t="str">
        <f>""</f>
        <v/>
      </c>
      <c r="J2951" t="str">
        <f t="shared" si="73"/>
        <v>VERITY HRA FEES</v>
      </c>
    </row>
    <row r="2952" spans="1:10" x14ac:dyDescent="0.3">
      <c r="A2952" t="str">
        <f>""</f>
        <v/>
      </c>
      <c r="B2952" t="str">
        <f>""</f>
        <v/>
      </c>
      <c r="G2952" t="str">
        <f>""</f>
        <v/>
      </c>
      <c r="H2952" t="str">
        <f>""</f>
        <v/>
      </c>
      <c r="J2952" t="str">
        <f t="shared" si="73"/>
        <v>VERITY HRA FEES</v>
      </c>
    </row>
    <row r="2953" spans="1:10" x14ac:dyDescent="0.3">
      <c r="A2953" t="str">
        <f>""</f>
        <v/>
      </c>
      <c r="B2953" t="str">
        <f>""</f>
        <v/>
      </c>
      <c r="G2953" t="str">
        <f>""</f>
        <v/>
      </c>
      <c r="H2953" t="str">
        <f>""</f>
        <v/>
      </c>
      <c r="J2953" t="str">
        <f t="shared" si="73"/>
        <v>VERITY HRA FEES</v>
      </c>
    </row>
    <row r="2954" spans="1:10" x14ac:dyDescent="0.3">
      <c r="A2954" t="str">
        <f>""</f>
        <v/>
      </c>
      <c r="B2954" t="str">
        <f>""</f>
        <v/>
      </c>
      <c r="G2954" t="str">
        <f>""</f>
        <v/>
      </c>
      <c r="H2954" t="str">
        <f>""</f>
        <v/>
      </c>
      <c r="J2954" t="str">
        <f t="shared" si="73"/>
        <v>VERITY HRA FEES</v>
      </c>
    </row>
    <row r="2955" spans="1:10" x14ac:dyDescent="0.3">
      <c r="A2955" t="str">
        <f>""</f>
        <v/>
      </c>
      <c r="B2955" t="str">
        <f>""</f>
        <v/>
      </c>
      <c r="G2955" t="str">
        <f>""</f>
        <v/>
      </c>
      <c r="H2955" t="str">
        <f>""</f>
        <v/>
      </c>
      <c r="J2955" t="str">
        <f t="shared" si="73"/>
        <v>VERITY HRA FEES</v>
      </c>
    </row>
    <row r="2956" spans="1:10" x14ac:dyDescent="0.3">
      <c r="A2956" t="str">
        <f>""</f>
        <v/>
      </c>
      <c r="B2956" t="str">
        <f>""</f>
        <v/>
      </c>
      <c r="G2956" t="str">
        <f>""</f>
        <v/>
      </c>
      <c r="H2956" t="str">
        <f>""</f>
        <v/>
      </c>
      <c r="J2956" t="str">
        <f t="shared" si="73"/>
        <v>VERITY HRA FEES</v>
      </c>
    </row>
    <row r="2957" spans="1:10" x14ac:dyDescent="0.3">
      <c r="A2957" t="str">
        <f>""</f>
        <v/>
      </c>
      <c r="B2957" t="str">
        <f>""</f>
        <v/>
      </c>
      <c r="G2957" t="str">
        <f>""</f>
        <v/>
      </c>
      <c r="H2957" t="str">
        <f>""</f>
        <v/>
      </c>
      <c r="J2957" t="str">
        <f t="shared" si="73"/>
        <v>VERITY HRA FEES</v>
      </c>
    </row>
    <row r="2958" spans="1:10" x14ac:dyDescent="0.3">
      <c r="A2958" t="str">
        <f>""</f>
        <v/>
      </c>
      <c r="B2958" t="str">
        <f>""</f>
        <v/>
      </c>
      <c r="G2958" t="str">
        <f>""</f>
        <v/>
      </c>
      <c r="H2958" t="str">
        <f>""</f>
        <v/>
      </c>
      <c r="J2958" t="str">
        <f t="shared" si="73"/>
        <v>VERITY HRA FEES</v>
      </c>
    </row>
    <row r="2959" spans="1:10" x14ac:dyDescent="0.3">
      <c r="A2959" t="str">
        <f>""</f>
        <v/>
      </c>
      <c r="B2959" t="str">
        <f>""</f>
        <v/>
      </c>
      <c r="G2959" t="str">
        <f>""</f>
        <v/>
      </c>
      <c r="H2959" t="str">
        <f>""</f>
        <v/>
      </c>
      <c r="J2959" t="str">
        <f t="shared" si="73"/>
        <v>VERITY HRA FEES</v>
      </c>
    </row>
    <row r="2960" spans="1:10" x14ac:dyDescent="0.3">
      <c r="A2960" t="str">
        <f>""</f>
        <v/>
      </c>
      <c r="B2960" t="str">
        <f>""</f>
        <v/>
      </c>
      <c r="G2960" t="str">
        <f>""</f>
        <v/>
      </c>
      <c r="H2960" t="str">
        <f>""</f>
        <v/>
      </c>
      <c r="J2960" t="str">
        <f t="shared" si="73"/>
        <v>VERITY HRA FEES</v>
      </c>
    </row>
    <row r="2961" spans="1:10" x14ac:dyDescent="0.3">
      <c r="A2961" t="str">
        <f>""</f>
        <v/>
      </c>
      <c r="B2961" t="str">
        <f>""</f>
        <v/>
      </c>
      <c r="G2961" t="str">
        <f>""</f>
        <v/>
      </c>
      <c r="H2961" t="str">
        <f>""</f>
        <v/>
      </c>
      <c r="J2961" t="str">
        <f t="shared" si="73"/>
        <v>VERITY HRA FEES</v>
      </c>
    </row>
    <row r="2962" spans="1:10" x14ac:dyDescent="0.3">
      <c r="A2962" t="str">
        <f>""</f>
        <v/>
      </c>
      <c r="B2962" t="str">
        <f>""</f>
        <v/>
      </c>
      <c r="G2962" t="str">
        <f>""</f>
        <v/>
      </c>
      <c r="H2962" t="str">
        <f>""</f>
        <v/>
      </c>
      <c r="J2962" t="str">
        <f t="shared" si="73"/>
        <v>VERITY HRA FEES</v>
      </c>
    </row>
    <row r="2963" spans="1:10" x14ac:dyDescent="0.3">
      <c r="A2963" t="str">
        <f>""</f>
        <v/>
      </c>
      <c r="B2963" t="str">
        <f>""</f>
        <v/>
      </c>
      <c r="G2963" t="str">
        <f>""</f>
        <v/>
      </c>
      <c r="H2963" t="str">
        <f>""</f>
        <v/>
      </c>
      <c r="J2963" t="str">
        <f t="shared" si="73"/>
        <v>VERITY HRA FEES</v>
      </c>
    </row>
    <row r="2964" spans="1:10" x14ac:dyDescent="0.3">
      <c r="A2964" t="str">
        <f>""</f>
        <v/>
      </c>
      <c r="B2964" t="str">
        <f>""</f>
        <v/>
      </c>
      <c r="G2964" t="str">
        <f>""</f>
        <v/>
      </c>
      <c r="H2964" t="str">
        <f>""</f>
        <v/>
      </c>
      <c r="J2964" t="str">
        <f t="shared" si="73"/>
        <v>VERITY HRA FEES</v>
      </c>
    </row>
    <row r="2965" spans="1:10" x14ac:dyDescent="0.3">
      <c r="A2965" t="str">
        <f>""</f>
        <v/>
      </c>
      <c r="B2965" t="str">
        <f>""</f>
        <v/>
      </c>
      <c r="G2965" t="str">
        <f>""</f>
        <v/>
      </c>
      <c r="H2965" t="str">
        <f>""</f>
        <v/>
      </c>
      <c r="J2965" t="str">
        <f t="shared" si="73"/>
        <v>VERITY HRA FEES</v>
      </c>
    </row>
    <row r="2966" spans="1:10" x14ac:dyDescent="0.3">
      <c r="A2966" t="str">
        <f>""</f>
        <v/>
      </c>
      <c r="B2966" t="str">
        <f>""</f>
        <v/>
      </c>
      <c r="G2966" t="str">
        <f>""</f>
        <v/>
      </c>
      <c r="H2966" t="str">
        <f>""</f>
        <v/>
      </c>
      <c r="J2966" t="str">
        <f t="shared" si="73"/>
        <v>VERITY HRA FEES</v>
      </c>
    </row>
    <row r="2967" spans="1:10" x14ac:dyDescent="0.3">
      <c r="A2967" t="str">
        <f>""</f>
        <v/>
      </c>
      <c r="B2967" t="str">
        <f>""</f>
        <v/>
      </c>
      <c r="G2967" t="str">
        <f>""</f>
        <v/>
      </c>
      <c r="H2967" t="str">
        <f>""</f>
        <v/>
      </c>
      <c r="J2967" t="str">
        <f t="shared" si="73"/>
        <v>VERITY HRA FEES</v>
      </c>
    </row>
    <row r="2968" spans="1:10" x14ac:dyDescent="0.3">
      <c r="A2968" t="str">
        <f>""</f>
        <v/>
      </c>
      <c r="B2968" t="str">
        <f>""</f>
        <v/>
      </c>
      <c r="G2968" t="str">
        <f>""</f>
        <v/>
      </c>
      <c r="H2968" t="str">
        <f>""</f>
        <v/>
      </c>
      <c r="J2968" t="str">
        <f t="shared" si="73"/>
        <v>VERITY HRA FEES</v>
      </c>
    </row>
    <row r="2969" spans="1:10" x14ac:dyDescent="0.3">
      <c r="A2969" t="str">
        <f>""</f>
        <v/>
      </c>
      <c r="B2969" t="str">
        <f>""</f>
        <v/>
      </c>
      <c r="G2969" t="str">
        <f>""</f>
        <v/>
      </c>
      <c r="H2969" t="str">
        <f>""</f>
        <v/>
      </c>
      <c r="J2969" t="str">
        <f t="shared" si="73"/>
        <v>VERITY HRA FEES</v>
      </c>
    </row>
    <row r="2970" spans="1:10" x14ac:dyDescent="0.3">
      <c r="A2970" t="str">
        <f>""</f>
        <v/>
      </c>
      <c r="B2970" t="str">
        <f>""</f>
        <v/>
      </c>
      <c r="G2970" t="str">
        <f>""</f>
        <v/>
      </c>
      <c r="H2970" t="str">
        <f>""</f>
        <v/>
      </c>
      <c r="J2970" t="str">
        <f t="shared" si="73"/>
        <v>VERITY HRA FEES</v>
      </c>
    </row>
    <row r="2971" spans="1:10" x14ac:dyDescent="0.3">
      <c r="A2971" t="str">
        <f>""</f>
        <v/>
      </c>
      <c r="B2971" t="str">
        <f>""</f>
        <v/>
      </c>
      <c r="G2971" t="str">
        <f>""</f>
        <v/>
      </c>
      <c r="H2971" t="str">
        <f>""</f>
        <v/>
      </c>
      <c r="J2971" t="str">
        <f t="shared" si="73"/>
        <v>VERITY HRA FEES</v>
      </c>
    </row>
    <row r="2972" spans="1:10" x14ac:dyDescent="0.3">
      <c r="A2972" t="str">
        <f>""</f>
        <v/>
      </c>
      <c r="B2972" t="str">
        <f>""</f>
        <v/>
      </c>
      <c r="G2972" t="str">
        <f>""</f>
        <v/>
      </c>
      <c r="H2972" t="str">
        <f>""</f>
        <v/>
      </c>
      <c r="J2972" t="str">
        <f t="shared" si="73"/>
        <v>VERITY HRA FEES</v>
      </c>
    </row>
    <row r="2973" spans="1:10" x14ac:dyDescent="0.3">
      <c r="A2973" t="str">
        <f>""</f>
        <v/>
      </c>
      <c r="B2973" t="str">
        <f>""</f>
        <v/>
      </c>
      <c r="G2973" t="str">
        <f>""</f>
        <v/>
      </c>
      <c r="H2973" t="str">
        <f>""</f>
        <v/>
      </c>
      <c r="J2973" t="str">
        <f t="shared" si="73"/>
        <v>VERITY HRA FEES</v>
      </c>
    </row>
    <row r="2974" spans="1:10" x14ac:dyDescent="0.3">
      <c r="A2974" t="str">
        <f>""</f>
        <v/>
      </c>
      <c r="B2974" t="str">
        <f>""</f>
        <v/>
      </c>
      <c r="G2974" t="str">
        <f>""</f>
        <v/>
      </c>
      <c r="H2974" t="str">
        <f>""</f>
        <v/>
      </c>
      <c r="J2974" t="str">
        <f t="shared" si="73"/>
        <v>VERITY HRA FEES</v>
      </c>
    </row>
    <row r="2975" spans="1:10" x14ac:dyDescent="0.3">
      <c r="A2975" t="str">
        <f>""</f>
        <v/>
      </c>
      <c r="B2975" t="str">
        <f>""</f>
        <v/>
      </c>
      <c r="G2975" t="str">
        <f>""</f>
        <v/>
      </c>
      <c r="H2975" t="str">
        <f>""</f>
        <v/>
      </c>
      <c r="J2975" t="str">
        <f t="shared" si="73"/>
        <v>VERITY HRA FEES</v>
      </c>
    </row>
    <row r="2976" spans="1:10" x14ac:dyDescent="0.3">
      <c r="A2976" t="str">
        <f>""</f>
        <v/>
      </c>
      <c r="B2976" t="str">
        <f>""</f>
        <v/>
      </c>
      <c r="G2976" t="str">
        <f>""</f>
        <v/>
      </c>
      <c r="H2976" t="str">
        <f>""</f>
        <v/>
      </c>
      <c r="J2976" t="str">
        <f t="shared" si="73"/>
        <v>VERITY HRA FEES</v>
      </c>
    </row>
    <row r="2977" spans="1:10" x14ac:dyDescent="0.3">
      <c r="A2977" t="str">
        <f>""</f>
        <v/>
      </c>
      <c r="B2977" t="str">
        <f>""</f>
        <v/>
      </c>
      <c r="G2977" t="str">
        <f>""</f>
        <v/>
      </c>
      <c r="H2977" t="str">
        <f>""</f>
        <v/>
      </c>
      <c r="J2977" t="str">
        <f t="shared" si="73"/>
        <v>VERITY HRA FEES</v>
      </c>
    </row>
    <row r="2978" spans="1:10" x14ac:dyDescent="0.3">
      <c r="A2978" t="str">
        <f>""</f>
        <v/>
      </c>
      <c r="B2978" t="str">
        <f>""</f>
        <v/>
      </c>
      <c r="G2978" t="str">
        <f>""</f>
        <v/>
      </c>
      <c r="H2978" t="str">
        <f>""</f>
        <v/>
      </c>
      <c r="J2978" t="str">
        <f t="shared" si="73"/>
        <v>VERITY HRA FEES</v>
      </c>
    </row>
    <row r="2979" spans="1:10" x14ac:dyDescent="0.3">
      <c r="A2979" t="str">
        <f>""</f>
        <v/>
      </c>
      <c r="B2979" t="str">
        <f>""</f>
        <v/>
      </c>
      <c r="G2979" t="str">
        <f>""</f>
        <v/>
      </c>
      <c r="H2979" t="str">
        <f>""</f>
        <v/>
      </c>
      <c r="J2979" t="str">
        <f t="shared" si="73"/>
        <v>VERITY HRA FEES</v>
      </c>
    </row>
    <row r="2980" spans="1:10" x14ac:dyDescent="0.3">
      <c r="A2980" t="str">
        <f>""</f>
        <v/>
      </c>
      <c r="B2980" t="str">
        <f>""</f>
        <v/>
      </c>
      <c r="G2980" t="str">
        <f>""</f>
        <v/>
      </c>
      <c r="H2980" t="str">
        <f>""</f>
        <v/>
      </c>
      <c r="J2980" t="str">
        <f t="shared" si="73"/>
        <v>VERITY HRA FEES</v>
      </c>
    </row>
    <row r="2981" spans="1:10" x14ac:dyDescent="0.3">
      <c r="A2981" t="str">
        <f>""</f>
        <v/>
      </c>
      <c r="B2981" t="str">
        <f>""</f>
        <v/>
      </c>
      <c r="G2981" t="str">
        <f>""</f>
        <v/>
      </c>
      <c r="H2981" t="str">
        <f>""</f>
        <v/>
      </c>
      <c r="J2981" t="str">
        <f t="shared" si="73"/>
        <v>VERITY HRA FEES</v>
      </c>
    </row>
    <row r="2982" spans="1:10" x14ac:dyDescent="0.3">
      <c r="A2982" t="str">
        <f>""</f>
        <v/>
      </c>
      <c r="B2982" t="str">
        <f>""</f>
        <v/>
      </c>
      <c r="G2982" t="str">
        <f>""</f>
        <v/>
      </c>
      <c r="H2982" t="str">
        <f>""</f>
        <v/>
      </c>
      <c r="J2982" t="str">
        <f t="shared" si="73"/>
        <v>VERITY HRA FEES</v>
      </c>
    </row>
    <row r="2983" spans="1:10" x14ac:dyDescent="0.3">
      <c r="A2983" t="str">
        <f>""</f>
        <v/>
      </c>
      <c r="B2983" t="str">
        <f>""</f>
        <v/>
      </c>
      <c r="G2983" t="str">
        <f>""</f>
        <v/>
      </c>
      <c r="H2983" t="str">
        <f>""</f>
        <v/>
      </c>
      <c r="J2983" t="str">
        <f t="shared" si="73"/>
        <v>VERITY HRA FEES</v>
      </c>
    </row>
    <row r="2984" spans="1:10" x14ac:dyDescent="0.3">
      <c r="A2984" t="str">
        <f>""</f>
        <v/>
      </c>
      <c r="B2984" t="str">
        <f>""</f>
        <v/>
      </c>
      <c r="G2984" t="str">
        <f>"HRA201708244446"</f>
        <v>HRA201708244446</v>
      </c>
      <c r="H2984" t="str">
        <f>"VERITY HRA FEES"</f>
        <v>VERITY HRA FEES</v>
      </c>
      <c r="I2984" s="2">
        <v>200</v>
      </c>
      <c r="J2984" t="str">
        <f t="shared" si="73"/>
        <v>VERITY HRA FEES</v>
      </c>
    </row>
    <row r="2985" spans="1:10" x14ac:dyDescent="0.3">
      <c r="A2985" t="str">
        <f>""</f>
        <v/>
      </c>
      <c r="B2985" t="str">
        <f>""</f>
        <v/>
      </c>
      <c r="G2985" t="str">
        <f>"HRF201708234445"</f>
        <v>HRF201708234445</v>
      </c>
      <c r="H2985" t="str">
        <f>"VERITY HRA FEE"</f>
        <v>VERITY HRA FEE</v>
      </c>
      <c r="I2985" s="2">
        <v>774</v>
      </c>
      <c r="J2985" t="str">
        <f t="shared" ref="J2985:J3025" si="74">"VERITY HRA FEE"</f>
        <v>VERITY HRA FEE</v>
      </c>
    </row>
    <row r="2986" spans="1:10" x14ac:dyDescent="0.3">
      <c r="A2986" t="str">
        <f>""</f>
        <v/>
      </c>
      <c r="B2986" t="str">
        <f>""</f>
        <v/>
      </c>
      <c r="G2986" t="str">
        <f>""</f>
        <v/>
      </c>
      <c r="H2986" t="str">
        <f>""</f>
        <v/>
      </c>
      <c r="J2986" t="str">
        <f t="shared" si="74"/>
        <v>VERITY HRA FEE</v>
      </c>
    </row>
    <row r="2987" spans="1:10" x14ac:dyDescent="0.3">
      <c r="A2987" t="str">
        <f>""</f>
        <v/>
      </c>
      <c r="B2987" t="str">
        <f>""</f>
        <v/>
      </c>
      <c r="G2987" t="str">
        <f>""</f>
        <v/>
      </c>
      <c r="H2987" t="str">
        <f>""</f>
        <v/>
      </c>
      <c r="J2987" t="str">
        <f t="shared" si="74"/>
        <v>VERITY HRA FEE</v>
      </c>
    </row>
    <row r="2988" spans="1:10" x14ac:dyDescent="0.3">
      <c r="A2988" t="str">
        <f>""</f>
        <v/>
      </c>
      <c r="B2988" t="str">
        <f>""</f>
        <v/>
      </c>
      <c r="G2988" t="str">
        <f>""</f>
        <v/>
      </c>
      <c r="H2988" t="str">
        <f>""</f>
        <v/>
      </c>
      <c r="J2988" t="str">
        <f t="shared" si="74"/>
        <v>VERITY HRA FEE</v>
      </c>
    </row>
    <row r="2989" spans="1:10" x14ac:dyDescent="0.3">
      <c r="A2989" t="str">
        <f>""</f>
        <v/>
      </c>
      <c r="B2989" t="str">
        <f>""</f>
        <v/>
      </c>
      <c r="G2989" t="str">
        <f>""</f>
        <v/>
      </c>
      <c r="H2989" t="str">
        <f>""</f>
        <v/>
      </c>
      <c r="J2989" t="str">
        <f t="shared" si="74"/>
        <v>VERITY HRA FEE</v>
      </c>
    </row>
    <row r="2990" spans="1:10" x14ac:dyDescent="0.3">
      <c r="A2990" t="str">
        <f>""</f>
        <v/>
      </c>
      <c r="B2990" t="str">
        <f>""</f>
        <v/>
      </c>
      <c r="G2990" t="str">
        <f>""</f>
        <v/>
      </c>
      <c r="H2990" t="str">
        <f>""</f>
        <v/>
      </c>
      <c r="J2990" t="str">
        <f t="shared" si="74"/>
        <v>VERITY HRA FEE</v>
      </c>
    </row>
    <row r="2991" spans="1:10" x14ac:dyDescent="0.3">
      <c r="A2991" t="str">
        <f>""</f>
        <v/>
      </c>
      <c r="B2991" t="str">
        <f>""</f>
        <v/>
      </c>
      <c r="G2991" t="str">
        <f>""</f>
        <v/>
      </c>
      <c r="H2991" t="str">
        <f>""</f>
        <v/>
      </c>
      <c r="J2991" t="str">
        <f t="shared" si="74"/>
        <v>VERITY HRA FEE</v>
      </c>
    </row>
    <row r="2992" spans="1:10" x14ac:dyDescent="0.3">
      <c r="A2992" t="str">
        <f>""</f>
        <v/>
      </c>
      <c r="B2992" t="str">
        <f>""</f>
        <v/>
      </c>
      <c r="G2992" t="str">
        <f>""</f>
        <v/>
      </c>
      <c r="H2992" t="str">
        <f>""</f>
        <v/>
      </c>
      <c r="J2992" t="str">
        <f t="shared" si="74"/>
        <v>VERITY HRA FEE</v>
      </c>
    </row>
    <row r="2993" spans="1:10" x14ac:dyDescent="0.3">
      <c r="A2993" t="str">
        <f>""</f>
        <v/>
      </c>
      <c r="B2993" t="str">
        <f>""</f>
        <v/>
      </c>
      <c r="G2993" t="str">
        <f>""</f>
        <v/>
      </c>
      <c r="H2993" t="str">
        <f>""</f>
        <v/>
      </c>
      <c r="J2993" t="str">
        <f t="shared" si="74"/>
        <v>VERITY HRA FEE</v>
      </c>
    </row>
    <row r="2994" spans="1:10" x14ac:dyDescent="0.3">
      <c r="A2994" t="str">
        <f>""</f>
        <v/>
      </c>
      <c r="B2994" t="str">
        <f>""</f>
        <v/>
      </c>
      <c r="G2994" t="str">
        <f>""</f>
        <v/>
      </c>
      <c r="H2994" t="str">
        <f>""</f>
        <v/>
      </c>
      <c r="J2994" t="str">
        <f t="shared" si="74"/>
        <v>VERITY HRA FEE</v>
      </c>
    </row>
    <row r="2995" spans="1:10" x14ac:dyDescent="0.3">
      <c r="A2995" t="str">
        <f>""</f>
        <v/>
      </c>
      <c r="B2995" t="str">
        <f>""</f>
        <v/>
      </c>
      <c r="G2995" t="str">
        <f>""</f>
        <v/>
      </c>
      <c r="H2995" t="str">
        <f>""</f>
        <v/>
      </c>
      <c r="J2995" t="str">
        <f t="shared" si="74"/>
        <v>VERITY HRA FEE</v>
      </c>
    </row>
    <row r="2996" spans="1:10" x14ac:dyDescent="0.3">
      <c r="A2996" t="str">
        <f>""</f>
        <v/>
      </c>
      <c r="B2996" t="str">
        <f>""</f>
        <v/>
      </c>
      <c r="G2996" t="str">
        <f>""</f>
        <v/>
      </c>
      <c r="H2996" t="str">
        <f>""</f>
        <v/>
      </c>
      <c r="J2996" t="str">
        <f t="shared" si="74"/>
        <v>VERITY HRA FEE</v>
      </c>
    </row>
    <row r="2997" spans="1:10" x14ac:dyDescent="0.3">
      <c r="A2997" t="str">
        <f>""</f>
        <v/>
      </c>
      <c r="B2997" t="str">
        <f>""</f>
        <v/>
      </c>
      <c r="G2997" t="str">
        <f>""</f>
        <v/>
      </c>
      <c r="H2997" t="str">
        <f>""</f>
        <v/>
      </c>
      <c r="J2997" t="str">
        <f t="shared" si="74"/>
        <v>VERITY HRA FEE</v>
      </c>
    </row>
    <row r="2998" spans="1:10" x14ac:dyDescent="0.3">
      <c r="A2998" t="str">
        <f>""</f>
        <v/>
      </c>
      <c r="B2998" t="str">
        <f>""</f>
        <v/>
      </c>
      <c r="G2998" t="str">
        <f>""</f>
        <v/>
      </c>
      <c r="H2998" t="str">
        <f>""</f>
        <v/>
      </c>
      <c r="J2998" t="str">
        <f t="shared" si="74"/>
        <v>VERITY HRA FEE</v>
      </c>
    </row>
    <row r="2999" spans="1:10" x14ac:dyDescent="0.3">
      <c r="A2999" t="str">
        <f>""</f>
        <v/>
      </c>
      <c r="B2999" t="str">
        <f>""</f>
        <v/>
      </c>
      <c r="G2999" t="str">
        <f>""</f>
        <v/>
      </c>
      <c r="H2999" t="str">
        <f>""</f>
        <v/>
      </c>
      <c r="J2999" t="str">
        <f t="shared" si="74"/>
        <v>VERITY HRA FEE</v>
      </c>
    </row>
    <row r="3000" spans="1:10" x14ac:dyDescent="0.3">
      <c r="A3000" t="str">
        <f>""</f>
        <v/>
      </c>
      <c r="B3000" t="str">
        <f>""</f>
        <v/>
      </c>
      <c r="G3000" t="str">
        <f>""</f>
        <v/>
      </c>
      <c r="H3000" t="str">
        <f>""</f>
        <v/>
      </c>
      <c r="J3000" t="str">
        <f t="shared" si="74"/>
        <v>VERITY HRA FEE</v>
      </c>
    </row>
    <row r="3001" spans="1:10" x14ac:dyDescent="0.3">
      <c r="A3001" t="str">
        <f>""</f>
        <v/>
      </c>
      <c r="B3001" t="str">
        <f>""</f>
        <v/>
      </c>
      <c r="G3001" t="str">
        <f>""</f>
        <v/>
      </c>
      <c r="H3001" t="str">
        <f>""</f>
        <v/>
      </c>
      <c r="J3001" t="str">
        <f t="shared" si="74"/>
        <v>VERITY HRA FEE</v>
      </c>
    </row>
    <row r="3002" spans="1:10" x14ac:dyDescent="0.3">
      <c r="A3002" t="str">
        <f>""</f>
        <v/>
      </c>
      <c r="B3002" t="str">
        <f>""</f>
        <v/>
      </c>
      <c r="G3002" t="str">
        <f>""</f>
        <v/>
      </c>
      <c r="H3002" t="str">
        <f>""</f>
        <v/>
      </c>
      <c r="J3002" t="str">
        <f t="shared" si="74"/>
        <v>VERITY HRA FEE</v>
      </c>
    </row>
    <row r="3003" spans="1:10" x14ac:dyDescent="0.3">
      <c r="A3003" t="str">
        <f>""</f>
        <v/>
      </c>
      <c r="B3003" t="str">
        <f>""</f>
        <v/>
      </c>
      <c r="G3003" t="str">
        <f>""</f>
        <v/>
      </c>
      <c r="H3003" t="str">
        <f>""</f>
        <v/>
      </c>
      <c r="J3003" t="str">
        <f t="shared" si="74"/>
        <v>VERITY HRA FEE</v>
      </c>
    </row>
    <row r="3004" spans="1:10" x14ac:dyDescent="0.3">
      <c r="A3004" t="str">
        <f>""</f>
        <v/>
      </c>
      <c r="B3004" t="str">
        <f>""</f>
        <v/>
      </c>
      <c r="G3004" t="str">
        <f>""</f>
        <v/>
      </c>
      <c r="H3004" t="str">
        <f>""</f>
        <v/>
      </c>
      <c r="J3004" t="str">
        <f t="shared" si="74"/>
        <v>VERITY HRA FEE</v>
      </c>
    </row>
    <row r="3005" spans="1:10" x14ac:dyDescent="0.3">
      <c r="A3005" t="str">
        <f>""</f>
        <v/>
      </c>
      <c r="B3005" t="str">
        <f>""</f>
        <v/>
      </c>
      <c r="G3005" t="str">
        <f>""</f>
        <v/>
      </c>
      <c r="H3005" t="str">
        <f>""</f>
        <v/>
      </c>
      <c r="J3005" t="str">
        <f t="shared" si="74"/>
        <v>VERITY HRA FEE</v>
      </c>
    </row>
    <row r="3006" spans="1:10" x14ac:dyDescent="0.3">
      <c r="A3006" t="str">
        <f>""</f>
        <v/>
      </c>
      <c r="B3006" t="str">
        <f>""</f>
        <v/>
      </c>
      <c r="G3006" t="str">
        <f>""</f>
        <v/>
      </c>
      <c r="H3006" t="str">
        <f>""</f>
        <v/>
      </c>
      <c r="J3006" t="str">
        <f t="shared" si="74"/>
        <v>VERITY HRA FEE</v>
      </c>
    </row>
    <row r="3007" spans="1:10" x14ac:dyDescent="0.3">
      <c r="A3007" t="str">
        <f>""</f>
        <v/>
      </c>
      <c r="B3007" t="str">
        <f>""</f>
        <v/>
      </c>
      <c r="G3007" t="str">
        <f>""</f>
        <v/>
      </c>
      <c r="H3007" t="str">
        <f>""</f>
        <v/>
      </c>
      <c r="J3007" t="str">
        <f t="shared" si="74"/>
        <v>VERITY HRA FEE</v>
      </c>
    </row>
    <row r="3008" spans="1:10" x14ac:dyDescent="0.3">
      <c r="A3008" t="str">
        <f>""</f>
        <v/>
      </c>
      <c r="B3008" t="str">
        <f>""</f>
        <v/>
      </c>
      <c r="G3008" t="str">
        <f>""</f>
        <v/>
      </c>
      <c r="H3008" t="str">
        <f>""</f>
        <v/>
      </c>
      <c r="J3008" t="str">
        <f t="shared" si="74"/>
        <v>VERITY HRA FEE</v>
      </c>
    </row>
    <row r="3009" spans="1:10" x14ac:dyDescent="0.3">
      <c r="A3009" t="str">
        <f>""</f>
        <v/>
      </c>
      <c r="B3009" t="str">
        <f>""</f>
        <v/>
      </c>
      <c r="G3009" t="str">
        <f>""</f>
        <v/>
      </c>
      <c r="H3009" t="str">
        <f>""</f>
        <v/>
      </c>
      <c r="J3009" t="str">
        <f t="shared" si="74"/>
        <v>VERITY HRA FEE</v>
      </c>
    </row>
    <row r="3010" spans="1:10" x14ac:dyDescent="0.3">
      <c r="A3010" t="str">
        <f>""</f>
        <v/>
      </c>
      <c r="B3010" t="str">
        <f>""</f>
        <v/>
      </c>
      <c r="G3010" t="str">
        <f>""</f>
        <v/>
      </c>
      <c r="H3010" t="str">
        <f>""</f>
        <v/>
      </c>
      <c r="J3010" t="str">
        <f t="shared" si="74"/>
        <v>VERITY HRA FEE</v>
      </c>
    </row>
    <row r="3011" spans="1:10" x14ac:dyDescent="0.3">
      <c r="A3011" t="str">
        <f>""</f>
        <v/>
      </c>
      <c r="B3011" t="str">
        <f>""</f>
        <v/>
      </c>
      <c r="G3011" t="str">
        <f>""</f>
        <v/>
      </c>
      <c r="H3011" t="str">
        <f>""</f>
        <v/>
      </c>
      <c r="J3011" t="str">
        <f t="shared" si="74"/>
        <v>VERITY HRA FEE</v>
      </c>
    </row>
    <row r="3012" spans="1:10" x14ac:dyDescent="0.3">
      <c r="A3012" t="str">
        <f>""</f>
        <v/>
      </c>
      <c r="B3012" t="str">
        <f>""</f>
        <v/>
      </c>
      <c r="G3012" t="str">
        <f>""</f>
        <v/>
      </c>
      <c r="H3012" t="str">
        <f>""</f>
        <v/>
      </c>
      <c r="J3012" t="str">
        <f t="shared" si="74"/>
        <v>VERITY HRA FEE</v>
      </c>
    </row>
    <row r="3013" spans="1:10" x14ac:dyDescent="0.3">
      <c r="A3013" t="str">
        <f>""</f>
        <v/>
      </c>
      <c r="B3013" t="str">
        <f>""</f>
        <v/>
      </c>
      <c r="G3013" t="str">
        <f>""</f>
        <v/>
      </c>
      <c r="H3013" t="str">
        <f>""</f>
        <v/>
      </c>
      <c r="J3013" t="str">
        <f t="shared" si="74"/>
        <v>VERITY HRA FEE</v>
      </c>
    </row>
    <row r="3014" spans="1:10" x14ac:dyDescent="0.3">
      <c r="A3014" t="str">
        <f>""</f>
        <v/>
      </c>
      <c r="B3014" t="str">
        <f>""</f>
        <v/>
      </c>
      <c r="G3014" t="str">
        <f>""</f>
        <v/>
      </c>
      <c r="H3014" t="str">
        <f>""</f>
        <v/>
      </c>
      <c r="J3014" t="str">
        <f t="shared" si="74"/>
        <v>VERITY HRA FEE</v>
      </c>
    </row>
    <row r="3015" spans="1:10" x14ac:dyDescent="0.3">
      <c r="A3015" t="str">
        <f>""</f>
        <v/>
      </c>
      <c r="B3015" t="str">
        <f>""</f>
        <v/>
      </c>
      <c r="G3015" t="str">
        <f>""</f>
        <v/>
      </c>
      <c r="H3015" t="str">
        <f>""</f>
        <v/>
      </c>
      <c r="J3015" t="str">
        <f t="shared" si="74"/>
        <v>VERITY HRA FEE</v>
      </c>
    </row>
    <row r="3016" spans="1:10" x14ac:dyDescent="0.3">
      <c r="A3016" t="str">
        <f>""</f>
        <v/>
      </c>
      <c r="B3016" t="str">
        <f>""</f>
        <v/>
      </c>
      <c r="G3016" t="str">
        <f>""</f>
        <v/>
      </c>
      <c r="H3016" t="str">
        <f>""</f>
        <v/>
      </c>
      <c r="J3016" t="str">
        <f t="shared" si="74"/>
        <v>VERITY HRA FEE</v>
      </c>
    </row>
    <row r="3017" spans="1:10" x14ac:dyDescent="0.3">
      <c r="A3017" t="str">
        <f>""</f>
        <v/>
      </c>
      <c r="B3017" t="str">
        <f>""</f>
        <v/>
      </c>
      <c r="G3017" t="str">
        <f>""</f>
        <v/>
      </c>
      <c r="H3017" t="str">
        <f>""</f>
        <v/>
      </c>
      <c r="J3017" t="str">
        <f t="shared" si="74"/>
        <v>VERITY HRA FEE</v>
      </c>
    </row>
    <row r="3018" spans="1:10" x14ac:dyDescent="0.3">
      <c r="A3018" t="str">
        <f>""</f>
        <v/>
      </c>
      <c r="B3018" t="str">
        <f>""</f>
        <v/>
      </c>
      <c r="G3018" t="str">
        <f>""</f>
        <v/>
      </c>
      <c r="H3018" t="str">
        <f>""</f>
        <v/>
      </c>
      <c r="J3018" t="str">
        <f t="shared" si="74"/>
        <v>VERITY HRA FEE</v>
      </c>
    </row>
    <row r="3019" spans="1:10" x14ac:dyDescent="0.3">
      <c r="A3019" t="str">
        <f>""</f>
        <v/>
      </c>
      <c r="B3019" t="str">
        <f>""</f>
        <v/>
      </c>
      <c r="G3019" t="str">
        <f>""</f>
        <v/>
      </c>
      <c r="H3019" t="str">
        <f>""</f>
        <v/>
      </c>
      <c r="J3019" t="str">
        <f t="shared" si="74"/>
        <v>VERITY HRA FEE</v>
      </c>
    </row>
    <row r="3020" spans="1:10" x14ac:dyDescent="0.3">
      <c r="A3020" t="str">
        <f>""</f>
        <v/>
      </c>
      <c r="B3020" t="str">
        <f>""</f>
        <v/>
      </c>
      <c r="G3020" t="str">
        <f>""</f>
        <v/>
      </c>
      <c r="H3020" t="str">
        <f>""</f>
        <v/>
      </c>
      <c r="J3020" t="str">
        <f t="shared" si="74"/>
        <v>VERITY HRA FEE</v>
      </c>
    </row>
    <row r="3021" spans="1:10" x14ac:dyDescent="0.3">
      <c r="A3021" t="str">
        <f>""</f>
        <v/>
      </c>
      <c r="B3021" t="str">
        <f>""</f>
        <v/>
      </c>
      <c r="G3021" t="str">
        <f>""</f>
        <v/>
      </c>
      <c r="H3021" t="str">
        <f>""</f>
        <v/>
      </c>
      <c r="J3021" t="str">
        <f t="shared" si="74"/>
        <v>VERITY HRA FEE</v>
      </c>
    </row>
    <row r="3022" spans="1:10" x14ac:dyDescent="0.3">
      <c r="A3022" t="str">
        <f>""</f>
        <v/>
      </c>
      <c r="B3022" t="str">
        <f>""</f>
        <v/>
      </c>
      <c r="G3022" t="str">
        <f>""</f>
        <v/>
      </c>
      <c r="H3022" t="str">
        <f>""</f>
        <v/>
      </c>
      <c r="J3022" t="str">
        <f t="shared" si="74"/>
        <v>VERITY HRA FEE</v>
      </c>
    </row>
    <row r="3023" spans="1:10" x14ac:dyDescent="0.3">
      <c r="A3023" t="str">
        <f>""</f>
        <v/>
      </c>
      <c r="B3023" t="str">
        <f>""</f>
        <v/>
      </c>
      <c r="G3023" t="str">
        <f>""</f>
        <v/>
      </c>
      <c r="H3023" t="str">
        <f>""</f>
        <v/>
      </c>
      <c r="J3023" t="str">
        <f t="shared" si="74"/>
        <v>VERITY HRA FEE</v>
      </c>
    </row>
    <row r="3024" spans="1:10" x14ac:dyDescent="0.3">
      <c r="A3024" t="str">
        <f>""</f>
        <v/>
      </c>
      <c r="B3024" t="str">
        <f>""</f>
        <v/>
      </c>
      <c r="G3024" t="str">
        <f>""</f>
        <v/>
      </c>
      <c r="H3024" t="str">
        <f>""</f>
        <v/>
      </c>
      <c r="J3024" t="str">
        <f t="shared" si="74"/>
        <v>VERITY HRA FEE</v>
      </c>
    </row>
    <row r="3025" spans="1:10" x14ac:dyDescent="0.3">
      <c r="A3025" t="str">
        <f>""</f>
        <v/>
      </c>
      <c r="B3025" t="str">
        <f>""</f>
        <v/>
      </c>
      <c r="G3025" t="str">
        <f>"HRF201708244446"</f>
        <v>HRF201708244446</v>
      </c>
      <c r="H3025" t="str">
        <f>"VERITY HRA FEE"</f>
        <v>VERITY HRA FEE</v>
      </c>
      <c r="I3025" s="2">
        <v>30</v>
      </c>
      <c r="J3025" t="str">
        <f t="shared" si="74"/>
        <v>VERITY HRA FEE</v>
      </c>
    </row>
    <row r="3026" spans="1:10" x14ac:dyDescent="0.3">
      <c r="A3026" t="str">
        <f t="shared" ref="A3026:A3057" si="75">"01"</f>
        <v>01</v>
      </c>
      <c r="B3026" t="str">
        <f t="shared" ref="B3026:B3057" si="76">"1"</f>
        <v>1</v>
      </c>
      <c r="C3026" t="s">
        <v>481</v>
      </c>
      <c r="D3026">
        <v>45700</v>
      </c>
      <c r="E3026" s="2">
        <v>250</v>
      </c>
      <c r="F3026" s="1">
        <v>42978</v>
      </c>
      <c r="G3026" t="str">
        <f>"201709084780"</f>
        <v>201709084780</v>
      </c>
      <c r="H3026" t="str">
        <f>"Mi"</f>
        <v>Mi</v>
      </c>
      <c r="I3026" s="2">
        <v>250</v>
      </c>
    </row>
    <row r="3027" spans="1:10" x14ac:dyDescent="0.3">
      <c r="A3027" t="str">
        <f t="shared" si="75"/>
        <v>01</v>
      </c>
      <c r="B3027" t="str">
        <f t="shared" si="76"/>
        <v>1</v>
      </c>
      <c r="C3027" t="s">
        <v>482</v>
      </c>
      <c r="D3027">
        <v>45701</v>
      </c>
      <c r="E3027" s="2">
        <v>150</v>
      </c>
      <c r="F3027" s="1">
        <v>42978</v>
      </c>
      <c r="G3027" t="str">
        <f>"201709084781"</f>
        <v>201709084781</v>
      </c>
      <c r="H3027" t="str">
        <f>"Miscellaneous"</f>
        <v>Miscellaneous</v>
      </c>
      <c r="I3027" s="2">
        <v>150</v>
      </c>
      <c r="J3027" t="str">
        <f>"ANDREA HAIRE"</f>
        <v>ANDREA HAIRE</v>
      </c>
    </row>
    <row r="3028" spans="1:10" x14ac:dyDescent="0.3">
      <c r="A3028" t="str">
        <f t="shared" si="75"/>
        <v>01</v>
      </c>
      <c r="B3028" t="str">
        <f t="shared" si="76"/>
        <v>1</v>
      </c>
      <c r="C3028" t="s">
        <v>483</v>
      </c>
      <c r="D3028">
        <v>45702</v>
      </c>
      <c r="E3028" s="2">
        <v>160</v>
      </c>
      <c r="F3028" s="1">
        <v>42978</v>
      </c>
      <c r="G3028" t="str">
        <f>"201709084782"</f>
        <v>201709084782</v>
      </c>
      <c r="H3028" t="str">
        <f>"Mi"</f>
        <v>Mi</v>
      </c>
      <c r="I3028" s="2">
        <v>160</v>
      </c>
      <c r="J3028" t="str">
        <f>"ATTORNEY GENERAL OF TEXAS"</f>
        <v>ATTORNEY GENERAL OF TEXAS</v>
      </c>
    </row>
    <row r="3029" spans="1:10" x14ac:dyDescent="0.3">
      <c r="A3029" t="str">
        <f t="shared" si="75"/>
        <v>01</v>
      </c>
      <c r="B3029" t="str">
        <f t="shared" si="76"/>
        <v>1</v>
      </c>
      <c r="C3029" t="s">
        <v>484</v>
      </c>
      <c r="D3029">
        <v>45703</v>
      </c>
      <c r="E3029" s="2">
        <v>100</v>
      </c>
      <c r="F3029" s="1">
        <v>42978</v>
      </c>
      <c r="G3029" t="str">
        <f>"201709084783"</f>
        <v>201709084783</v>
      </c>
      <c r="H3029" t="str">
        <f>"Miscellaneo"</f>
        <v>Miscellaneo</v>
      </c>
      <c r="I3029" s="2">
        <v>100</v>
      </c>
      <c r="J3029" t="str">
        <f>"BRANDY RODRIGUEZ"</f>
        <v>BRANDY RODRIGUEZ</v>
      </c>
    </row>
    <row r="3030" spans="1:10" x14ac:dyDescent="0.3">
      <c r="A3030" t="str">
        <f t="shared" si="75"/>
        <v>01</v>
      </c>
      <c r="B3030" t="str">
        <f t="shared" si="76"/>
        <v>1</v>
      </c>
      <c r="C3030" t="s">
        <v>485</v>
      </c>
      <c r="D3030">
        <v>45704</v>
      </c>
      <c r="E3030" s="2">
        <v>80</v>
      </c>
      <c r="F3030" s="1">
        <v>42978</v>
      </c>
      <c r="G3030" t="str">
        <f>"201709084784"</f>
        <v>201709084784</v>
      </c>
      <c r="H3030" t="str">
        <f>""</f>
        <v/>
      </c>
      <c r="I3030" s="2">
        <v>80</v>
      </c>
      <c r="J3030" t="str">
        <f>"BRAZOS VALLEY SCHOOL CREDIT UN"</f>
        <v>BRAZOS VALLEY SCHOOL CREDIT UN</v>
      </c>
    </row>
    <row r="3031" spans="1:10" x14ac:dyDescent="0.3">
      <c r="A3031" t="str">
        <f t="shared" si="75"/>
        <v>01</v>
      </c>
      <c r="B3031" t="str">
        <f t="shared" si="76"/>
        <v>1</v>
      </c>
      <c r="C3031" t="s">
        <v>486</v>
      </c>
      <c r="D3031">
        <v>45705</v>
      </c>
      <c r="E3031" s="2">
        <v>25</v>
      </c>
      <c r="F3031" s="1">
        <v>42978</v>
      </c>
      <c r="G3031" t="str">
        <f>"201709084785"</f>
        <v>201709084785</v>
      </c>
      <c r="H3031" t="str">
        <f>"Misc"</f>
        <v>Misc</v>
      </c>
      <c r="I3031" s="2">
        <v>25</v>
      </c>
      <c r="J3031" t="str">
        <f>"BROOKSHIRE BROTHERS LTD"</f>
        <v>BROOKSHIRE BROTHERS LTD</v>
      </c>
    </row>
    <row r="3032" spans="1:10" x14ac:dyDescent="0.3">
      <c r="A3032" t="str">
        <f t="shared" si="75"/>
        <v>01</v>
      </c>
      <c r="B3032" t="str">
        <f t="shared" si="76"/>
        <v>1</v>
      </c>
      <c r="C3032" t="s">
        <v>487</v>
      </c>
      <c r="D3032">
        <v>45706</v>
      </c>
      <c r="E3032" s="2">
        <v>100</v>
      </c>
      <c r="F3032" s="1">
        <v>42978</v>
      </c>
      <c r="G3032" t="str">
        <f>"201709084786"</f>
        <v>201709084786</v>
      </c>
      <c r="H3032" t="str">
        <f>"Miscellaneous"</f>
        <v>Miscellaneous</v>
      </c>
      <c r="I3032" s="2">
        <v>100</v>
      </c>
      <c r="J3032" t="str">
        <f>"BUC-EES"</f>
        <v>BUC-EES</v>
      </c>
    </row>
    <row r="3033" spans="1:10" x14ac:dyDescent="0.3">
      <c r="A3033" t="str">
        <f t="shared" si="75"/>
        <v>01</v>
      </c>
      <c r="B3033" t="str">
        <f t="shared" si="76"/>
        <v>1</v>
      </c>
      <c r="C3033" t="s">
        <v>488</v>
      </c>
      <c r="D3033">
        <v>45707</v>
      </c>
      <c r="E3033" s="2">
        <v>75</v>
      </c>
      <c r="F3033" s="1">
        <v>42978</v>
      </c>
      <c r="G3033" t="str">
        <f>"201709084787"</f>
        <v>201709084787</v>
      </c>
      <c r="H3033" t="str">
        <f>"Mi"</f>
        <v>Mi</v>
      </c>
      <c r="I3033" s="2">
        <v>75</v>
      </c>
      <c r="J3033" t="str">
        <f>"BURLESON COUNTY TREASURER"</f>
        <v>BURLESON COUNTY TREASURER</v>
      </c>
    </row>
    <row r="3034" spans="1:10" x14ac:dyDescent="0.3">
      <c r="A3034" t="str">
        <f t="shared" si="75"/>
        <v>01</v>
      </c>
      <c r="B3034" t="str">
        <f t="shared" si="76"/>
        <v>1</v>
      </c>
      <c r="C3034" t="s">
        <v>489</v>
      </c>
      <c r="D3034">
        <v>45708</v>
      </c>
      <c r="E3034" s="2">
        <v>25</v>
      </c>
      <c r="F3034" s="1">
        <v>42978</v>
      </c>
      <c r="G3034" t="str">
        <f>"201709084788"</f>
        <v>201709084788</v>
      </c>
      <c r="H3034" t="str">
        <f>"Miscellane"</f>
        <v>Miscellane</v>
      </c>
      <c r="I3034" s="2">
        <v>25</v>
      </c>
      <c r="J3034" t="str">
        <f>"BURTON STATE BANK"</f>
        <v>BURTON STATE BANK</v>
      </c>
    </row>
    <row r="3035" spans="1:10" x14ac:dyDescent="0.3">
      <c r="A3035" t="str">
        <f t="shared" si="75"/>
        <v>01</v>
      </c>
      <c r="B3035" t="str">
        <f t="shared" si="76"/>
        <v>1</v>
      </c>
      <c r="C3035" t="s">
        <v>490</v>
      </c>
      <c r="D3035">
        <v>45709</v>
      </c>
      <c r="E3035" s="2">
        <v>280</v>
      </c>
      <c r="F3035" s="1">
        <v>42978</v>
      </c>
      <c r="G3035" t="str">
        <f>"201709084789"</f>
        <v>201709084789</v>
      </c>
      <c r="H3035" t="str">
        <f>"Miscella"</f>
        <v>Miscella</v>
      </c>
      <c r="I3035" s="2">
        <v>280</v>
      </c>
      <c r="J3035" t="str">
        <f>"CENTER DRIVE IN III"</f>
        <v>CENTER DRIVE IN III</v>
      </c>
    </row>
    <row r="3036" spans="1:10" x14ac:dyDescent="0.3">
      <c r="A3036" t="str">
        <f t="shared" si="75"/>
        <v>01</v>
      </c>
      <c r="B3036" t="str">
        <f t="shared" si="76"/>
        <v>1</v>
      </c>
      <c r="C3036" t="s">
        <v>491</v>
      </c>
      <c r="D3036">
        <v>45710</v>
      </c>
      <c r="E3036" s="2">
        <v>52</v>
      </c>
      <c r="F3036" s="1">
        <v>42978</v>
      </c>
      <c r="G3036" t="str">
        <f>"201709084790"</f>
        <v>201709084790</v>
      </c>
      <c r="H3036" t="str">
        <f>"Miscellaneo"</f>
        <v>Miscellaneo</v>
      </c>
      <c r="I3036" s="2">
        <v>52</v>
      </c>
      <c r="J3036" t="str">
        <f>"CENTER DRIVE INN"</f>
        <v>CENTER DRIVE INN</v>
      </c>
    </row>
    <row r="3037" spans="1:10" x14ac:dyDescent="0.3">
      <c r="A3037" t="str">
        <f t="shared" si="75"/>
        <v>01</v>
      </c>
      <c r="B3037" t="str">
        <f t="shared" si="76"/>
        <v>1</v>
      </c>
      <c r="C3037" t="s">
        <v>492</v>
      </c>
      <c r="D3037">
        <v>45711</v>
      </c>
      <c r="E3037" s="2">
        <v>51</v>
      </c>
      <c r="F3037" s="1">
        <v>42978</v>
      </c>
      <c r="G3037" t="str">
        <f>"201709084791"</f>
        <v>201709084791</v>
      </c>
      <c r="H3037" t="str">
        <f>""</f>
        <v/>
      </c>
      <c r="I3037" s="2">
        <v>51</v>
      </c>
      <c r="J3037" t="str">
        <f>"CITI SECURITY AND INVESTIGATIV"</f>
        <v>CITI SECURITY AND INVESTIGATIV</v>
      </c>
    </row>
    <row r="3038" spans="1:10" x14ac:dyDescent="0.3">
      <c r="A3038" t="str">
        <f t="shared" si="75"/>
        <v>01</v>
      </c>
      <c r="B3038" t="str">
        <f t="shared" si="76"/>
        <v>1</v>
      </c>
      <c r="C3038" t="s">
        <v>493</v>
      </c>
      <c r="D3038">
        <v>45712</v>
      </c>
      <c r="E3038" s="2">
        <v>425</v>
      </c>
      <c r="F3038" s="1">
        <v>42978</v>
      </c>
      <c r="G3038" t="str">
        <f>"201709084792"</f>
        <v>201709084792</v>
      </c>
      <c r="H3038" t="str">
        <f>"Miscella"</f>
        <v>Miscella</v>
      </c>
      <c r="I3038" s="2">
        <v>425</v>
      </c>
      <c r="J3038" t="str">
        <f>"CITIZENS STATE BANK"</f>
        <v>CITIZENS STATE BANK</v>
      </c>
    </row>
    <row r="3039" spans="1:10" x14ac:dyDescent="0.3">
      <c r="A3039" t="str">
        <f t="shared" si="75"/>
        <v>01</v>
      </c>
      <c r="B3039" t="str">
        <f t="shared" si="76"/>
        <v>1</v>
      </c>
      <c r="C3039" t="s">
        <v>494</v>
      </c>
      <c r="D3039">
        <v>45713</v>
      </c>
      <c r="E3039" s="2">
        <v>50</v>
      </c>
      <c r="F3039" s="1">
        <v>42978</v>
      </c>
      <c r="G3039" t="str">
        <f>"201709084793"</f>
        <v>201709084793</v>
      </c>
      <c r="H3039" t="str">
        <f>"Miscellaneous"</f>
        <v>Miscellaneous</v>
      </c>
      <c r="I3039" s="2">
        <v>50</v>
      </c>
      <c r="J3039" t="str">
        <f>"CLARA LITTLES"</f>
        <v>CLARA LITTLES</v>
      </c>
    </row>
    <row r="3040" spans="1:10" x14ac:dyDescent="0.3">
      <c r="A3040" t="str">
        <f t="shared" si="75"/>
        <v>01</v>
      </c>
      <c r="B3040" t="str">
        <f t="shared" si="76"/>
        <v>1</v>
      </c>
      <c r="C3040" t="s">
        <v>495</v>
      </c>
      <c r="D3040">
        <v>45714</v>
      </c>
      <c r="E3040" s="2">
        <v>50</v>
      </c>
      <c r="F3040" s="1">
        <v>42978</v>
      </c>
      <c r="G3040" t="str">
        <f>"201709084794"</f>
        <v>201709084794</v>
      </c>
      <c r="H3040" t="str">
        <f>"Miscellaneous"</f>
        <v>Miscellaneous</v>
      </c>
      <c r="I3040" s="2">
        <v>50</v>
      </c>
      <c r="J3040" t="str">
        <f>"DANTE CRENSHAW"</f>
        <v>DANTE CRENSHAW</v>
      </c>
    </row>
    <row r="3041" spans="1:10" x14ac:dyDescent="0.3">
      <c r="A3041" t="str">
        <f t="shared" si="75"/>
        <v>01</v>
      </c>
      <c r="B3041" t="str">
        <f t="shared" si="76"/>
        <v>1</v>
      </c>
      <c r="C3041" t="s">
        <v>496</v>
      </c>
      <c r="D3041">
        <v>45715</v>
      </c>
      <c r="E3041" s="2">
        <v>240</v>
      </c>
      <c r="F3041" s="1">
        <v>42978</v>
      </c>
      <c r="G3041" t="str">
        <f>"201709084795"</f>
        <v>201709084795</v>
      </c>
      <c r="H3041" t="str">
        <f>"Miscellane"</f>
        <v>Miscellane</v>
      </c>
      <c r="I3041" s="2">
        <v>240</v>
      </c>
      <c r="J3041" t="str">
        <f>"DAVID EASLEY  JR."</f>
        <v>DAVID EASLEY  JR.</v>
      </c>
    </row>
    <row r="3042" spans="1:10" x14ac:dyDescent="0.3">
      <c r="A3042" t="str">
        <f t="shared" si="75"/>
        <v>01</v>
      </c>
      <c r="B3042" t="str">
        <f t="shared" si="76"/>
        <v>1</v>
      </c>
      <c r="C3042" t="s">
        <v>497</v>
      </c>
      <c r="D3042">
        <v>45716</v>
      </c>
      <c r="E3042" s="2">
        <v>230</v>
      </c>
      <c r="F3042" s="1">
        <v>42978</v>
      </c>
      <c r="G3042" t="str">
        <f>"201709084796"</f>
        <v>201709084796</v>
      </c>
      <c r="H3042" t="str">
        <f>"Miscellaneous"</f>
        <v>Miscellaneous</v>
      </c>
      <c r="I3042" s="2">
        <v>230</v>
      </c>
      <c r="J3042" t="str">
        <f>"DAVID HAILE"</f>
        <v>DAVID HAILE</v>
      </c>
    </row>
    <row r="3043" spans="1:10" x14ac:dyDescent="0.3">
      <c r="A3043" t="str">
        <f t="shared" si="75"/>
        <v>01</v>
      </c>
      <c r="B3043" t="str">
        <f t="shared" si="76"/>
        <v>1</v>
      </c>
      <c r="C3043" t="s">
        <v>498</v>
      </c>
      <c r="D3043">
        <v>45717</v>
      </c>
      <c r="E3043" s="2">
        <v>165</v>
      </c>
      <c r="F3043" s="1">
        <v>42978</v>
      </c>
      <c r="G3043" t="str">
        <f>"201709084797"</f>
        <v>201709084797</v>
      </c>
      <c r="H3043" t="str">
        <f>"Miscellaneous"</f>
        <v>Miscellaneous</v>
      </c>
      <c r="I3043" s="2">
        <v>165</v>
      </c>
      <c r="J3043" t="str">
        <f>"DEBORAH TATUM"</f>
        <v>DEBORAH TATUM</v>
      </c>
    </row>
    <row r="3044" spans="1:10" x14ac:dyDescent="0.3">
      <c r="A3044" t="str">
        <f t="shared" si="75"/>
        <v>01</v>
      </c>
      <c r="B3044" t="str">
        <f t="shared" si="76"/>
        <v>1</v>
      </c>
      <c r="C3044" t="s">
        <v>499</v>
      </c>
      <c r="D3044">
        <v>45718</v>
      </c>
      <c r="E3044" s="2">
        <v>20</v>
      </c>
      <c r="F3044" s="1">
        <v>42978</v>
      </c>
      <c r="G3044" t="str">
        <f>"201709084798"</f>
        <v>201709084798</v>
      </c>
      <c r="H3044" t="str">
        <f>"Miscellaneou"</f>
        <v>Miscellaneou</v>
      </c>
      <c r="I3044" s="2">
        <v>20</v>
      </c>
      <c r="J3044" t="str">
        <f>"EARL L. JOHNSON"</f>
        <v>EARL L. JOHNSON</v>
      </c>
    </row>
    <row r="3045" spans="1:10" x14ac:dyDescent="0.3">
      <c r="A3045" t="str">
        <f t="shared" si="75"/>
        <v>01</v>
      </c>
      <c r="B3045" t="str">
        <f t="shared" si="76"/>
        <v>1</v>
      </c>
      <c r="C3045" t="s">
        <v>500</v>
      </c>
      <c r="D3045">
        <v>45719</v>
      </c>
      <c r="E3045" s="2">
        <v>95</v>
      </c>
      <c r="F3045" s="1">
        <v>42978</v>
      </c>
      <c r="G3045" t="str">
        <f>"201709084799"</f>
        <v>201709084799</v>
      </c>
      <c r="H3045" t="str">
        <f>""</f>
        <v/>
      </c>
      <c r="I3045" s="2">
        <v>95</v>
      </c>
      <c r="J3045" t="str">
        <f>"FIRST NATIONAL BANK OF GIDDING"</f>
        <v>FIRST NATIONAL BANK OF GIDDING</v>
      </c>
    </row>
    <row r="3046" spans="1:10" x14ac:dyDescent="0.3">
      <c r="A3046" t="str">
        <f t="shared" si="75"/>
        <v>01</v>
      </c>
      <c r="B3046" t="str">
        <f t="shared" si="76"/>
        <v>1</v>
      </c>
      <c r="C3046" t="s">
        <v>501</v>
      </c>
      <c r="D3046">
        <v>45720</v>
      </c>
      <c r="E3046" s="2">
        <v>50</v>
      </c>
      <c r="F3046" s="1">
        <v>42978</v>
      </c>
      <c r="G3046" t="str">
        <f>"201709084800"</f>
        <v>201709084800</v>
      </c>
      <c r="H3046" t="str">
        <f>"Miscell"</f>
        <v>Miscell</v>
      </c>
      <c r="I3046" s="2">
        <v>50</v>
      </c>
      <c r="J3046" t="str">
        <f>"GOOD LIFE RANCH  LLC"</f>
        <v>GOOD LIFE RANCH  LLC</v>
      </c>
    </row>
    <row r="3047" spans="1:10" x14ac:dyDescent="0.3">
      <c r="A3047" t="str">
        <f t="shared" si="75"/>
        <v>01</v>
      </c>
      <c r="B3047" t="str">
        <f t="shared" si="76"/>
        <v>1</v>
      </c>
      <c r="C3047" t="s">
        <v>502</v>
      </c>
      <c r="D3047">
        <v>45721</v>
      </c>
      <c r="E3047" s="2">
        <v>1235</v>
      </c>
      <c r="F3047" s="1">
        <v>42978</v>
      </c>
      <c r="G3047" t="str">
        <f>"201709084801"</f>
        <v>201709084801</v>
      </c>
      <c r="H3047" t="str">
        <f>"M"</f>
        <v>M</v>
      </c>
      <c r="I3047" s="2">
        <v>1235</v>
      </c>
      <c r="J3047" t="str">
        <f>"HHSC ARTS (MAIL CODE 1470)"</f>
        <v>HHSC ARTS (MAIL CODE 1470)</v>
      </c>
    </row>
    <row r="3048" spans="1:10" x14ac:dyDescent="0.3">
      <c r="A3048" t="str">
        <f t="shared" si="75"/>
        <v>01</v>
      </c>
      <c r="B3048" t="str">
        <f t="shared" si="76"/>
        <v>1</v>
      </c>
      <c r="C3048" t="s">
        <v>503</v>
      </c>
      <c r="D3048">
        <v>45722</v>
      </c>
      <c r="E3048" s="2">
        <v>191</v>
      </c>
      <c r="F3048" s="1">
        <v>42978</v>
      </c>
      <c r="G3048" t="str">
        <f>"201709084802"</f>
        <v>201709084802</v>
      </c>
      <c r="H3048" t="str">
        <f>"Miscellaneous"</f>
        <v>Miscellaneous</v>
      </c>
      <c r="I3048" s="2">
        <v>191</v>
      </c>
      <c r="J3048" t="str">
        <f>"ISIAH FRANKLIN"</f>
        <v>ISIAH FRANKLIN</v>
      </c>
    </row>
    <row r="3049" spans="1:10" x14ac:dyDescent="0.3">
      <c r="A3049" t="str">
        <f t="shared" si="75"/>
        <v>01</v>
      </c>
      <c r="B3049" t="str">
        <f t="shared" si="76"/>
        <v>1</v>
      </c>
      <c r="C3049" t="s">
        <v>504</v>
      </c>
      <c r="D3049">
        <v>45723</v>
      </c>
      <c r="E3049" s="2">
        <v>100</v>
      </c>
      <c r="F3049" s="1">
        <v>42978</v>
      </c>
      <c r="G3049" t="str">
        <f>"201709084803"</f>
        <v>201709084803</v>
      </c>
      <c r="H3049" t="str">
        <f>"Miscellaneous"</f>
        <v>Miscellaneous</v>
      </c>
      <c r="I3049" s="2">
        <v>100</v>
      </c>
      <c r="J3049" t="str">
        <f>"JAMES BATES"</f>
        <v>JAMES BATES</v>
      </c>
    </row>
    <row r="3050" spans="1:10" x14ac:dyDescent="0.3">
      <c r="A3050" t="str">
        <f t="shared" si="75"/>
        <v>01</v>
      </c>
      <c r="B3050" t="str">
        <f t="shared" si="76"/>
        <v>1</v>
      </c>
      <c r="C3050" t="s">
        <v>505</v>
      </c>
      <c r="D3050">
        <v>45724</v>
      </c>
      <c r="E3050" s="2">
        <v>400</v>
      </c>
      <c r="F3050" s="1">
        <v>42978</v>
      </c>
      <c r="G3050" t="str">
        <f>"201709084804"</f>
        <v>201709084804</v>
      </c>
      <c r="H3050" t="str">
        <f>"Miscellaneous"</f>
        <v>Miscellaneous</v>
      </c>
      <c r="I3050" s="2">
        <v>400</v>
      </c>
      <c r="J3050" t="str">
        <f>"JB HUNT"</f>
        <v>JB HUNT</v>
      </c>
    </row>
    <row r="3051" spans="1:10" x14ac:dyDescent="0.3">
      <c r="A3051" t="str">
        <f t="shared" si="75"/>
        <v>01</v>
      </c>
      <c r="B3051" t="str">
        <f t="shared" si="76"/>
        <v>1</v>
      </c>
      <c r="C3051" t="s">
        <v>506</v>
      </c>
      <c r="D3051">
        <v>45725</v>
      </c>
      <c r="E3051" s="2">
        <v>133</v>
      </c>
      <c r="F3051" s="1">
        <v>42978</v>
      </c>
      <c r="G3051" t="str">
        <f>"201709084805"</f>
        <v>201709084805</v>
      </c>
      <c r="H3051" t="str">
        <f>""</f>
        <v/>
      </c>
      <c r="I3051" s="2">
        <v>133</v>
      </c>
      <c r="J3051" t="str">
        <f>"JERRY EDMOND FAMILY WORSHIP CE"</f>
        <v>JERRY EDMOND FAMILY WORSHIP CE</v>
      </c>
    </row>
    <row r="3052" spans="1:10" x14ac:dyDescent="0.3">
      <c r="A3052" t="str">
        <f t="shared" si="75"/>
        <v>01</v>
      </c>
      <c r="B3052" t="str">
        <f t="shared" si="76"/>
        <v>1</v>
      </c>
      <c r="C3052" t="s">
        <v>507</v>
      </c>
      <c r="D3052">
        <v>45726</v>
      </c>
      <c r="E3052" s="2">
        <v>100</v>
      </c>
      <c r="F3052" s="1">
        <v>42978</v>
      </c>
      <c r="G3052" t="str">
        <f>"201709084806"</f>
        <v>201709084806</v>
      </c>
      <c r="H3052" t="str">
        <f>"Miscellaneous"</f>
        <v>Miscellaneous</v>
      </c>
      <c r="I3052" s="2">
        <v>100</v>
      </c>
      <c r="J3052" t="str">
        <f>"KATHRYN SERRA"</f>
        <v>KATHRYN SERRA</v>
      </c>
    </row>
    <row r="3053" spans="1:10" x14ac:dyDescent="0.3">
      <c r="A3053" t="str">
        <f t="shared" si="75"/>
        <v>01</v>
      </c>
      <c r="B3053" t="str">
        <f t="shared" si="76"/>
        <v>1</v>
      </c>
      <c r="C3053" t="s">
        <v>508</v>
      </c>
      <c r="D3053">
        <v>45727</v>
      </c>
      <c r="E3053" s="2">
        <v>134</v>
      </c>
      <c r="F3053" s="1">
        <v>42978</v>
      </c>
      <c r="G3053" t="str">
        <f>"201709084807"</f>
        <v>201709084807</v>
      </c>
      <c r="H3053" t="str">
        <f>"Miscellaneous"</f>
        <v>Miscellaneous</v>
      </c>
      <c r="I3053" s="2">
        <v>134</v>
      </c>
      <c r="J3053" t="str">
        <f>"KEVIN EDWARDS"</f>
        <v>KEVIN EDWARDS</v>
      </c>
    </row>
    <row r="3054" spans="1:10" x14ac:dyDescent="0.3">
      <c r="A3054" t="str">
        <f t="shared" si="75"/>
        <v>01</v>
      </c>
      <c r="B3054" t="str">
        <f t="shared" si="76"/>
        <v>1</v>
      </c>
      <c r="C3054" t="s">
        <v>509</v>
      </c>
      <c r="D3054">
        <v>45728</v>
      </c>
      <c r="E3054" s="2">
        <v>60</v>
      </c>
      <c r="F3054" s="1">
        <v>42978</v>
      </c>
      <c r="G3054" t="str">
        <f>"201709084808"</f>
        <v>201709084808</v>
      </c>
      <c r="H3054" t="str">
        <f>"Miscella"</f>
        <v>Miscella</v>
      </c>
      <c r="I3054" s="2">
        <v>60</v>
      </c>
      <c r="J3054" t="str">
        <f>"LUIS OROSTIETA  JR."</f>
        <v>LUIS OROSTIETA  JR.</v>
      </c>
    </row>
    <row r="3055" spans="1:10" x14ac:dyDescent="0.3">
      <c r="A3055" t="str">
        <f t="shared" si="75"/>
        <v>01</v>
      </c>
      <c r="B3055" t="str">
        <f t="shared" si="76"/>
        <v>1</v>
      </c>
      <c r="C3055" t="s">
        <v>510</v>
      </c>
      <c r="D3055">
        <v>45729</v>
      </c>
      <c r="E3055" s="2">
        <v>104</v>
      </c>
      <c r="F3055" s="1">
        <v>42978</v>
      </c>
      <c r="G3055" t="str">
        <f>"201709084809"</f>
        <v>201709084809</v>
      </c>
      <c r="H3055" t="str">
        <f>"Miscellaneous"</f>
        <v>Miscellaneous</v>
      </c>
      <c r="I3055" s="2">
        <v>104</v>
      </c>
      <c r="J3055" t="str">
        <f>"MIKE GUTHRIE"</f>
        <v>MIKE GUTHRIE</v>
      </c>
    </row>
    <row r="3056" spans="1:10" x14ac:dyDescent="0.3">
      <c r="A3056" t="str">
        <f t="shared" si="75"/>
        <v>01</v>
      </c>
      <c r="B3056" t="str">
        <f t="shared" si="76"/>
        <v>1</v>
      </c>
      <c r="C3056" t="s">
        <v>511</v>
      </c>
      <c r="D3056">
        <v>45730</v>
      </c>
      <c r="E3056" s="2">
        <v>200</v>
      </c>
      <c r="F3056" s="1">
        <v>42978</v>
      </c>
      <c r="G3056" t="str">
        <f>"201709084810"</f>
        <v>201709084810</v>
      </c>
      <c r="H3056" t="str">
        <f>"Miscellaneous"</f>
        <v>Miscellaneous</v>
      </c>
      <c r="I3056" s="2">
        <v>200</v>
      </c>
      <c r="J3056" t="str">
        <f>"MIKE HORNE"</f>
        <v>MIKE HORNE</v>
      </c>
    </row>
    <row r="3057" spans="1:10" x14ac:dyDescent="0.3">
      <c r="A3057" t="str">
        <f t="shared" si="75"/>
        <v>01</v>
      </c>
      <c r="B3057" t="str">
        <f t="shared" si="76"/>
        <v>1</v>
      </c>
      <c r="C3057" t="s">
        <v>512</v>
      </c>
      <c r="D3057">
        <v>45731</v>
      </c>
      <c r="E3057" s="2">
        <v>70</v>
      </c>
      <c r="F3057" s="1">
        <v>42978</v>
      </c>
      <c r="G3057" t="str">
        <f>"201709084811"</f>
        <v>201709084811</v>
      </c>
      <c r="H3057" t="str">
        <f>"Miscellaneous"</f>
        <v>Miscellaneous</v>
      </c>
      <c r="I3057" s="2">
        <v>70</v>
      </c>
      <c r="J3057" t="str">
        <f>"MURPHY USA"</f>
        <v>MURPHY USA</v>
      </c>
    </row>
    <row r="3058" spans="1:10" x14ac:dyDescent="0.3">
      <c r="A3058" t="str">
        <f t="shared" ref="A3058:A3089" si="77">"01"</f>
        <v>01</v>
      </c>
      <c r="B3058" t="str">
        <f t="shared" ref="B3058:B3089" si="78">"1"</f>
        <v>1</v>
      </c>
      <c r="C3058" t="s">
        <v>513</v>
      </c>
      <c r="D3058">
        <v>45732</v>
      </c>
      <c r="E3058" s="2">
        <v>125</v>
      </c>
      <c r="F3058" s="1">
        <v>42978</v>
      </c>
      <c r="G3058" t="str">
        <f>"201709084812"</f>
        <v>201709084812</v>
      </c>
      <c r="H3058" t="str">
        <f>"Miscellaneous"</f>
        <v>Miscellaneous</v>
      </c>
      <c r="I3058" s="2">
        <v>125</v>
      </c>
      <c r="J3058" t="str">
        <f>"PALAIS ROYAL"</f>
        <v>PALAIS ROYAL</v>
      </c>
    </row>
    <row r="3059" spans="1:10" x14ac:dyDescent="0.3">
      <c r="A3059" t="str">
        <f t="shared" si="77"/>
        <v>01</v>
      </c>
      <c r="B3059" t="str">
        <f t="shared" si="78"/>
        <v>1</v>
      </c>
      <c r="C3059" t="s">
        <v>514</v>
      </c>
      <c r="D3059">
        <v>45733</v>
      </c>
      <c r="E3059" s="2">
        <v>450</v>
      </c>
      <c r="F3059" s="1">
        <v>42978</v>
      </c>
      <c r="G3059" t="str">
        <f>"201709084813"</f>
        <v>201709084813</v>
      </c>
      <c r="H3059" t="str">
        <f>"Miscellaneo"</f>
        <v>Miscellaneo</v>
      </c>
      <c r="I3059" s="2">
        <v>450</v>
      </c>
      <c r="J3059" t="str">
        <f>"PATRICIA BARNETT"</f>
        <v>PATRICIA BARNETT</v>
      </c>
    </row>
    <row r="3060" spans="1:10" x14ac:dyDescent="0.3">
      <c r="A3060" t="str">
        <f t="shared" si="77"/>
        <v>01</v>
      </c>
      <c r="B3060" t="str">
        <f t="shared" si="78"/>
        <v>1</v>
      </c>
      <c r="C3060" t="s">
        <v>515</v>
      </c>
      <c r="D3060">
        <v>45734</v>
      </c>
      <c r="E3060" s="2">
        <v>60</v>
      </c>
      <c r="F3060" s="1">
        <v>42978</v>
      </c>
      <c r="G3060" t="str">
        <f>"201709084814"</f>
        <v>201709084814</v>
      </c>
      <c r="H3060" t="str">
        <f>"Miscellaneou"</f>
        <v>Miscellaneou</v>
      </c>
      <c r="I3060" s="2">
        <v>60</v>
      </c>
      <c r="J3060" t="str">
        <f>"RAMONA CASTILLO"</f>
        <v>RAMONA CASTILLO</v>
      </c>
    </row>
    <row r="3061" spans="1:10" x14ac:dyDescent="0.3">
      <c r="A3061" t="str">
        <f t="shared" si="77"/>
        <v>01</v>
      </c>
      <c r="B3061" t="str">
        <f t="shared" si="78"/>
        <v>1</v>
      </c>
      <c r="C3061" t="s">
        <v>516</v>
      </c>
      <c r="D3061">
        <v>45735</v>
      </c>
      <c r="E3061" s="2">
        <v>50</v>
      </c>
      <c r="F3061" s="1">
        <v>42978</v>
      </c>
      <c r="G3061" t="str">
        <f>"201709084815"</f>
        <v>201709084815</v>
      </c>
      <c r="H3061" t="str">
        <f>"Misc"</f>
        <v>Misc</v>
      </c>
      <c r="I3061" s="2">
        <v>50</v>
      </c>
      <c r="J3061" t="str">
        <f>"RICHARD FIELDING CLARKE"</f>
        <v>RICHARD FIELDING CLARKE</v>
      </c>
    </row>
    <row r="3062" spans="1:10" x14ac:dyDescent="0.3">
      <c r="A3062" t="str">
        <f t="shared" si="77"/>
        <v>01</v>
      </c>
      <c r="B3062" t="str">
        <f t="shared" si="78"/>
        <v>1</v>
      </c>
      <c r="C3062" t="s">
        <v>517</v>
      </c>
      <c r="D3062">
        <v>45736</v>
      </c>
      <c r="E3062" s="2">
        <v>171</v>
      </c>
      <c r="F3062" s="1">
        <v>42978</v>
      </c>
      <c r="G3062" t="str">
        <f>"201709084816"</f>
        <v>201709084816</v>
      </c>
      <c r="H3062" t="str">
        <f>"Miscellaneo"</f>
        <v>Miscellaneo</v>
      </c>
      <c r="I3062" s="2">
        <v>171</v>
      </c>
      <c r="J3062" t="str">
        <f>"SHERWIN SIEGMUND"</f>
        <v>SHERWIN SIEGMUND</v>
      </c>
    </row>
    <row r="3063" spans="1:10" x14ac:dyDescent="0.3">
      <c r="A3063" t="str">
        <f t="shared" si="77"/>
        <v>01</v>
      </c>
      <c r="B3063" t="str">
        <f t="shared" si="78"/>
        <v>1</v>
      </c>
      <c r="C3063" t="s">
        <v>518</v>
      </c>
      <c r="D3063">
        <v>45737</v>
      </c>
      <c r="E3063" s="2">
        <v>1270</v>
      </c>
      <c r="F3063" s="1">
        <v>42978</v>
      </c>
      <c r="G3063" t="str">
        <f>"201709084817"</f>
        <v>201709084817</v>
      </c>
      <c r="H3063" t="str">
        <f>""</f>
        <v/>
      </c>
      <c r="I3063" s="2">
        <v>1270</v>
      </c>
      <c r="J3063" t="str">
        <f>"SMITHVILLE HOUSING AUTHORITY"</f>
        <v>SMITHVILLE HOUSING AUTHORITY</v>
      </c>
    </row>
    <row r="3064" spans="1:10" x14ac:dyDescent="0.3">
      <c r="A3064" t="str">
        <f t="shared" si="77"/>
        <v>01</v>
      </c>
      <c r="B3064" t="str">
        <f t="shared" si="78"/>
        <v>1</v>
      </c>
      <c r="C3064" t="s">
        <v>519</v>
      </c>
      <c r="D3064">
        <v>45738</v>
      </c>
      <c r="E3064" s="2">
        <v>325</v>
      </c>
      <c r="F3064" s="1">
        <v>42978</v>
      </c>
      <c r="G3064" t="str">
        <f>"201709084818"</f>
        <v>201709084818</v>
      </c>
      <c r="H3064" t="str">
        <f>"Miscellaneous"</f>
        <v>Miscellaneous</v>
      </c>
      <c r="I3064" s="2">
        <v>325</v>
      </c>
      <c r="J3064" t="str">
        <f>"SOMERVILLE ISD"</f>
        <v>SOMERVILLE ISD</v>
      </c>
    </row>
    <row r="3065" spans="1:10" x14ac:dyDescent="0.3">
      <c r="A3065" t="str">
        <f t="shared" si="77"/>
        <v>01</v>
      </c>
      <c r="B3065" t="str">
        <f t="shared" si="78"/>
        <v>1</v>
      </c>
      <c r="C3065" t="s">
        <v>520</v>
      </c>
      <c r="D3065">
        <v>45739</v>
      </c>
      <c r="E3065" s="2">
        <v>210</v>
      </c>
      <c r="F3065" s="1">
        <v>42978</v>
      </c>
      <c r="G3065" t="str">
        <f>"201709084819"</f>
        <v>201709084819</v>
      </c>
      <c r="H3065" t="str">
        <f>"Miscel"</f>
        <v>Miscel</v>
      </c>
      <c r="I3065" s="2">
        <v>210</v>
      </c>
      <c r="J3065" t="str">
        <f>"SPEEDY STOP CORPORATE"</f>
        <v>SPEEDY STOP CORPORATE</v>
      </c>
    </row>
    <row r="3066" spans="1:10" x14ac:dyDescent="0.3">
      <c r="A3066" t="str">
        <f t="shared" si="77"/>
        <v>01</v>
      </c>
      <c r="B3066" t="str">
        <f t="shared" si="78"/>
        <v>1</v>
      </c>
      <c r="C3066" t="s">
        <v>521</v>
      </c>
      <c r="D3066">
        <v>45740</v>
      </c>
      <c r="E3066" s="2">
        <v>276</v>
      </c>
      <c r="F3066" s="1">
        <v>42978</v>
      </c>
      <c r="G3066" t="str">
        <f>"201709084820"</f>
        <v>201709084820</v>
      </c>
      <c r="H3066" t="str">
        <f>"Miscellaneous"</f>
        <v>Miscellaneous</v>
      </c>
      <c r="I3066" s="2">
        <v>276</v>
      </c>
      <c r="J3066" t="str">
        <f>"STATE FARM"</f>
        <v>STATE FARM</v>
      </c>
    </row>
    <row r="3067" spans="1:10" x14ac:dyDescent="0.3">
      <c r="A3067" t="str">
        <f t="shared" si="77"/>
        <v>01</v>
      </c>
      <c r="B3067" t="str">
        <f t="shared" si="78"/>
        <v>1</v>
      </c>
      <c r="C3067" t="s">
        <v>522</v>
      </c>
      <c r="D3067">
        <v>45741</v>
      </c>
      <c r="E3067" s="2">
        <v>100</v>
      </c>
      <c r="F3067" s="1">
        <v>42978</v>
      </c>
      <c r="G3067" t="str">
        <f>"201709084821"</f>
        <v>201709084821</v>
      </c>
      <c r="H3067" t="str">
        <f>"Miscellaneo"</f>
        <v>Miscellaneo</v>
      </c>
      <c r="I3067" s="2">
        <v>100</v>
      </c>
      <c r="J3067" t="str">
        <f>"STATE FARM LLOYD"</f>
        <v>STATE FARM LLOYD</v>
      </c>
    </row>
    <row r="3068" spans="1:10" x14ac:dyDescent="0.3">
      <c r="A3068" t="str">
        <f t="shared" si="77"/>
        <v>01</v>
      </c>
      <c r="B3068" t="str">
        <f t="shared" si="78"/>
        <v>1</v>
      </c>
      <c r="C3068" t="s">
        <v>523</v>
      </c>
      <c r="D3068">
        <v>45742</v>
      </c>
      <c r="E3068" s="2">
        <v>60</v>
      </c>
      <c r="F3068" s="1">
        <v>42978</v>
      </c>
      <c r="G3068" t="str">
        <f>"201709084822"</f>
        <v>201709084822</v>
      </c>
      <c r="H3068" t="str">
        <f>"Miscella"</f>
        <v>Miscella</v>
      </c>
      <c r="I3068" s="2">
        <v>60</v>
      </c>
      <c r="J3068" t="str">
        <f>"STEVEN WAYNE MEDACK"</f>
        <v>STEVEN WAYNE MEDACK</v>
      </c>
    </row>
    <row r="3069" spans="1:10" x14ac:dyDescent="0.3">
      <c r="A3069" t="str">
        <f t="shared" si="77"/>
        <v>01</v>
      </c>
      <c r="B3069" t="str">
        <f t="shared" si="78"/>
        <v>1</v>
      </c>
      <c r="C3069" t="s">
        <v>524</v>
      </c>
      <c r="D3069">
        <v>45743</v>
      </c>
      <c r="E3069" s="2">
        <v>320</v>
      </c>
      <c r="F3069" s="1">
        <v>42978</v>
      </c>
      <c r="G3069" t="str">
        <f>"201709084823"</f>
        <v>201709084823</v>
      </c>
      <c r="H3069" t="str">
        <f>"Miscellaneous"</f>
        <v>Miscellaneous</v>
      </c>
      <c r="I3069" s="2">
        <v>320</v>
      </c>
      <c r="J3069" t="str">
        <f>"STRIPES"</f>
        <v>STRIPES</v>
      </c>
    </row>
    <row r="3070" spans="1:10" x14ac:dyDescent="0.3">
      <c r="A3070" t="str">
        <f t="shared" si="77"/>
        <v>01</v>
      </c>
      <c r="B3070" t="str">
        <f t="shared" si="78"/>
        <v>1</v>
      </c>
      <c r="C3070" t="s">
        <v>525</v>
      </c>
      <c r="D3070">
        <v>45744</v>
      </c>
      <c r="E3070" s="2">
        <v>100</v>
      </c>
      <c r="F3070" s="1">
        <v>42978</v>
      </c>
      <c r="G3070" t="str">
        <f>"201709084824"</f>
        <v>201709084824</v>
      </c>
      <c r="H3070" t="str">
        <f>"Miscellaneous"</f>
        <v>Miscellaneous</v>
      </c>
      <c r="I3070" s="2">
        <v>100</v>
      </c>
      <c r="J3070" t="str">
        <f>"SYLVIA DELEON"</f>
        <v>SYLVIA DELEON</v>
      </c>
    </row>
    <row r="3071" spans="1:10" x14ac:dyDescent="0.3">
      <c r="A3071" t="str">
        <f t="shared" si="77"/>
        <v>01</v>
      </c>
      <c r="B3071" t="str">
        <f t="shared" si="78"/>
        <v>1</v>
      </c>
      <c r="C3071" t="s">
        <v>526</v>
      </c>
      <c r="D3071">
        <v>45745</v>
      </c>
      <c r="E3071" s="2">
        <v>192</v>
      </c>
      <c r="F3071" s="1">
        <v>42978</v>
      </c>
      <c r="G3071" t="str">
        <f>"201709084825"</f>
        <v>201709084825</v>
      </c>
      <c r="H3071" t="str">
        <f>"Miscellaneous"</f>
        <v>Miscellaneous</v>
      </c>
      <c r="I3071" s="2">
        <v>192</v>
      </c>
      <c r="J3071" t="str">
        <f>"TAYLOR PAWN"</f>
        <v>TAYLOR PAWN</v>
      </c>
    </row>
    <row r="3072" spans="1:10" x14ac:dyDescent="0.3">
      <c r="A3072" t="str">
        <f t="shared" si="77"/>
        <v>01</v>
      </c>
      <c r="B3072" t="str">
        <f t="shared" si="78"/>
        <v>1</v>
      </c>
      <c r="C3072" t="s">
        <v>527</v>
      </c>
      <c r="D3072">
        <v>45746</v>
      </c>
      <c r="E3072" s="2">
        <v>240</v>
      </c>
      <c r="F3072" s="1">
        <v>42978</v>
      </c>
      <c r="G3072" t="str">
        <f>"201709084826"</f>
        <v>201709084826</v>
      </c>
      <c r="H3072" t="str">
        <f>""</f>
        <v/>
      </c>
      <c r="I3072" s="2">
        <v>240</v>
      </c>
      <c r="J3072" t="str">
        <f>"TEXAS DPS  RESTITUTION ACCOUNT"</f>
        <v>TEXAS DPS  RESTITUTION ACCOUNT</v>
      </c>
    </row>
    <row r="3073" spans="1:10" x14ac:dyDescent="0.3">
      <c r="A3073" t="str">
        <f t="shared" si="77"/>
        <v>01</v>
      </c>
      <c r="B3073" t="str">
        <f t="shared" si="78"/>
        <v>1</v>
      </c>
      <c r="C3073" t="s">
        <v>528</v>
      </c>
      <c r="D3073">
        <v>45747</v>
      </c>
      <c r="E3073" s="2">
        <v>165</v>
      </c>
      <c r="F3073" s="1">
        <v>42978</v>
      </c>
      <c r="G3073" t="str">
        <f>"201709084827"</f>
        <v>201709084827</v>
      </c>
      <c r="H3073" t="str">
        <f>"Misce"</f>
        <v>Misce</v>
      </c>
      <c r="I3073" s="2">
        <v>165</v>
      </c>
      <c r="J3073" t="str">
        <f>"TEXAS MUNICIPAL LEAGUE"</f>
        <v>TEXAS MUNICIPAL LEAGUE</v>
      </c>
    </row>
    <row r="3074" spans="1:10" x14ac:dyDescent="0.3">
      <c r="A3074" t="str">
        <f t="shared" si="77"/>
        <v>01</v>
      </c>
      <c r="B3074" t="str">
        <f t="shared" si="78"/>
        <v>1</v>
      </c>
      <c r="C3074" t="s">
        <v>529</v>
      </c>
      <c r="D3074">
        <v>45748</v>
      </c>
      <c r="E3074" s="2">
        <v>70</v>
      </c>
      <c r="F3074" s="1">
        <v>42978</v>
      </c>
      <c r="G3074" t="str">
        <f>"201709084828"</f>
        <v>201709084828</v>
      </c>
      <c r="H3074" t="str">
        <f>"Miscellaneous"</f>
        <v>Miscellaneous</v>
      </c>
      <c r="I3074" s="2">
        <v>70</v>
      </c>
      <c r="J3074" t="str">
        <f>"TOOTSIE'S"</f>
        <v>TOOTSIE'S</v>
      </c>
    </row>
    <row r="3075" spans="1:10" x14ac:dyDescent="0.3">
      <c r="A3075" t="str">
        <f t="shared" si="77"/>
        <v>01</v>
      </c>
      <c r="B3075" t="str">
        <f t="shared" si="78"/>
        <v>1</v>
      </c>
      <c r="C3075" t="s">
        <v>530</v>
      </c>
      <c r="D3075">
        <v>45749</v>
      </c>
      <c r="E3075" s="2">
        <v>60</v>
      </c>
      <c r="F3075" s="1">
        <v>42978</v>
      </c>
      <c r="G3075" t="str">
        <f>"201709084829"</f>
        <v>201709084829</v>
      </c>
      <c r="H3075" t="str">
        <f>"Miscellan"</f>
        <v>Miscellan</v>
      </c>
      <c r="I3075" s="2">
        <v>60</v>
      </c>
      <c r="J3075" t="str">
        <f>"TRACY JOSEPH ISELT"</f>
        <v>TRACY JOSEPH ISELT</v>
      </c>
    </row>
    <row r="3076" spans="1:10" x14ac:dyDescent="0.3">
      <c r="A3076" t="str">
        <f t="shared" si="77"/>
        <v>01</v>
      </c>
      <c r="B3076" t="str">
        <f t="shared" si="78"/>
        <v>1</v>
      </c>
      <c r="C3076" t="s">
        <v>531</v>
      </c>
      <c r="D3076">
        <v>45750</v>
      </c>
      <c r="E3076" s="2">
        <v>150</v>
      </c>
      <c r="F3076" s="1">
        <v>42978</v>
      </c>
      <c r="G3076" t="str">
        <f>"201709084830"</f>
        <v>201709084830</v>
      </c>
      <c r="H3076" t="str">
        <f>"Miscellaneous"</f>
        <v>Miscellaneous</v>
      </c>
      <c r="I3076" s="2">
        <v>150</v>
      </c>
      <c r="J3076" t="str">
        <f>"TUYET THI TRAN"</f>
        <v>TUYET THI TRAN</v>
      </c>
    </row>
    <row r="3077" spans="1:10" x14ac:dyDescent="0.3">
      <c r="A3077" t="str">
        <f t="shared" si="77"/>
        <v>01</v>
      </c>
      <c r="B3077" t="str">
        <f t="shared" si="78"/>
        <v>1</v>
      </c>
      <c r="C3077" t="s">
        <v>532</v>
      </c>
      <c r="D3077">
        <v>45751</v>
      </c>
      <c r="E3077" s="2">
        <v>300</v>
      </c>
      <c r="F3077" s="1">
        <v>42978</v>
      </c>
      <c r="G3077" t="str">
        <f>"201709084831"</f>
        <v>201709084831</v>
      </c>
      <c r="H3077" t="str">
        <f>""</f>
        <v/>
      </c>
      <c r="I3077" s="2">
        <v>300</v>
      </c>
      <c r="J3077" t="str">
        <f>"TX ASSOC OF COUNTIES RISK MANA"</f>
        <v>TX ASSOC OF COUNTIES RISK MANA</v>
      </c>
    </row>
    <row r="3078" spans="1:10" x14ac:dyDescent="0.3">
      <c r="A3078" t="str">
        <f t="shared" si="77"/>
        <v>01</v>
      </c>
      <c r="B3078" t="str">
        <f t="shared" si="78"/>
        <v>1</v>
      </c>
      <c r="C3078" t="s">
        <v>533</v>
      </c>
      <c r="D3078">
        <v>45752</v>
      </c>
      <c r="E3078" s="2">
        <v>150</v>
      </c>
      <c r="F3078" s="1">
        <v>42978</v>
      </c>
      <c r="G3078" t="str">
        <f>"201709084832"</f>
        <v>201709084832</v>
      </c>
      <c r="H3078" t="str">
        <f>""</f>
        <v/>
      </c>
      <c r="I3078" s="2">
        <v>150</v>
      </c>
      <c r="J3078" t="str">
        <f>"USAA GENERAL INDEMNITY COMPANY"</f>
        <v>USAA GENERAL INDEMNITY COMPANY</v>
      </c>
    </row>
    <row r="3079" spans="1:10" x14ac:dyDescent="0.3">
      <c r="A3079" t="str">
        <f t="shared" si="77"/>
        <v>01</v>
      </c>
      <c r="B3079" t="str">
        <f t="shared" si="78"/>
        <v>1</v>
      </c>
      <c r="C3079" t="s">
        <v>534</v>
      </c>
      <c r="D3079">
        <v>45753</v>
      </c>
      <c r="E3079" s="2">
        <v>660</v>
      </c>
      <c r="F3079" s="1">
        <v>42978</v>
      </c>
      <c r="G3079" t="str">
        <f>"201709084833"</f>
        <v>201709084833</v>
      </c>
      <c r="H3079" t="str">
        <f>""</f>
        <v/>
      </c>
      <c r="I3079" s="2">
        <v>660</v>
      </c>
      <c r="J3079" t="str">
        <f>"WAL-MART RESTITUTION RECOVERY"</f>
        <v>WAL-MART RESTITUTION RECOVERY</v>
      </c>
    </row>
    <row r="3080" spans="1:10" x14ac:dyDescent="0.3">
      <c r="A3080" t="str">
        <f t="shared" si="77"/>
        <v>01</v>
      </c>
      <c r="B3080" t="str">
        <f t="shared" si="78"/>
        <v>1</v>
      </c>
      <c r="C3080" t="s">
        <v>535</v>
      </c>
      <c r="D3080">
        <v>45754</v>
      </c>
      <c r="E3080" s="2">
        <v>200</v>
      </c>
      <c r="F3080" s="1">
        <v>42978</v>
      </c>
      <c r="G3080" t="str">
        <f>"201709084834"</f>
        <v>201709084834</v>
      </c>
      <c r="H3080" t="str">
        <f>"Miscel"</f>
        <v>Miscel</v>
      </c>
      <c r="I3080" s="2">
        <v>200</v>
      </c>
      <c r="J3080" t="str">
        <f>"WASHINGTON COUNTY EMS"</f>
        <v>WASHINGTON COUNTY EMS</v>
      </c>
    </row>
    <row r="3081" spans="1:10" x14ac:dyDescent="0.3">
      <c r="A3081" t="str">
        <f t="shared" si="77"/>
        <v>01</v>
      </c>
      <c r="B3081" t="str">
        <f t="shared" si="78"/>
        <v>1</v>
      </c>
      <c r="C3081" t="s">
        <v>536</v>
      </c>
      <c r="D3081">
        <v>45755</v>
      </c>
      <c r="E3081" s="2">
        <v>60</v>
      </c>
      <c r="F3081" s="1">
        <v>42978</v>
      </c>
      <c r="G3081" t="str">
        <f>"201709084835"</f>
        <v>201709084835</v>
      </c>
      <c r="H3081" t="str">
        <f>"CAROL"</f>
        <v>CAROL</v>
      </c>
      <c r="I3081" s="2">
        <v>60</v>
      </c>
      <c r="J3081" t="str">
        <f>"MADD - EAST TEXAS  ATTN: CAROL"</f>
        <v>MADD - EAST TEXAS  ATTN: CAROL</v>
      </c>
    </row>
    <row r="3082" spans="1:10" x14ac:dyDescent="0.3">
      <c r="A3082" t="str">
        <f t="shared" si="77"/>
        <v>01</v>
      </c>
      <c r="B3082" t="str">
        <f t="shared" si="78"/>
        <v>1</v>
      </c>
      <c r="C3082" t="s">
        <v>537</v>
      </c>
      <c r="D3082">
        <v>45756</v>
      </c>
      <c r="E3082" s="2">
        <v>875</v>
      </c>
      <c r="F3082" s="1">
        <v>42978</v>
      </c>
      <c r="G3082" t="str">
        <f>"201709084836"</f>
        <v>201709084836</v>
      </c>
      <c r="H3082" t="str">
        <f>""</f>
        <v/>
      </c>
      <c r="I3082" s="2">
        <v>875</v>
      </c>
      <c r="J3082" t="str">
        <f>"BLUEBONNET AREA CRIMESTOPPERS"</f>
        <v>BLUEBONNET AREA CRIMESTOPPERS</v>
      </c>
    </row>
    <row r="3083" spans="1:10" x14ac:dyDescent="0.3">
      <c r="A3083" t="str">
        <f t="shared" si="77"/>
        <v>01</v>
      </c>
      <c r="B3083" t="str">
        <f t="shared" si="78"/>
        <v>1</v>
      </c>
      <c r="C3083" t="s">
        <v>538</v>
      </c>
      <c r="D3083">
        <v>45757</v>
      </c>
      <c r="E3083" s="2">
        <v>185</v>
      </c>
      <c r="F3083" s="1">
        <v>42978</v>
      </c>
      <c r="G3083" t="str">
        <f>"201709084837"</f>
        <v>201709084837</v>
      </c>
      <c r="H3083" t="str">
        <f>"Mis"</f>
        <v>Mis</v>
      </c>
      <c r="I3083" s="2">
        <v>185</v>
      </c>
      <c r="J3083" t="str">
        <f>"BASTROP COUNTY TREASURER"</f>
        <v>BASTROP COUNTY TREASURER</v>
      </c>
    </row>
    <row r="3084" spans="1:10" x14ac:dyDescent="0.3">
      <c r="A3084" t="str">
        <f t="shared" si="77"/>
        <v>01</v>
      </c>
      <c r="B3084" t="str">
        <f t="shared" si="78"/>
        <v>1</v>
      </c>
      <c r="C3084" t="s">
        <v>539</v>
      </c>
      <c r="D3084">
        <v>45758</v>
      </c>
      <c r="E3084" s="2">
        <v>4463</v>
      </c>
      <c r="F3084" s="1">
        <v>42978</v>
      </c>
      <c r="G3084" t="str">
        <f>"201709084838"</f>
        <v>201709084838</v>
      </c>
      <c r="H3084" t="str">
        <f>""</f>
        <v/>
      </c>
      <c r="I3084" s="2">
        <v>4463</v>
      </c>
      <c r="J3084" t="str">
        <f>"BURLESON COUNTY DISTRICT CLERK"</f>
        <v>BURLESON COUNTY DISTRICT CLERK</v>
      </c>
    </row>
    <row r="3085" spans="1:10" x14ac:dyDescent="0.3">
      <c r="A3085" t="str">
        <f t="shared" si="77"/>
        <v>01</v>
      </c>
      <c r="B3085" t="str">
        <f t="shared" si="78"/>
        <v>1</v>
      </c>
      <c r="C3085" t="s">
        <v>540</v>
      </c>
      <c r="D3085">
        <v>45759</v>
      </c>
      <c r="E3085" s="2">
        <v>55</v>
      </c>
      <c r="F3085" s="1">
        <v>42978</v>
      </c>
      <c r="G3085" t="str">
        <f>"201709084839"</f>
        <v>201709084839</v>
      </c>
      <c r="H3085" t="str">
        <f>""</f>
        <v/>
      </c>
      <c r="I3085" s="2">
        <v>55</v>
      </c>
      <c r="J3085" t="str">
        <f>"WASHINGTON COUNTY DISTRICT CLE"</f>
        <v>WASHINGTON COUNTY DISTRICT CLE</v>
      </c>
    </row>
    <row r="3086" spans="1:10" x14ac:dyDescent="0.3">
      <c r="A3086" t="str">
        <f t="shared" si="77"/>
        <v>01</v>
      </c>
      <c r="B3086" t="str">
        <f t="shared" si="78"/>
        <v>1</v>
      </c>
      <c r="C3086" t="s">
        <v>540</v>
      </c>
      <c r="D3086">
        <v>45760</v>
      </c>
      <c r="E3086" s="2">
        <v>7061.07</v>
      </c>
      <c r="F3086" s="1">
        <v>42978</v>
      </c>
      <c r="G3086" t="str">
        <f>"201709084840"</f>
        <v>201709084840</v>
      </c>
      <c r="H3086" t="str">
        <f>""</f>
        <v/>
      </c>
      <c r="I3086" s="2">
        <v>7061.07</v>
      </c>
      <c r="J3086" t="str">
        <f>"WASHINGTON COUNTY DISTRICT CLE"</f>
        <v>WASHINGTON COUNTY DISTRICT CLE</v>
      </c>
    </row>
    <row r="3087" spans="1:10" x14ac:dyDescent="0.3">
      <c r="A3087" t="str">
        <f t="shared" si="77"/>
        <v>01</v>
      </c>
      <c r="B3087" t="str">
        <f t="shared" si="78"/>
        <v>1</v>
      </c>
      <c r="C3087" t="s">
        <v>527</v>
      </c>
      <c r="D3087">
        <v>45761</v>
      </c>
      <c r="E3087" s="2">
        <v>1205</v>
      </c>
      <c r="F3087" s="1">
        <v>42978</v>
      </c>
      <c r="G3087" t="str">
        <f>"201709084841"</f>
        <v>201709084841</v>
      </c>
      <c r="H3087" t="str">
        <f>""</f>
        <v/>
      </c>
      <c r="I3087" s="2">
        <v>1205</v>
      </c>
      <c r="J3087" t="str">
        <f>"TEXAS DPS  RESTITUTION ACCOUNT"</f>
        <v>TEXAS DPS  RESTITUTION ACCOUNT</v>
      </c>
    </row>
    <row r="3088" spans="1:10" x14ac:dyDescent="0.3">
      <c r="A3088" t="str">
        <f t="shared" si="77"/>
        <v>01</v>
      </c>
      <c r="B3088" t="str">
        <f t="shared" si="78"/>
        <v>1</v>
      </c>
      <c r="C3088" t="s">
        <v>541</v>
      </c>
      <c r="D3088">
        <v>45762</v>
      </c>
      <c r="E3088" s="2">
        <v>10</v>
      </c>
      <c r="F3088" s="1">
        <v>42978</v>
      </c>
      <c r="G3088" t="str">
        <f>"201709084842"</f>
        <v>201709084842</v>
      </c>
      <c r="H3088" t="str">
        <f>""</f>
        <v/>
      </c>
      <c r="I3088" s="2">
        <v>10</v>
      </c>
      <c r="J3088" t="str">
        <f>"WASHINGTON COUNTY TREASURER"</f>
        <v>WASHINGTON COUNTY TREASURER</v>
      </c>
    </row>
    <row r="3089" spans="1:10" x14ac:dyDescent="0.3">
      <c r="A3089" t="str">
        <f t="shared" si="77"/>
        <v>01</v>
      </c>
      <c r="B3089" t="str">
        <f t="shared" si="78"/>
        <v>1</v>
      </c>
      <c r="C3089" t="s">
        <v>542</v>
      </c>
      <c r="D3089">
        <v>45763</v>
      </c>
      <c r="E3089" s="2">
        <v>637</v>
      </c>
      <c r="F3089" s="1">
        <v>42978</v>
      </c>
      <c r="G3089" t="str">
        <f>"201709084843"</f>
        <v>201709084843</v>
      </c>
      <c r="H3089" t="str">
        <f>"Miscell"</f>
        <v>Miscell</v>
      </c>
      <c r="I3089" s="2">
        <v>637</v>
      </c>
      <c r="J3089" t="str">
        <f>"BASTROP COUNTY CLERK"</f>
        <v>BASTROP COUNTY CLERK</v>
      </c>
    </row>
    <row r="3090" spans="1:10" x14ac:dyDescent="0.3">
      <c r="A3090" t="str">
        <f t="shared" ref="A3090:A3100" si="79">"01"</f>
        <v>01</v>
      </c>
      <c r="B3090" t="str">
        <f t="shared" ref="B3090:B3100" si="80">"1"</f>
        <v>1</v>
      </c>
      <c r="C3090" t="s">
        <v>543</v>
      </c>
      <c r="D3090">
        <v>45764</v>
      </c>
      <c r="E3090" s="2">
        <v>728</v>
      </c>
      <c r="F3090" s="1">
        <v>42978</v>
      </c>
      <c r="G3090" t="str">
        <f>"201709084844"</f>
        <v>201709084844</v>
      </c>
      <c r="H3090" t="str">
        <f>""</f>
        <v/>
      </c>
      <c r="I3090" s="2">
        <v>728</v>
      </c>
      <c r="J3090" t="str">
        <f>"BASTROP COUNTY DISTRICT CLERK"</f>
        <v>BASTROP COUNTY DISTRICT CLERK</v>
      </c>
    </row>
    <row r="3091" spans="1:10" x14ac:dyDescent="0.3">
      <c r="A3091" t="str">
        <f t="shared" si="79"/>
        <v>01</v>
      </c>
      <c r="B3091" t="str">
        <f t="shared" si="80"/>
        <v>1</v>
      </c>
      <c r="C3091" t="s">
        <v>544</v>
      </c>
      <c r="D3091">
        <v>45765</v>
      </c>
      <c r="E3091" s="2">
        <v>400</v>
      </c>
      <c r="F3091" s="1">
        <v>42978</v>
      </c>
      <c r="G3091" t="str">
        <f>"201709084845"</f>
        <v>201709084845</v>
      </c>
      <c r="H3091" t="str">
        <f>""</f>
        <v/>
      </c>
      <c r="I3091" s="2">
        <v>400</v>
      </c>
      <c r="J3091" t="str">
        <f>"WASHINGTON CO CRIMESTOPPERS"</f>
        <v>WASHINGTON CO CRIMESTOPPERS</v>
      </c>
    </row>
    <row r="3092" spans="1:10" x14ac:dyDescent="0.3">
      <c r="A3092" t="str">
        <f t="shared" si="79"/>
        <v>01</v>
      </c>
      <c r="B3092" t="str">
        <f t="shared" si="80"/>
        <v>1</v>
      </c>
      <c r="C3092" t="s">
        <v>545</v>
      </c>
      <c r="D3092">
        <v>45766</v>
      </c>
      <c r="E3092" s="2">
        <v>8</v>
      </c>
      <c r="F3092" s="1">
        <v>42978</v>
      </c>
      <c r="G3092" t="str">
        <f>"201709084846"</f>
        <v>201709084846</v>
      </c>
      <c r="H3092" t="str">
        <f>"Mis"</f>
        <v>Mis</v>
      </c>
      <c r="I3092" s="2">
        <v>8</v>
      </c>
      <c r="J3092" t="str">
        <f>"ANTONIO HERNANDEZ GARCIA"</f>
        <v>ANTONIO HERNANDEZ GARCIA</v>
      </c>
    </row>
    <row r="3093" spans="1:10" x14ac:dyDescent="0.3">
      <c r="A3093" t="str">
        <f t="shared" si="79"/>
        <v>01</v>
      </c>
      <c r="B3093" t="str">
        <f t="shared" si="80"/>
        <v>1</v>
      </c>
      <c r="C3093" t="s">
        <v>546</v>
      </c>
      <c r="D3093">
        <v>45767</v>
      </c>
      <c r="E3093" s="2">
        <v>75</v>
      </c>
      <c r="F3093" s="1">
        <v>42978</v>
      </c>
      <c r="G3093" t="str">
        <f>"201709084847"</f>
        <v>201709084847</v>
      </c>
      <c r="H3093" t="str">
        <f>"M"</f>
        <v>M</v>
      </c>
      <c r="I3093" s="2">
        <v>75</v>
      </c>
      <c r="J3093" t="str">
        <f>"BURLESON DISTRICT ATTORNEY"</f>
        <v>BURLESON DISTRICT ATTORNEY</v>
      </c>
    </row>
    <row r="3094" spans="1:10" x14ac:dyDescent="0.3">
      <c r="A3094" t="str">
        <f t="shared" si="79"/>
        <v>01</v>
      </c>
      <c r="B3094" t="str">
        <f t="shared" si="80"/>
        <v>1</v>
      </c>
      <c r="C3094" t="s">
        <v>547</v>
      </c>
      <c r="D3094">
        <v>45768</v>
      </c>
      <c r="E3094" s="2">
        <v>110</v>
      </c>
      <c r="F3094" s="1">
        <v>42978</v>
      </c>
      <c r="G3094" t="str">
        <f>"201709084848"</f>
        <v>201709084848</v>
      </c>
      <c r="H3094" t="str">
        <f>"Misc"</f>
        <v>Misc</v>
      </c>
      <c r="I3094" s="2">
        <v>110</v>
      </c>
      <c r="J3094" t="str">
        <f>"WASHINGTON COUNTY CLERK"</f>
        <v>WASHINGTON COUNTY CLERK</v>
      </c>
    </row>
    <row r="3095" spans="1:10" x14ac:dyDescent="0.3">
      <c r="A3095" t="str">
        <f t="shared" si="79"/>
        <v>01</v>
      </c>
      <c r="B3095" t="str">
        <f t="shared" si="80"/>
        <v>1</v>
      </c>
      <c r="C3095" t="s">
        <v>548</v>
      </c>
      <c r="D3095">
        <v>45769</v>
      </c>
      <c r="E3095" s="2">
        <v>60</v>
      </c>
      <c r="F3095" s="1">
        <v>42978</v>
      </c>
      <c r="G3095" t="str">
        <f>"201709084849"</f>
        <v>201709084849</v>
      </c>
      <c r="H3095" t="str">
        <f>"Miscellaneous"</f>
        <v>Miscellaneous</v>
      </c>
      <c r="I3095" s="2">
        <v>60</v>
      </c>
      <c r="J3095" t="str">
        <f>"JAN S JONES"</f>
        <v>JAN S JONES</v>
      </c>
    </row>
    <row r="3096" spans="1:10" x14ac:dyDescent="0.3">
      <c r="A3096" t="str">
        <f t="shared" si="79"/>
        <v>01</v>
      </c>
      <c r="B3096" t="str">
        <f t="shared" si="80"/>
        <v>1</v>
      </c>
      <c r="C3096" t="s">
        <v>168</v>
      </c>
      <c r="D3096">
        <v>45770</v>
      </c>
      <c r="E3096" s="2">
        <v>85</v>
      </c>
      <c r="F3096" s="1">
        <v>42978</v>
      </c>
      <c r="G3096" t="str">
        <f>"201709084850"</f>
        <v>201709084850</v>
      </c>
      <c r="H3096" t="str">
        <f>"Miscell"</f>
        <v>Miscell</v>
      </c>
      <c r="I3096" s="2">
        <v>85</v>
      </c>
      <c r="J3096" t="str">
        <f>"FAMILY CRISIS CENTER"</f>
        <v>FAMILY CRISIS CENTER</v>
      </c>
    </row>
    <row r="3097" spans="1:10" x14ac:dyDescent="0.3">
      <c r="A3097" t="str">
        <f t="shared" si="79"/>
        <v>01</v>
      </c>
      <c r="B3097" t="str">
        <f t="shared" si="80"/>
        <v>1</v>
      </c>
      <c r="C3097" t="s">
        <v>549</v>
      </c>
      <c r="D3097">
        <v>45771</v>
      </c>
      <c r="E3097" s="2">
        <v>40</v>
      </c>
      <c r="F3097" s="1">
        <v>42978</v>
      </c>
      <c r="G3097" t="str">
        <f>"201709084851"</f>
        <v>201709084851</v>
      </c>
      <c r="H3097" t="str">
        <f>"Miscellane"</f>
        <v>Miscellane</v>
      </c>
      <c r="I3097" s="2">
        <v>40</v>
      </c>
      <c r="J3097" t="str">
        <f>"FOCUSING FAMILIES"</f>
        <v>FOCUSING FAMILIES</v>
      </c>
    </row>
    <row r="3098" spans="1:10" x14ac:dyDescent="0.3">
      <c r="A3098" t="str">
        <f t="shared" si="79"/>
        <v>01</v>
      </c>
      <c r="B3098" t="str">
        <f t="shared" si="80"/>
        <v>1</v>
      </c>
      <c r="C3098" t="s">
        <v>547</v>
      </c>
      <c r="D3098">
        <v>45772</v>
      </c>
      <c r="E3098" s="2">
        <v>400</v>
      </c>
      <c r="F3098" s="1">
        <v>42978</v>
      </c>
      <c r="G3098" t="str">
        <f>"201709084852"</f>
        <v>201709084852</v>
      </c>
      <c r="H3098" t="str">
        <f>"Misc"</f>
        <v>Misc</v>
      </c>
      <c r="I3098" s="2">
        <v>400</v>
      </c>
      <c r="J3098" t="str">
        <f>"WASHINGTON COUNTY CLERK"</f>
        <v>WASHINGTON COUNTY CLERK</v>
      </c>
    </row>
    <row r="3099" spans="1:10" x14ac:dyDescent="0.3">
      <c r="A3099" t="str">
        <f t="shared" si="79"/>
        <v>01</v>
      </c>
      <c r="B3099" t="str">
        <f t="shared" si="80"/>
        <v>1</v>
      </c>
      <c r="C3099" t="s">
        <v>550</v>
      </c>
      <c r="D3099">
        <v>45773</v>
      </c>
      <c r="E3099" s="2">
        <v>40</v>
      </c>
      <c r="F3099" s="1">
        <v>42978</v>
      </c>
      <c r="G3099" t="str">
        <f>"201709084853"</f>
        <v>201709084853</v>
      </c>
      <c r="H3099" t="str">
        <f>"Miscellaneous"</f>
        <v>Miscellaneous</v>
      </c>
      <c r="I3099" s="2">
        <v>40</v>
      </c>
      <c r="J3099" t="str">
        <f>"OSMAR VALERIO"</f>
        <v>OSMAR VALERIO</v>
      </c>
    </row>
    <row r="3100" spans="1:10" x14ac:dyDescent="0.3">
      <c r="A3100" t="str">
        <f t="shared" si="79"/>
        <v>01</v>
      </c>
      <c r="B3100" t="str">
        <f t="shared" si="80"/>
        <v>1</v>
      </c>
      <c r="C3100" t="s">
        <v>488</v>
      </c>
      <c r="D3100">
        <v>45774</v>
      </c>
      <c r="E3100" s="2">
        <v>15</v>
      </c>
      <c r="F3100" s="1">
        <v>42978</v>
      </c>
      <c r="G3100" t="str">
        <f>"201709084854"</f>
        <v>201709084854</v>
      </c>
      <c r="H3100" t="str">
        <f>"Mi"</f>
        <v>Mi</v>
      </c>
      <c r="I3100" s="2">
        <v>15</v>
      </c>
      <c r="J3100" t="str">
        <f>"BURLESON COUNTY TREASURER"</f>
        <v>BURLESON COUNTY TREASURER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AP-CHK-RPT-20180501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Ingram, Laurie</cp:lastModifiedBy>
  <dcterms:created xsi:type="dcterms:W3CDTF">2018-05-01T15:36:26Z</dcterms:created>
  <dcterms:modified xsi:type="dcterms:W3CDTF">2018-05-01T15:36:26Z</dcterms:modified>
</cp:coreProperties>
</file>