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0"/>
</workbook>
</file>

<file path=xl/calcChain.xml><?xml version="1.0" encoding="utf-8"?>
<calcChain xmlns="http://schemas.openxmlformats.org/spreadsheetml/2006/main">
  <c r="A2" i="1" l="1"/>
  <c r="G2" i="1"/>
  <c r="H2" i="1"/>
  <c r="J2" i="1"/>
  <c r="A3" i="1"/>
  <c r="G3" i="1"/>
  <c r="H3" i="1"/>
  <c r="J3" i="1"/>
  <c r="A4" i="1"/>
  <c r="G4" i="1"/>
  <c r="H4" i="1"/>
  <c r="J4" i="1"/>
  <c r="A5" i="1"/>
  <c r="G5" i="1"/>
  <c r="H5" i="1"/>
  <c r="J5" i="1"/>
  <c r="A6" i="1"/>
  <c r="G6" i="1"/>
  <c r="H6" i="1"/>
  <c r="J6" i="1"/>
  <c r="A7" i="1"/>
  <c r="G7" i="1"/>
  <c r="H7" i="1"/>
  <c r="J7" i="1"/>
  <c r="A8" i="1"/>
  <c r="G8" i="1"/>
  <c r="H8" i="1"/>
  <c r="J8" i="1"/>
  <c r="A9" i="1"/>
  <c r="G9" i="1"/>
  <c r="H9" i="1"/>
  <c r="J9" i="1"/>
  <c r="A10" i="1"/>
  <c r="G10" i="1"/>
  <c r="H10" i="1"/>
  <c r="J10" i="1"/>
  <c r="A11" i="1"/>
  <c r="G11" i="1"/>
  <c r="H11" i="1"/>
  <c r="J11" i="1"/>
  <c r="A12" i="1"/>
  <c r="G12" i="1"/>
  <c r="H12" i="1"/>
  <c r="J12" i="1"/>
  <c r="A13" i="1"/>
  <c r="G13" i="1"/>
  <c r="H13" i="1"/>
  <c r="J13" i="1"/>
  <c r="A14" i="1"/>
  <c r="G14" i="1"/>
  <c r="H14" i="1"/>
  <c r="J14" i="1"/>
  <c r="A15" i="1"/>
  <c r="G15" i="1"/>
  <c r="H15" i="1"/>
  <c r="J15" i="1"/>
  <c r="A16" i="1"/>
  <c r="G16" i="1"/>
  <c r="H16" i="1"/>
  <c r="J16" i="1"/>
  <c r="A17" i="1"/>
  <c r="G17" i="1"/>
  <c r="H17" i="1"/>
  <c r="J17" i="1"/>
  <c r="A18" i="1"/>
  <c r="G18" i="1"/>
  <c r="H18" i="1"/>
  <c r="J18" i="1"/>
  <c r="A19" i="1"/>
  <c r="G19" i="1"/>
  <c r="H19" i="1"/>
  <c r="J19" i="1"/>
  <c r="A20" i="1"/>
  <c r="G20" i="1"/>
  <c r="H20" i="1"/>
  <c r="J20" i="1"/>
  <c r="A21" i="1"/>
  <c r="I21" i="1"/>
  <c r="J21" i="1"/>
  <c r="A22" i="1"/>
  <c r="G22" i="1"/>
  <c r="H22" i="1"/>
  <c r="J22" i="1"/>
  <c r="A23" i="1"/>
  <c r="G23" i="1"/>
  <c r="H23" i="1"/>
  <c r="J23" i="1"/>
  <c r="A24" i="1"/>
  <c r="G24" i="1"/>
  <c r="H24" i="1"/>
  <c r="J24" i="1"/>
  <c r="A25" i="1"/>
  <c r="G25" i="1"/>
  <c r="H25" i="1"/>
  <c r="J25" i="1"/>
  <c r="A26" i="1"/>
  <c r="G26" i="1"/>
  <c r="H26" i="1"/>
  <c r="J26" i="1"/>
  <c r="A27" i="1"/>
  <c r="G27" i="1"/>
  <c r="H27" i="1"/>
  <c r="J27" i="1"/>
  <c r="A28" i="1"/>
  <c r="G28" i="1"/>
  <c r="H28" i="1"/>
  <c r="J28" i="1"/>
  <c r="A29" i="1"/>
  <c r="G29" i="1"/>
  <c r="H29" i="1"/>
  <c r="J29" i="1"/>
  <c r="A30" i="1"/>
  <c r="G30" i="1"/>
  <c r="H30" i="1"/>
  <c r="J30" i="1"/>
  <c r="A31" i="1"/>
  <c r="G31" i="1"/>
  <c r="H31" i="1"/>
  <c r="J31" i="1"/>
  <c r="A32" i="1"/>
  <c r="G32" i="1"/>
  <c r="H32" i="1"/>
  <c r="J32" i="1"/>
  <c r="A33" i="1"/>
  <c r="G33" i="1"/>
  <c r="H33" i="1"/>
  <c r="J33" i="1"/>
  <c r="A34" i="1"/>
  <c r="G34" i="1"/>
  <c r="H34" i="1"/>
  <c r="J34" i="1"/>
  <c r="A35" i="1"/>
  <c r="G35" i="1"/>
  <c r="H35" i="1"/>
  <c r="J35" i="1"/>
  <c r="A36" i="1"/>
  <c r="G36" i="1"/>
  <c r="H36" i="1"/>
  <c r="J36" i="1"/>
  <c r="A37" i="1"/>
  <c r="G37" i="1"/>
  <c r="H37" i="1"/>
  <c r="J37" i="1"/>
  <c r="A38" i="1"/>
  <c r="G38" i="1"/>
  <c r="H38" i="1"/>
  <c r="J38" i="1"/>
  <c r="A39" i="1"/>
  <c r="G39" i="1"/>
  <c r="H39" i="1"/>
  <c r="J39" i="1"/>
  <c r="A40" i="1"/>
  <c r="G40" i="1"/>
  <c r="H40" i="1"/>
  <c r="J40" i="1"/>
  <c r="A41" i="1"/>
  <c r="G41" i="1"/>
  <c r="H41" i="1"/>
  <c r="J41" i="1"/>
  <c r="A42" i="1"/>
  <c r="G42" i="1"/>
  <c r="H42" i="1"/>
  <c r="J42" i="1"/>
  <c r="A43" i="1"/>
  <c r="G43" i="1"/>
  <c r="H43" i="1"/>
  <c r="J43" i="1"/>
  <c r="A44" i="1"/>
  <c r="G44" i="1"/>
  <c r="H44" i="1"/>
  <c r="J44" i="1"/>
  <c r="A45" i="1"/>
  <c r="G45" i="1"/>
  <c r="H45" i="1"/>
  <c r="J45" i="1"/>
  <c r="A46" i="1"/>
  <c r="G46" i="1"/>
  <c r="H46" i="1"/>
  <c r="J46" i="1"/>
  <c r="A47" i="1"/>
  <c r="G47" i="1"/>
  <c r="H47" i="1"/>
  <c r="J47" i="1"/>
  <c r="A48" i="1"/>
  <c r="G48" i="1"/>
  <c r="H48" i="1"/>
  <c r="J48" i="1"/>
  <c r="A49" i="1"/>
  <c r="G49" i="1"/>
  <c r="H49" i="1"/>
  <c r="J49" i="1"/>
  <c r="A50" i="1"/>
  <c r="G50" i="1"/>
  <c r="H50" i="1"/>
  <c r="J50" i="1"/>
  <c r="A51" i="1"/>
  <c r="G51" i="1"/>
  <c r="H51" i="1"/>
  <c r="J51" i="1"/>
  <c r="A52" i="1"/>
  <c r="G52" i="1"/>
  <c r="H52" i="1"/>
  <c r="J52" i="1"/>
  <c r="A53" i="1"/>
  <c r="G53" i="1"/>
  <c r="H53" i="1"/>
  <c r="J53" i="1"/>
  <c r="A54" i="1"/>
  <c r="G54" i="1"/>
  <c r="H54" i="1"/>
  <c r="J54" i="1"/>
  <c r="A55" i="1"/>
  <c r="G55" i="1"/>
  <c r="H55" i="1"/>
  <c r="J55" i="1"/>
  <c r="A56" i="1"/>
  <c r="G56" i="1"/>
  <c r="H56" i="1"/>
  <c r="J56" i="1"/>
  <c r="A57" i="1"/>
  <c r="G57" i="1"/>
  <c r="H57" i="1"/>
  <c r="J57" i="1"/>
  <c r="A58" i="1"/>
  <c r="G58" i="1"/>
  <c r="H58" i="1"/>
  <c r="J58" i="1"/>
  <c r="A59" i="1"/>
  <c r="G59" i="1"/>
  <c r="H59" i="1"/>
  <c r="J59" i="1"/>
  <c r="A60" i="1"/>
  <c r="G60" i="1"/>
  <c r="H60" i="1"/>
  <c r="J60" i="1"/>
  <c r="A61" i="1"/>
  <c r="G61" i="1"/>
  <c r="H61" i="1"/>
  <c r="J61" i="1"/>
  <c r="A62" i="1"/>
  <c r="G62" i="1"/>
  <c r="H62" i="1"/>
  <c r="J62" i="1"/>
  <c r="A63" i="1"/>
  <c r="G63" i="1"/>
  <c r="H63" i="1"/>
  <c r="J63" i="1"/>
  <c r="A64" i="1"/>
  <c r="G64" i="1"/>
  <c r="H64" i="1"/>
  <c r="J64" i="1"/>
  <c r="A65" i="1"/>
  <c r="G65" i="1"/>
  <c r="H65" i="1"/>
  <c r="J65" i="1"/>
  <c r="A66" i="1"/>
  <c r="G66" i="1"/>
  <c r="H66" i="1"/>
  <c r="J66" i="1"/>
  <c r="A67" i="1"/>
  <c r="G67" i="1"/>
  <c r="H67" i="1"/>
  <c r="J67" i="1"/>
  <c r="A68" i="1"/>
  <c r="G68" i="1"/>
  <c r="H68" i="1"/>
  <c r="J68" i="1"/>
  <c r="A69" i="1"/>
  <c r="G69" i="1"/>
  <c r="H69" i="1"/>
  <c r="J69" i="1"/>
  <c r="A70" i="1"/>
  <c r="G70" i="1"/>
  <c r="H70" i="1"/>
  <c r="J70" i="1"/>
  <c r="A71" i="1"/>
  <c r="G71" i="1"/>
  <c r="H71" i="1"/>
  <c r="J71" i="1"/>
  <c r="A72" i="1"/>
  <c r="G72" i="1"/>
  <c r="H72" i="1"/>
  <c r="J72" i="1"/>
  <c r="A73" i="1"/>
  <c r="G73" i="1"/>
  <c r="H73" i="1"/>
  <c r="J73" i="1"/>
  <c r="A74" i="1"/>
  <c r="G74" i="1"/>
  <c r="H74" i="1"/>
  <c r="J74" i="1"/>
  <c r="A75" i="1"/>
  <c r="G75" i="1"/>
  <c r="H75" i="1"/>
  <c r="J75" i="1"/>
  <c r="A76" i="1"/>
  <c r="G76" i="1"/>
  <c r="H76" i="1"/>
  <c r="J76" i="1"/>
  <c r="A77" i="1"/>
  <c r="G77" i="1"/>
  <c r="H77" i="1"/>
  <c r="J77" i="1"/>
  <c r="A78" i="1"/>
  <c r="G78" i="1"/>
  <c r="H78" i="1"/>
  <c r="J78" i="1"/>
  <c r="A79" i="1"/>
  <c r="G79" i="1"/>
  <c r="H79" i="1"/>
  <c r="J79" i="1"/>
  <c r="A80" i="1"/>
  <c r="G80" i="1"/>
  <c r="H80" i="1"/>
  <c r="J80" i="1"/>
  <c r="A81" i="1"/>
  <c r="G81" i="1"/>
  <c r="H81" i="1"/>
  <c r="J81" i="1"/>
  <c r="A82" i="1"/>
  <c r="G82" i="1"/>
  <c r="H82" i="1"/>
  <c r="J82" i="1"/>
  <c r="A83" i="1"/>
  <c r="G83" i="1"/>
  <c r="H83" i="1"/>
  <c r="J83" i="1"/>
  <c r="A84" i="1"/>
  <c r="G84" i="1"/>
  <c r="H84" i="1"/>
  <c r="J84" i="1"/>
  <c r="A85" i="1"/>
  <c r="G85" i="1"/>
  <c r="H85" i="1"/>
  <c r="J85" i="1"/>
  <c r="A86" i="1"/>
  <c r="G86" i="1"/>
  <c r="H86" i="1"/>
  <c r="J86" i="1"/>
  <c r="A87" i="1"/>
  <c r="G87" i="1"/>
  <c r="H87" i="1"/>
  <c r="J87" i="1"/>
  <c r="A88" i="1"/>
  <c r="G88" i="1"/>
  <c r="H88" i="1"/>
  <c r="J88" i="1"/>
  <c r="A89" i="1"/>
  <c r="G89" i="1"/>
  <c r="H89" i="1"/>
  <c r="J89" i="1"/>
  <c r="A90" i="1"/>
  <c r="G90" i="1"/>
  <c r="H90" i="1"/>
  <c r="J90" i="1"/>
  <c r="A91" i="1"/>
  <c r="G91" i="1"/>
  <c r="H91" i="1"/>
  <c r="J91" i="1"/>
  <c r="A92" i="1"/>
  <c r="G92" i="1"/>
  <c r="H92" i="1"/>
  <c r="J92" i="1"/>
  <c r="A93" i="1"/>
  <c r="G93" i="1"/>
  <c r="H93" i="1"/>
  <c r="J93" i="1"/>
  <c r="A94" i="1"/>
  <c r="G94" i="1"/>
  <c r="H94" i="1"/>
  <c r="J94" i="1"/>
  <c r="A95" i="1"/>
  <c r="G95" i="1"/>
  <c r="H95" i="1"/>
  <c r="J95" i="1"/>
  <c r="A96" i="1"/>
  <c r="G96" i="1"/>
  <c r="H96" i="1"/>
  <c r="J96" i="1"/>
  <c r="A97" i="1"/>
  <c r="G97" i="1"/>
  <c r="H97" i="1"/>
  <c r="J97" i="1"/>
  <c r="A98" i="1"/>
  <c r="G98" i="1"/>
  <c r="H98" i="1"/>
  <c r="J98" i="1"/>
  <c r="A99" i="1"/>
  <c r="G99" i="1"/>
  <c r="H99" i="1"/>
  <c r="J99" i="1"/>
  <c r="A100" i="1"/>
  <c r="G100" i="1"/>
  <c r="H100" i="1"/>
  <c r="J100" i="1"/>
  <c r="A101" i="1"/>
  <c r="G101" i="1"/>
  <c r="H101" i="1"/>
  <c r="J101" i="1"/>
  <c r="A102" i="1"/>
  <c r="G102" i="1"/>
  <c r="H102" i="1"/>
  <c r="J102" i="1"/>
  <c r="A103" i="1"/>
  <c r="G103" i="1"/>
  <c r="H103" i="1"/>
  <c r="J103" i="1"/>
  <c r="A104" i="1"/>
  <c r="G104" i="1"/>
  <c r="H104" i="1"/>
  <c r="J104" i="1"/>
  <c r="A105" i="1"/>
  <c r="G105" i="1"/>
  <c r="H105" i="1"/>
  <c r="J105" i="1"/>
  <c r="A106" i="1"/>
  <c r="G106" i="1"/>
  <c r="H106" i="1"/>
  <c r="J106" i="1"/>
  <c r="A107" i="1"/>
  <c r="G107" i="1"/>
  <c r="H107" i="1"/>
  <c r="J107" i="1"/>
  <c r="A108" i="1"/>
  <c r="G108" i="1"/>
  <c r="H108" i="1"/>
  <c r="J108" i="1"/>
  <c r="A109" i="1"/>
  <c r="G109" i="1"/>
  <c r="H109" i="1"/>
  <c r="J109" i="1"/>
  <c r="A110" i="1"/>
  <c r="G110" i="1"/>
  <c r="H110" i="1"/>
  <c r="J110" i="1"/>
  <c r="A111" i="1"/>
  <c r="G111" i="1"/>
  <c r="H111" i="1"/>
  <c r="J111" i="1"/>
  <c r="A112" i="1"/>
  <c r="G112" i="1"/>
  <c r="H112" i="1"/>
  <c r="J112" i="1"/>
  <c r="A113" i="1"/>
  <c r="G113" i="1"/>
  <c r="H113" i="1"/>
  <c r="J113" i="1"/>
  <c r="A114" i="1"/>
  <c r="G114" i="1"/>
  <c r="H114" i="1"/>
  <c r="J114" i="1"/>
  <c r="A115" i="1"/>
  <c r="G115" i="1"/>
  <c r="H115" i="1"/>
  <c r="J115" i="1"/>
  <c r="A116" i="1"/>
  <c r="G116" i="1"/>
  <c r="H116" i="1"/>
  <c r="J116" i="1"/>
  <c r="A117" i="1"/>
  <c r="G117" i="1"/>
  <c r="H117" i="1"/>
  <c r="J117" i="1"/>
  <c r="A118" i="1"/>
  <c r="G118" i="1"/>
  <c r="H118" i="1"/>
  <c r="J118" i="1"/>
  <c r="A119" i="1"/>
  <c r="G119" i="1"/>
  <c r="H119" i="1"/>
  <c r="J119" i="1"/>
  <c r="A120" i="1"/>
  <c r="G120" i="1"/>
  <c r="H120" i="1"/>
  <c r="J120" i="1"/>
  <c r="A121" i="1"/>
  <c r="G121" i="1"/>
  <c r="H121" i="1"/>
  <c r="J121" i="1"/>
  <c r="A122" i="1"/>
  <c r="G122" i="1"/>
  <c r="H122" i="1"/>
  <c r="J122" i="1"/>
  <c r="A123" i="1"/>
  <c r="G123" i="1"/>
  <c r="H123" i="1"/>
  <c r="J123" i="1"/>
  <c r="A124" i="1"/>
  <c r="G124" i="1"/>
  <c r="A125" i="1"/>
  <c r="G125" i="1"/>
  <c r="H125" i="1"/>
  <c r="J125" i="1"/>
  <c r="A126" i="1"/>
  <c r="G126" i="1"/>
  <c r="H126" i="1"/>
  <c r="J126" i="1"/>
  <c r="A127" i="1"/>
  <c r="G127" i="1"/>
  <c r="H127" i="1"/>
  <c r="J127" i="1"/>
  <c r="A128" i="1"/>
  <c r="G128" i="1"/>
  <c r="H128" i="1"/>
  <c r="J128" i="1"/>
  <c r="A129" i="1"/>
  <c r="G129" i="1"/>
  <c r="H129" i="1"/>
  <c r="J129" i="1"/>
  <c r="A130" i="1"/>
  <c r="G130" i="1"/>
  <c r="H130" i="1"/>
  <c r="J130" i="1"/>
  <c r="A131" i="1"/>
  <c r="G131" i="1"/>
  <c r="H131" i="1"/>
  <c r="J131" i="1"/>
  <c r="A132" i="1"/>
  <c r="G132" i="1"/>
  <c r="H132" i="1"/>
  <c r="J132" i="1"/>
  <c r="A133" i="1"/>
  <c r="G133" i="1"/>
  <c r="H133" i="1"/>
  <c r="J133" i="1"/>
  <c r="A134" i="1"/>
  <c r="G134" i="1"/>
  <c r="H134" i="1"/>
  <c r="J134" i="1"/>
  <c r="A135" i="1"/>
  <c r="G135" i="1"/>
  <c r="H135" i="1"/>
  <c r="J135" i="1"/>
  <c r="A136" i="1"/>
  <c r="G136" i="1"/>
  <c r="H136" i="1"/>
  <c r="J136" i="1"/>
  <c r="A137" i="1"/>
  <c r="G137" i="1"/>
  <c r="H137" i="1"/>
  <c r="J137" i="1"/>
  <c r="A138" i="1"/>
  <c r="I138" i="1"/>
  <c r="J138" i="1"/>
  <c r="A139" i="1"/>
  <c r="I139" i="1"/>
  <c r="J139" i="1"/>
  <c r="A140" i="1"/>
  <c r="G140" i="1"/>
  <c r="H140" i="1"/>
  <c r="J140" i="1"/>
  <c r="A141" i="1"/>
  <c r="I141" i="1"/>
  <c r="J141" i="1"/>
  <c r="A142" i="1"/>
  <c r="I142" i="1"/>
  <c r="J142" i="1"/>
  <c r="A143" i="1"/>
  <c r="G143" i="1"/>
  <c r="H143" i="1"/>
  <c r="J143" i="1"/>
  <c r="A144" i="1"/>
  <c r="G144" i="1"/>
  <c r="H144" i="1"/>
  <c r="J144" i="1"/>
  <c r="A145" i="1"/>
  <c r="G145" i="1"/>
  <c r="H145" i="1"/>
  <c r="J145" i="1"/>
  <c r="A146" i="1"/>
  <c r="G146" i="1"/>
  <c r="H146" i="1"/>
  <c r="J146" i="1"/>
  <c r="A147" i="1"/>
  <c r="G147" i="1"/>
  <c r="H147" i="1"/>
  <c r="J147" i="1"/>
  <c r="A148" i="1"/>
  <c r="G148" i="1"/>
  <c r="H148" i="1"/>
  <c r="J148" i="1"/>
  <c r="A149" i="1"/>
  <c r="G149" i="1"/>
  <c r="H149" i="1"/>
  <c r="J149" i="1"/>
  <c r="A150" i="1"/>
  <c r="G150" i="1"/>
  <c r="H150" i="1"/>
  <c r="J150" i="1"/>
  <c r="A151" i="1"/>
  <c r="G151" i="1"/>
  <c r="H151" i="1"/>
  <c r="J151" i="1"/>
  <c r="A152" i="1"/>
  <c r="G152" i="1"/>
  <c r="H152" i="1"/>
  <c r="J152" i="1"/>
  <c r="A153" i="1"/>
  <c r="G153" i="1"/>
  <c r="H153" i="1"/>
  <c r="J153" i="1"/>
  <c r="A154" i="1"/>
  <c r="G154" i="1"/>
  <c r="H154" i="1"/>
  <c r="J154" i="1"/>
  <c r="A155" i="1"/>
  <c r="G155" i="1"/>
  <c r="H155" i="1"/>
  <c r="J155" i="1"/>
  <c r="A156" i="1"/>
  <c r="G156" i="1"/>
  <c r="H156" i="1"/>
  <c r="J156" i="1"/>
  <c r="A157" i="1"/>
  <c r="G157" i="1"/>
  <c r="H157" i="1"/>
  <c r="J157" i="1"/>
  <c r="A158" i="1"/>
  <c r="G158" i="1"/>
  <c r="H158" i="1"/>
  <c r="J158" i="1"/>
  <c r="A159" i="1"/>
  <c r="G159" i="1"/>
  <c r="H159" i="1"/>
  <c r="J159" i="1"/>
  <c r="A160" i="1"/>
  <c r="G160" i="1"/>
  <c r="H160" i="1"/>
  <c r="J160" i="1"/>
  <c r="A161" i="1"/>
  <c r="G161" i="1"/>
  <c r="H161" i="1"/>
  <c r="J161" i="1"/>
  <c r="A162" i="1"/>
  <c r="G162" i="1"/>
  <c r="H162" i="1"/>
  <c r="J162" i="1"/>
  <c r="A163" i="1"/>
  <c r="G163" i="1"/>
  <c r="H163" i="1"/>
  <c r="J163" i="1"/>
  <c r="A164" i="1"/>
  <c r="G164" i="1"/>
  <c r="H164" i="1"/>
  <c r="J164" i="1"/>
  <c r="A165" i="1"/>
  <c r="G165" i="1"/>
  <c r="H165" i="1"/>
  <c r="J165" i="1"/>
  <c r="A166" i="1"/>
  <c r="G166" i="1"/>
  <c r="H166" i="1"/>
  <c r="J166" i="1"/>
  <c r="A167" i="1"/>
  <c r="G167" i="1"/>
  <c r="H167" i="1"/>
  <c r="J167" i="1"/>
  <c r="A168" i="1"/>
  <c r="G168" i="1"/>
  <c r="H168" i="1"/>
  <c r="J168" i="1"/>
  <c r="A169" i="1"/>
  <c r="G169" i="1"/>
  <c r="H169" i="1"/>
  <c r="J169" i="1"/>
  <c r="A170" i="1"/>
  <c r="G170" i="1"/>
  <c r="H170" i="1"/>
  <c r="J170" i="1"/>
  <c r="A171" i="1"/>
  <c r="G171" i="1"/>
  <c r="H171" i="1"/>
  <c r="J171" i="1"/>
  <c r="A172" i="1"/>
  <c r="G172" i="1"/>
  <c r="H172" i="1"/>
  <c r="J172" i="1"/>
  <c r="A173" i="1"/>
  <c r="G173" i="1"/>
  <c r="H173" i="1"/>
  <c r="J173" i="1"/>
  <c r="A174" i="1"/>
  <c r="G174" i="1"/>
  <c r="H174" i="1"/>
  <c r="J174" i="1"/>
  <c r="A175" i="1"/>
  <c r="G175" i="1"/>
  <c r="H175" i="1"/>
  <c r="J175" i="1"/>
  <c r="A176" i="1"/>
  <c r="G176" i="1"/>
  <c r="H176" i="1"/>
  <c r="J176" i="1"/>
  <c r="A177" i="1"/>
  <c r="G177" i="1"/>
  <c r="H177" i="1"/>
  <c r="J177" i="1"/>
  <c r="A178" i="1"/>
  <c r="G178" i="1"/>
  <c r="H178" i="1"/>
  <c r="J178" i="1"/>
  <c r="A179" i="1"/>
  <c r="G179" i="1"/>
  <c r="H179" i="1"/>
  <c r="J179" i="1"/>
  <c r="A180" i="1"/>
  <c r="G180" i="1"/>
  <c r="H180" i="1"/>
  <c r="J180" i="1"/>
  <c r="A181" i="1"/>
  <c r="G181" i="1"/>
  <c r="H181" i="1"/>
  <c r="J181" i="1"/>
  <c r="A182" i="1"/>
  <c r="G182" i="1"/>
  <c r="H182" i="1"/>
  <c r="J182" i="1"/>
  <c r="A183" i="1"/>
  <c r="G183" i="1"/>
  <c r="H183" i="1"/>
  <c r="J183" i="1"/>
  <c r="A184" i="1"/>
  <c r="G184" i="1"/>
  <c r="H184" i="1"/>
  <c r="J184" i="1"/>
  <c r="A185" i="1"/>
  <c r="G185" i="1"/>
  <c r="H185" i="1"/>
  <c r="J185" i="1"/>
  <c r="A186" i="1"/>
  <c r="G186" i="1"/>
  <c r="H186" i="1"/>
  <c r="J186" i="1"/>
  <c r="A187" i="1"/>
  <c r="G187" i="1"/>
  <c r="H187" i="1"/>
  <c r="J187" i="1"/>
  <c r="A188" i="1"/>
  <c r="G188" i="1"/>
  <c r="H188" i="1"/>
  <c r="J188" i="1"/>
  <c r="A189" i="1"/>
  <c r="G189" i="1"/>
  <c r="H189" i="1"/>
  <c r="J189" i="1"/>
  <c r="A190" i="1"/>
  <c r="G190" i="1"/>
  <c r="H190" i="1"/>
  <c r="J190" i="1"/>
  <c r="A191" i="1"/>
  <c r="G191" i="1"/>
  <c r="H191" i="1"/>
  <c r="J191" i="1"/>
  <c r="A192" i="1"/>
  <c r="G192" i="1"/>
  <c r="H192" i="1"/>
  <c r="J192" i="1"/>
  <c r="A193" i="1"/>
  <c r="G193" i="1"/>
  <c r="H193" i="1"/>
  <c r="J193" i="1"/>
  <c r="A194" i="1"/>
  <c r="G194" i="1"/>
  <c r="H194" i="1"/>
  <c r="J194" i="1"/>
  <c r="A195" i="1"/>
  <c r="G195" i="1"/>
  <c r="H195" i="1"/>
  <c r="J195" i="1"/>
  <c r="A196" i="1"/>
  <c r="G196" i="1"/>
  <c r="H196" i="1"/>
  <c r="J196" i="1"/>
  <c r="A197" i="1"/>
  <c r="G197" i="1"/>
  <c r="H197" i="1"/>
  <c r="J197" i="1"/>
  <c r="A198" i="1"/>
  <c r="G198" i="1"/>
  <c r="H198" i="1"/>
  <c r="J198" i="1"/>
  <c r="A199" i="1"/>
  <c r="G199" i="1"/>
  <c r="H199" i="1"/>
  <c r="J199" i="1"/>
  <c r="A200" i="1"/>
  <c r="G200" i="1"/>
  <c r="H200" i="1"/>
  <c r="J200" i="1"/>
  <c r="A201" i="1"/>
  <c r="G201" i="1"/>
  <c r="H201" i="1"/>
  <c r="J201" i="1"/>
  <c r="A202" i="1"/>
  <c r="G202" i="1"/>
  <c r="H202" i="1"/>
  <c r="J202" i="1"/>
  <c r="A203" i="1"/>
  <c r="G203" i="1"/>
  <c r="H203" i="1"/>
  <c r="J203" i="1"/>
  <c r="A204" i="1"/>
  <c r="G204" i="1"/>
  <c r="H204" i="1"/>
  <c r="J204" i="1"/>
  <c r="A205" i="1"/>
  <c r="G205" i="1"/>
  <c r="H205" i="1"/>
  <c r="J205" i="1"/>
  <c r="A206" i="1"/>
  <c r="G206" i="1"/>
  <c r="H206" i="1"/>
  <c r="J206" i="1"/>
  <c r="A207" i="1"/>
  <c r="G207" i="1"/>
  <c r="H207" i="1"/>
  <c r="J207" i="1"/>
  <c r="A208" i="1"/>
  <c r="I208" i="1"/>
  <c r="J208" i="1"/>
  <c r="A209" i="1"/>
  <c r="G209" i="1"/>
  <c r="H209" i="1"/>
  <c r="J209" i="1"/>
  <c r="A210" i="1"/>
  <c r="G210" i="1"/>
  <c r="H210" i="1"/>
  <c r="J210" i="1"/>
  <c r="A211" i="1"/>
  <c r="G211" i="1"/>
  <c r="H211" i="1"/>
  <c r="J211" i="1"/>
  <c r="A212" i="1"/>
  <c r="G212" i="1"/>
  <c r="H212" i="1"/>
  <c r="J212" i="1"/>
  <c r="A213" i="1"/>
  <c r="G213" i="1"/>
  <c r="H213" i="1"/>
  <c r="J213" i="1"/>
  <c r="A214" i="1"/>
  <c r="G214" i="1"/>
  <c r="H214" i="1"/>
  <c r="J214" i="1"/>
  <c r="A215" i="1"/>
  <c r="G215" i="1"/>
  <c r="H215" i="1"/>
  <c r="J215" i="1"/>
  <c r="A216" i="1"/>
  <c r="G216" i="1"/>
  <c r="H216" i="1"/>
  <c r="J216" i="1"/>
  <c r="A217" i="1"/>
  <c r="G217" i="1"/>
  <c r="H217" i="1"/>
  <c r="J217" i="1"/>
  <c r="A218" i="1"/>
  <c r="G218" i="1"/>
  <c r="H218" i="1"/>
  <c r="J218" i="1"/>
  <c r="A219" i="1"/>
  <c r="G219" i="1"/>
  <c r="H219" i="1"/>
  <c r="J219" i="1"/>
  <c r="A220" i="1"/>
  <c r="G220" i="1"/>
  <c r="H220" i="1"/>
  <c r="J220" i="1"/>
  <c r="A221" i="1"/>
  <c r="G221" i="1"/>
  <c r="H221" i="1"/>
  <c r="J221" i="1"/>
  <c r="A222" i="1"/>
  <c r="G222" i="1"/>
  <c r="H222" i="1"/>
  <c r="J222" i="1"/>
  <c r="A223" i="1"/>
  <c r="G223" i="1"/>
  <c r="H223" i="1"/>
  <c r="J223" i="1"/>
  <c r="A224" i="1"/>
  <c r="G224" i="1"/>
  <c r="H224" i="1"/>
  <c r="J224" i="1"/>
  <c r="A225" i="1"/>
  <c r="G225" i="1"/>
  <c r="H225" i="1"/>
  <c r="J225" i="1"/>
  <c r="A226" i="1"/>
  <c r="G226" i="1"/>
  <c r="H226" i="1"/>
  <c r="J226" i="1"/>
  <c r="A227" i="1"/>
  <c r="G227" i="1"/>
  <c r="H227" i="1"/>
  <c r="J227" i="1"/>
  <c r="A228" i="1"/>
  <c r="G228" i="1"/>
  <c r="H228" i="1"/>
  <c r="J228" i="1"/>
  <c r="A229" i="1"/>
  <c r="G229" i="1"/>
  <c r="H229" i="1"/>
  <c r="J229" i="1"/>
  <c r="A230" i="1"/>
  <c r="G230" i="1"/>
  <c r="H230" i="1"/>
  <c r="J230" i="1"/>
  <c r="A231" i="1"/>
  <c r="G231" i="1"/>
  <c r="H231" i="1"/>
  <c r="J231" i="1"/>
  <c r="A232" i="1"/>
  <c r="G232" i="1"/>
  <c r="H232" i="1"/>
  <c r="J232" i="1"/>
  <c r="A233" i="1"/>
  <c r="G233" i="1"/>
  <c r="H233" i="1"/>
  <c r="J233" i="1"/>
  <c r="A234" i="1"/>
  <c r="G234" i="1"/>
  <c r="H234" i="1"/>
  <c r="J234" i="1"/>
  <c r="A235" i="1"/>
  <c r="G235" i="1"/>
  <c r="H235" i="1"/>
  <c r="J235" i="1"/>
  <c r="A236" i="1"/>
  <c r="G236" i="1"/>
  <c r="H236" i="1"/>
  <c r="J236" i="1"/>
  <c r="A237" i="1"/>
  <c r="G237" i="1"/>
  <c r="H237" i="1"/>
  <c r="J237" i="1"/>
  <c r="A238" i="1"/>
  <c r="G238" i="1"/>
  <c r="H238" i="1"/>
  <c r="J238" i="1"/>
  <c r="A239" i="1"/>
  <c r="G239" i="1"/>
  <c r="H239" i="1"/>
  <c r="J239" i="1"/>
  <c r="A240" i="1"/>
  <c r="G240" i="1"/>
  <c r="H240" i="1"/>
  <c r="J240" i="1"/>
  <c r="A241" i="1"/>
  <c r="G241" i="1"/>
  <c r="H241" i="1"/>
  <c r="J241" i="1"/>
  <c r="A242" i="1"/>
  <c r="G242" i="1"/>
  <c r="H242" i="1"/>
  <c r="J242" i="1"/>
  <c r="A243" i="1"/>
  <c r="G243" i="1"/>
  <c r="H243" i="1"/>
  <c r="J243" i="1"/>
  <c r="A244" i="1"/>
  <c r="G244" i="1"/>
  <c r="H244" i="1"/>
  <c r="J244" i="1"/>
  <c r="A245" i="1"/>
  <c r="G245" i="1"/>
  <c r="H245" i="1"/>
  <c r="J245" i="1"/>
  <c r="A246" i="1"/>
  <c r="G246" i="1"/>
  <c r="H246" i="1"/>
  <c r="J246" i="1"/>
  <c r="A247" i="1"/>
  <c r="G247" i="1"/>
  <c r="H247" i="1"/>
  <c r="J247" i="1"/>
  <c r="A248" i="1"/>
  <c r="G248" i="1"/>
  <c r="H248" i="1"/>
  <c r="J248" i="1"/>
  <c r="A249" i="1"/>
  <c r="G249" i="1"/>
  <c r="H249" i="1"/>
  <c r="J249" i="1"/>
  <c r="A250" i="1"/>
  <c r="G250" i="1"/>
  <c r="H250" i="1"/>
  <c r="J250" i="1"/>
  <c r="A251" i="1"/>
  <c r="G251" i="1"/>
  <c r="H251" i="1"/>
  <c r="J251" i="1"/>
  <c r="A252" i="1"/>
  <c r="G252" i="1"/>
  <c r="H252" i="1"/>
  <c r="J252" i="1"/>
  <c r="A253" i="1"/>
  <c r="G253" i="1"/>
  <c r="H253" i="1"/>
  <c r="J253" i="1"/>
  <c r="A254" i="1"/>
  <c r="G254" i="1"/>
  <c r="H254" i="1"/>
  <c r="J254" i="1"/>
  <c r="A255" i="1"/>
  <c r="G255" i="1"/>
  <c r="H255" i="1"/>
  <c r="J255" i="1"/>
  <c r="A256" i="1"/>
  <c r="G256" i="1"/>
  <c r="H256" i="1"/>
  <c r="J256" i="1"/>
  <c r="A257" i="1"/>
  <c r="G257" i="1"/>
  <c r="H257" i="1"/>
  <c r="J257" i="1"/>
  <c r="A258" i="1"/>
  <c r="G258" i="1"/>
  <c r="H258" i="1"/>
  <c r="J258" i="1"/>
  <c r="A259" i="1"/>
  <c r="G259" i="1"/>
  <c r="H259" i="1"/>
  <c r="J259" i="1"/>
  <c r="A260" i="1"/>
  <c r="G260" i="1"/>
  <c r="H260" i="1"/>
  <c r="J260" i="1"/>
  <c r="A261" i="1"/>
  <c r="G261" i="1"/>
  <c r="H261" i="1"/>
  <c r="J261" i="1"/>
  <c r="A262" i="1"/>
  <c r="G262" i="1"/>
  <c r="H262" i="1"/>
  <c r="J262" i="1"/>
  <c r="A263" i="1"/>
  <c r="G263" i="1"/>
  <c r="H263" i="1"/>
  <c r="J263" i="1"/>
  <c r="A264" i="1"/>
  <c r="G264" i="1"/>
  <c r="H264" i="1"/>
  <c r="J264" i="1"/>
  <c r="A265" i="1"/>
  <c r="G265" i="1"/>
  <c r="H265" i="1"/>
  <c r="J265" i="1"/>
  <c r="A266" i="1"/>
  <c r="G266" i="1"/>
  <c r="H266" i="1"/>
  <c r="J266" i="1"/>
  <c r="A267" i="1"/>
  <c r="G267" i="1"/>
  <c r="H267" i="1"/>
  <c r="J267" i="1"/>
  <c r="A268" i="1"/>
  <c r="G268" i="1"/>
  <c r="H268" i="1"/>
  <c r="J268" i="1"/>
  <c r="A269" i="1"/>
  <c r="G269" i="1"/>
  <c r="H269" i="1"/>
  <c r="J269" i="1"/>
  <c r="A270" i="1"/>
  <c r="G270" i="1"/>
  <c r="H270" i="1"/>
  <c r="J270" i="1"/>
  <c r="A271" i="1"/>
  <c r="G271" i="1"/>
  <c r="H271" i="1"/>
  <c r="J271" i="1"/>
  <c r="A272" i="1"/>
  <c r="G272" i="1"/>
  <c r="H272" i="1"/>
  <c r="J272" i="1"/>
  <c r="A273" i="1"/>
  <c r="G273" i="1"/>
  <c r="H273" i="1"/>
  <c r="J273" i="1"/>
  <c r="A274" i="1"/>
  <c r="G274" i="1"/>
  <c r="H274" i="1"/>
  <c r="J274" i="1"/>
  <c r="A275" i="1"/>
  <c r="G275" i="1"/>
  <c r="H275" i="1"/>
  <c r="J275" i="1"/>
  <c r="A276" i="1"/>
  <c r="G276" i="1"/>
  <c r="H276" i="1"/>
  <c r="J276" i="1"/>
  <c r="A277" i="1"/>
  <c r="G277" i="1"/>
  <c r="H277" i="1"/>
  <c r="J277" i="1"/>
  <c r="A278" i="1"/>
  <c r="G278" i="1"/>
  <c r="H278" i="1"/>
  <c r="J278" i="1"/>
  <c r="A279" i="1"/>
  <c r="G279" i="1"/>
  <c r="H279" i="1"/>
  <c r="A280" i="1"/>
  <c r="G280" i="1"/>
  <c r="H280" i="1"/>
  <c r="A281" i="1"/>
  <c r="G281" i="1"/>
  <c r="H281" i="1"/>
  <c r="J281" i="1"/>
  <c r="A282" i="1"/>
  <c r="G282" i="1"/>
  <c r="H282" i="1"/>
  <c r="J282" i="1"/>
  <c r="A283" i="1"/>
  <c r="G283" i="1"/>
  <c r="H283" i="1"/>
  <c r="J283" i="1"/>
  <c r="A284" i="1"/>
  <c r="G284" i="1"/>
  <c r="H284" i="1"/>
  <c r="J284" i="1"/>
  <c r="A285" i="1"/>
  <c r="G285" i="1"/>
  <c r="H285" i="1"/>
  <c r="J285" i="1"/>
  <c r="A286" i="1"/>
  <c r="G286" i="1"/>
  <c r="H286" i="1"/>
  <c r="J286" i="1"/>
  <c r="A287" i="1"/>
  <c r="G287" i="1"/>
  <c r="H287" i="1"/>
  <c r="J287" i="1"/>
  <c r="A288" i="1"/>
  <c r="G288" i="1"/>
  <c r="H288" i="1"/>
  <c r="J288" i="1"/>
  <c r="A289" i="1"/>
  <c r="G289" i="1"/>
  <c r="H289" i="1"/>
  <c r="J289" i="1"/>
  <c r="A290" i="1"/>
  <c r="G290" i="1"/>
  <c r="H290" i="1"/>
  <c r="J290" i="1"/>
  <c r="A291" i="1"/>
  <c r="G291" i="1"/>
  <c r="H291" i="1"/>
  <c r="J291" i="1"/>
  <c r="A292" i="1"/>
  <c r="G292" i="1"/>
  <c r="H292" i="1"/>
  <c r="J292" i="1"/>
  <c r="A293" i="1"/>
  <c r="G293" i="1"/>
  <c r="H293" i="1"/>
  <c r="J293" i="1"/>
  <c r="A294" i="1"/>
  <c r="G294" i="1"/>
  <c r="H294" i="1"/>
  <c r="J294" i="1"/>
  <c r="A295" i="1"/>
  <c r="G295" i="1"/>
  <c r="H295" i="1"/>
  <c r="J295" i="1"/>
  <c r="A296" i="1"/>
  <c r="G296" i="1"/>
  <c r="H296" i="1"/>
  <c r="J296" i="1"/>
  <c r="A297" i="1"/>
  <c r="G297" i="1"/>
  <c r="H297" i="1"/>
  <c r="J297" i="1"/>
  <c r="A298" i="1"/>
  <c r="G298" i="1"/>
  <c r="H298" i="1"/>
  <c r="J298" i="1"/>
  <c r="A299" i="1"/>
  <c r="G299" i="1"/>
  <c r="H299" i="1"/>
  <c r="J299" i="1"/>
  <c r="A300" i="1"/>
  <c r="G300" i="1"/>
  <c r="H300" i="1"/>
  <c r="J300" i="1"/>
  <c r="A301" i="1"/>
  <c r="G301" i="1"/>
  <c r="H301" i="1"/>
  <c r="J301" i="1"/>
  <c r="A302" i="1"/>
  <c r="G302" i="1"/>
  <c r="H302" i="1"/>
  <c r="J302" i="1"/>
  <c r="A303" i="1"/>
  <c r="G303" i="1"/>
  <c r="H303" i="1"/>
  <c r="J303" i="1"/>
  <c r="A304" i="1"/>
  <c r="G304" i="1"/>
  <c r="H304" i="1"/>
  <c r="J304" i="1"/>
  <c r="A305" i="1"/>
  <c r="G305" i="1"/>
  <c r="H305" i="1"/>
  <c r="J305" i="1"/>
  <c r="A306" i="1"/>
  <c r="G306" i="1"/>
  <c r="H306" i="1"/>
  <c r="J306" i="1"/>
  <c r="A307" i="1"/>
  <c r="G307" i="1"/>
  <c r="H307" i="1"/>
  <c r="J307" i="1"/>
  <c r="A308" i="1"/>
  <c r="G308" i="1"/>
  <c r="H308" i="1"/>
  <c r="J308" i="1"/>
  <c r="A309" i="1"/>
  <c r="G309" i="1"/>
  <c r="H309" i="1"/>
  <c r="J309" i="1"/>
  <c r="A310" i="1"/>
  <c r="G310" i="1"/>
  <c r="H310" i="1"/>
  <c r="J310" i="1"/>
  <c r="A311" i="1"/>
  <c r="G311" i="1"/>
  <c r="H311" i="1"/>
  <c r="J311" i="1"/>
  <c r="A312" i="1"/>
  <c r="G312" i="1"/>
  <c r="H312" i="1"/>
  <c r="J312" i="1"/>
  <c r="A313" i="1"/>
  <c r="G313" i="1"/>
  <c r="H313" i="1"/>
  <c r="J313" i="1"/>
  <c r="A314" i="1"/>
  <c r="G314" i="1"/>
  <c r="H314" i="1"/>
  <c r="J314" i="1"/>
  <c r="A315" i="1"/>
  <c r="G315" i="1"/>
  <c r="H315" i="1"/>
  <c r="J315" i="1"/>
  <c r="A316" i="1"/>
  <c r="G316" i="1"/>
  <c r="H316" i="1"/>
  <c r="J316" i="1"/>
  <c r="A317" i="1"/>
  <c r="G317" i="1"/>
  <c r="H317" i="1"/>
  <c r="J317" i="1"/>
  <c r="A318" i="1"/>
  <c r="G318" i="1"/>
  <c r="H318" i="1"/>
  <c r="J318" i="1"/>
  <c r="A319" i="1"/>
  <c r="G319" i="1"/>
  <c r="H319" i="1"/>
  <c r="J319" i="1"/>
  <c r="A320" i="1"/>
  <c r="G320" i="1"/>
  <c r="H320" i="1"/>
  <c r="J320" i="1"/>
  <c r="A321" i="1"/>
  <c r="G321" i="1"/>
  <c r="H321" i="1"/>
  <c r="J321" i="1"/>
  <c r="A322" i="1"/>
  <c r="G322" i="1"/>
  <c r="H322" i="1"/>
  <c r="J322" i="1"/>
  <c r="A323" i="1"/>
  <c r="G323" i="1"/>
  <c r="H323" i="1"/>
  <c r="J323" i="1"/>
  <c r="A324" i="1"/>
  <c r="G324" i="1"/>
  <c r="H324" i="1"/>
  <c r="J324" i="1"/>
  <c r="A325" i="1"/>
  <c r="G325" i="1"/>
  <c r="H325" i="1"/>
  <c r="J325" i="1"/>
  <c r="A326" i="1"/>
  <c r="G326" i="1"/>
  <c r="H326" i="1"/>
  <c r="J326" i="1"/>
  <c r="A327" i="1"/>
  <c r="G327" i="1"/>
  <c r="H327" i="1"/>
  <c r="J327" i="1"/>
  <c r="A328" i="1"/>
  <c r="G328" i="1"/>
  <c r="H328" i="1"/>
  <c r="J328" i="1"/>
  <c r="A329" i="1"/>
  <c r="G329" i="1"/>
  <c r="H329" i="1"/>
  <c r="J329" i="1"/>
  <c r="A330" i="1"/>
  <c r="G330" i="1"/>
  <c r="H330" i="1"/>
  <c r="J330" i="1"/>
  <c r="A331" i="1"/>
  <c r="G331" i="1"/>
  <c r="H331" i="1"/>
  <c r="J331" i="1"/>
  <c r="A332" i="1"/>
  <c r="G332" i="1"/>
  <c r="H332" i="1"/>
  <c r="J332" i="1"/>
  <c r="A333" i="1"/>
  <c r="G333" i="1"/>
  <c r="H333" i="1"/>
  <c r="J333" i="1"/>
  <c r="A334" i="1"/>
  <c r="G334" i="1"/>
  <c r="H334" i="1"/>
  <c r="J334" i="1"/>
  <c r="A335" i="1"/>
  <c r="G335" i="1"/>
  <c r="H335" i="1"/>
  <c r="J335" i="1"/>
  <c r="A336" i="1"/>
  <c r="G336" i="1"/>
  <c r="H336" i="1"/>
  <c r="J336" i="1"/>
  <c r="A337" i="1"/>
  <c r="G337" i="1"/>
  <c r="H337" i="1"/>
  <c r="J337" i="1"/>
  <c r="A338" i="1"/>
  <c r="G338" i="1"/>
  <c r="H338" i="1"/>
  <c r="J338" i="1"/>
  <c r="A339" i="1"/>
  <c r="G339" i="1"/>
  <c r="H339" i="1"/>
  <c r="J339" i="1"/>
  <c r="A340" i="1"/>
  <c r="G340" i="1"/>
  <c r="H340" i="1"/>
  <c r="J340" i="1"/>
  <c r="A341" i="1"/>
  <c r="G341" i="1"/>
  <c r="H341" i="1"/>
  <c r="J341" i="1"/>
  <c r="A342" i="1"/>
  <c r="G342" i="1"/>
  <c r="H342" i="1"/>
  <c r="J342" i="1"/>
  <c r="A343" i="1"/>
  <c r="G343" i="1"/>
  <c r="H343" i="1"/>
  <c r="J343" i="1"/>
  <c r="A344" i="1"/>
  <c r="G344" i="1"/>
  <c r="H344" i="1"/>
  <c r="J344" i="1"/>
  <c r="A345" i="1"/>
  <c r="G345" i="1"/>
  <c r="H345" i="1"/>
  <c r="J345" i="1"/>
  <c r="A346" i="1"/>
  <c r="G346" i="1"/>
  <c r="H346" i="1"/>
  <c r="J346" i="1"/>
  <c r="A347" i="1"/>
  <c r="G347" i="1"/>
  <c r="H347" i="1"/>
  <c r="J347" i="1"/>
  <c r="A348" i="1"/>
  <c r="G348" i="1"/>
  <c r="H348" i="1"/>
  <c r="J348" i="1"/>
  <c r="A349" i="1"/>
  <c r="G349" i="1"/>
  <c r="H349" i="1"/>
  <c r="J349" i="1"/>
  <c r="A350" i="1"/>
  <c r="G350" i="1"/>
  <c r="H350" i="1"/>
  <c r="J350" i="1"/>
  <c r="A351" i="1"/>
  <c r="G351" i="1"/>
  <c r="H351" i="1"/>
  <c r="J351" i="1"/>
  <c r="A352" i="1"/>
  <c r="G352" i="1"/>
  <c r="H352" i="1"/>
  <c r="J352" i="1"/>
  <c r="A353" i="1"/>
  <c r="G353" i="1"/>
  <c r="H353" i="1"/>
  <c r="J353" i="1"/>
  <c r="A354" i="1"/>
  <c r="G354" i="1"/>
  <c r="H354" i="1"/>
  <c r="J354" i="1"/>
  <c r="A355" i="1"/>
  <c r="G355" i="1"/>
  <c r="H355" i="1"/>
  <c r="J355" i="1"/>
  <c r="A356" i="1"/>
  <c r="G356" i="1"/>
  <c r="H356" i="1"/>
  <c r="J356" i="1"/>
  <c r="A357" i="1"/>
  <c r="G357" i="1"/>
  <c r="H357" i="1"/>
  <c r="J357" i="1"/>
  <c r="A358" i="1"/>
  <c r="G358" i="1"/>
  <c r="H358" i="1"/>
  <c r="J358" i="1"/>
  <c r="A359" i="1"/>
  <c r="G359" i="1"/>
  <c r="H359" i="1"/>
  <c r="J359" i="1"/>
  <c r="A360" i="1"/>
  <c r="G360" i="1"/>
  <c r="H360" i="1"/>
  <c r="J360" i="1"/>
  <c r="A361" i="1"/>
  <c r="G361" i="1"/>
  <c r="H361" i="1"/>
  <c r="J361" i="1"/>
  <c r="A362" i="1"/>
  <c r="G362" i="1"/>
  <c r="H362" i="1"/>
  <c r="J362" i="1"/>
  <c r="A363" i="1"/>
  <c r="G363" i="1"/>
  <c r="H363" i="1"/>
  <c r="J363" i="1"/>
  <c r="A364" i="1"/>
  <c r="G364" i="1"/>
  <c r="H364" i="1"/>
  <c r="J364" i="1"/>
  <c r="A365" i="1"/>
  <c r="G365" i="1"/>
  <c r="H365" i="1"/>
  <c r="J365" i="1"/>
  <c r="A366" i="1"/>
  <c r="G366" i="1"/>
  <c r="H366" i="1"/>
  <c r="J366" i="1"/>
  <c r="A367" i="1"/>
  <c r="G367" i="1"/>
  <c r="H367" i="1"/>
  <c r="J367" i="1"/>
  <c r="A368" i="1"/>
  <c r="G368" i="1"/>
  <c r="H368" i="1"/>
  <c r="J368" i="1"/>
  <c r="A369" i="1"/>
  <c r="G369" i="1"/>
  <c r="H369" i="1"/>
  <c r="J369" i="1"/>
  <c r="A370" i="1"/>
  <c r="G370" i="1"/>
  <c r="H370" i="1"/>
  <c r="J370" i="1"/>
  <c r="A371" i="1"/>
  <c r="G371" i="1"/>
  <c r="H371" i="1"/>
  <c r="J371" i="1"/>
  <c r="A372" i="1"/>
  <c r="G372" i="1"/>
  <c r="H372" i="1"/>
  <c r="J372" i="1"/>
  <c r="A373" i="1"/>
  <c r="G373" i="1"/>
  <c r="H373" i="1"/>
  <c r="J373" i="1"/>
  <c r="A374" i="1"/>
  <c r="G374" i="1"/>
  <c r="H374" i="1"/>
  <c r="J374" i="1"/>
  <c r="A375" i="1"/>
  <c r="G375" i="1"/>
  <c r="H375" i="1"/>
  <c r="J375" i="1"/>
  <c r="A376" i="1"/>
  <c r="G376" i="1"/>
  <c r="H376" i="1"/>
  <c r="J376" i="1"/>
  <c r="A377" i="1"/>
  <c r="G377" i="1"/>
  <c r="H377" i="1"/>
  <c r="J377" i="1"/>
  <c r="A378" i="1"/>
  <c r="G378" i="1"/>
  <c r="H378" i="1"/>
  <c r="J378" i="1"/>
  <c r="A379" i="1"/>
  <c r="G379" i="1"/>
  <c r="H379" i="1"/>
  <c r="J379" i="1"/>
  <c r="A380" i="1"/>
  <c r="G380" i="1"/>
  <c r="H380" i="1"/>
  <c r="J380" i="1"/>
  <c r="A381" i="1"/>
  <c r="G381" i="1"/>
  <c r="H381" i="1"/>
  <c r="J381" i="1"/>
  <c r="A382" i="1"/>
  <c r="G382" i="1"/>
  <c r="H382" i="1"/>
  <c r="J382" i="1"/>
  <c r="A383" i="1"/>
  <c r="G383" i="1"/>
  <c r="H383" i="1"/>
  <c r="J383" i="1"/>
  <c r="A384" i="1"/>
  <c r="G384" i="1"/>
  <c r="H384" i="1"/>
  <c r="J384" i="1"/>
  <c r="A385" i="1"/>
  <c r="G385" i="1"/>
  <c r="H385" i="1"/>
  <c r="J385" i="1"/>
  <c r="A386" i="1"/>
  <c r="G386" i="1"/>
  <c r="H386" i="1"/>
  <c r="J386" i="1"/>
  <c r="A387" i="1"/>
  <c r="G387" i="1"/>
  <c r="H387" i="1"/>
  <c r="J387" i="1"/>
  <c r="A388" i="1"/>
  <c r="G388" i="1"/>
  <c r="H388" i="1"/>
  <c r="J388" i="1"/>
  <c r="A389" i="1"/>
  <c r="G389" i="1"/>
  <c r="H389" i="1"/>
  <c r="J389" i="1"/>
  <c r="A390" i="1"/>
  <c r="G390" i="1"/>
  <c r="H390" i="1"/>
  <c r="J390" i="1"/>
  <c r="A391" i="1"/>
  <c r="G391" i="1"/>
  <c r="H391" i="1"/>
  <c r="J391" i="1"/>
  <c r="A392" i="1"/>
  <c r="G392" i="1"/>
  <c r="H392" i="1"/>
  <c r="J392" i="1"/>
  <c r="A393" i="1"/>
  <c r="G393" i="1"/>
  <c r="H393" i="1"/>
  <c r="J393" i="1"/>
  <c r="A394" i="1"/>
  <c r="G394" i="1"/>
  <c r="H394" i="1"/>
  <c r="J394" i="1"/>
  <c r="A395" i="1"/>
  <c r="G395" i="1"/>
  <c r="H395" i="1"/>
  <c r="J395" i="1"/>
  <c r="A396" i="1"/>
  <c r="G396" i="1"/>
  <c r="H396" i="1"/>
  <c r="J396" i="1"/>
  <c r="A397" i="1"/>
  <c r="G397" i="1"/>
  <c r="H397" i="1"/>
  <c r="J397" i="1"/>
  <c r="A398" i="1"/>
  <c r="G398" i="1"/>
  <c r="H398" i="1"/>
  <c r="J398" i="1"/>
  <c r="A399" i="1"/>
  <c r="G399" i="1"/>
  <c r="H399" i="1"/>
  <c r="J399" i="1"/>
  <c r="A400" i="1"/>
  <c r="G400" i="1"/>
  <c r="H400" i="1"/>
  <c r="J400" i="1"/>
  <c r="A401" i="1"/>
  <c r="G401" i="1"/>
  <c r="H401" i="1"/>
  <c r="J401" i="1"/>
  <c r="A402" i="1"/>
  <c r="G402" i="1"/>
  <c r="H402" i="1"/>
  <c r="J402" i="1"/>
  <c r="A403" i="1"/>
  <c r="G403" i="1"/>
  <c r="H403" i="1"/>
  <c r="J403" i="1"/>
  <c r="A404" i="1"/>
  <c r="G404" i="1"/>
  <c r="H404" i="1"/>
  <c r="J404" i="1"/>
  <c r="A405" i="1"/>
  <c r="G405" i="1"/>
  <c r="H405" i="1"/>
  <c r="J405" i="1"/>
  <c r="A406" i="1"/>
  <c r="G406" i="1"/>
  <c r="H406" i="1"/>
  <c r="J406" i="1"/>
  <c r="A407" i="1"/>
  <c r="G407" i="1"/>
  <c r="H407" i="1"/>
  <c r="J407" i="1"/>
  <c r="A408" i="1"/>
  <c r="G408" i="1"/>
  <c r="H408" i="1"/>
  <c r="J408" i="1"/>
  <c r="A409" i="1"/>
  <c r="G409" i="1"/>
  <c r="H409" i="1"/>
  <c r="J409" i="1"/>
  <c r="A410" i="1"/>
  <c r="G410" i="1"/>
  <c r="H410" i="1"/>
  <c r="J410" i="1"/>
  <c r="A411" i="1"/>
  <c r="G411" i="1"/>
  <c r="H411" i="1"/>
  <c r="J411" i="1"/>
  <c r="A412" i="1"/>
  <c r="G412" i="1"/>
  <c r="H412" i="1"/>
  <c r="J412" i="1"/>
  <c r="A413" i="1"/>
  <c r="G413" i="1"/>
  <c r="H413" i="1"/>
  <c r="J413" i="1"/>
  <c r="A414" i="1"/>
  <c r="G414" i="1"/>
  <c r="H414" i="1"/>
  <c r="J414" i="1"/>
  <c r="A415" i="1"/>
  <c r="G415" i="1"/>
  <c r="H415" i="1"/>
  <c r="J415" i="1"/>
  <c r="A416" i="1"/>
  <c r="G416" i="1"/>
  <c r="H416" i="1"/>
  <c r="J416" i="1"/>
  <c r="A417" i="1"/>
  <c r="G417" i="1"/>
  <c r="H417" i="1"/>
  <c r="J417" i="1"/>
  <c r="A418" i="1"/>
  <c r="G418" i="1"/>
  <c r="H418" i="1"/>
  <c r="J418" i="1"/>
  <c r="A419" i="1"/>
  <c r="G419" i="1"/>
  <c r="H419" i="1"/>
  <c r="J419" i="1"/>
  <c r="A420" i="1"/>
  <c r="G420" i="1"/>
  <c r="H420" i="1"/>
  <c r="J420" i="1"/>
  <c r="A421" i="1"/>
  <c r="G421" i="1"/>
  <c r="H421" i="1"/>
  <c r="J421" i="1"/>
  <c r="A422" i="1"/>
  <c r="I422" i="1"/>
  <c r="J422" i="1"/>
  <c r="A423" i="1"/>
  <c r="G423" i="1"/>
  <c r="H423" i="1"/>
  <c r="J423" i="1"/>
  <c r="A424" i="1"/>
  <c r="I424" i="1"/>
  <c r="J424" i="1"/>
  <c r="A425" i="1"/>
  <c r="G425" i="1"/>
  <c r="H425" i="1"/>
  <c r="J425" i="1"/>
  <c r="A426" i="1"/>
  <c r="G426" i="1"/>
  <c r="H426" i="1"/>
  <c r="J426" i="1"/>
  <c r="A427" i="1"/>
  <c r="G427" i="1"/>
  <c r="H427" i="1"/>
  <c r="J427" i="1"/>
  <c r="A428" i="1"/>
  <c r="G428" i="1"/>
  <c r="H428" i="1"/>
  <c r="J428" i="1"/>
  <c r="A429" i="1"/>
  <c r="G429" i="1"/>
  <c r="H429" i="1"/>
  <c r="J429" i="1"/>
  <c r="A430" i="1"/>
  <c r="G430" i="1"/>
  <c r="H430" i="1"/>
  <c r="J430" i="1"/>
  <c r="A431" i="1"/>
  <c r="G431" i="1"/>
  <c r="H431" i="1"/>
  <c r="J431" i="1"/>
  <c r="A432" i="1"/>
  <c r="G432" i="1"/>
  <c r="H432" i="1"/>
  <c r="J432" i="1"/>
  <c r="A433" i="1"/>
  <c r="G433" i="1"/>
  <c r="H433" i="1"/>
  <c r="J433" i="1"/>
  <c r="A434" i="1"/>
  <c r="G434" i="1"/>
  <c r="H434" i="1"/>
  <c r="J434" i="1"/>
  <c r="A435" i="1"/>
  <c r="G435" i="1"/>
  <c r="H435" i="1"/>
  <c r="J435" i="1"/>
  <c r="A436" i="1"/>
  <c r="G436" i="1"/>
  <c r="H436" i="1"/>
  <c r="J436" i="1"/>
  <c r="A437" i="1"/>
  <c r="G437" i="1"/>
  <c r="H437" i="1"/>
  <c r="J437" i="1"/>
  <c r="A438" i="1"/>
  <c r="G438" i="1"/>
  <c r="H438" i="1"/>
  <c r="J438" i="1"/>
  <c r="A439" i="1"/>
  <c r="G439" i="1"/>
  <c r="H439" i="1"/>
  <c r="J439" i="1"/>
  <c r="A440" i="1"/>
  <c r="G440" i="1"/>
  <c r="H440" i="1"/>
  <c r="J440" i="1"/>
  <c r="A441" i="1"/>
  <c r="G441" i="1"/>
  <c r="H441" i="1"/>
  <c r="J441" i="1"/>
  <c r="A442" i="1"/>
  <c r="G442" i="1"/>
  <c r="H442" i="1"/>
  <c r="J442" i="1"/>
  <c r="A443" i="1"/>
  <c r="G443" i="1"/>
  <c r="H443" i="1"/>
  <c r="J443" i="1"/>
  <c r="A444" i="1"/>
  <c r="G444" i="1"/>
  <c r="H444" i="1"/>
  <c r="J444" i="1"/>
  <c r="A445" i="1"/>
  <c r="G445" i="1"/>
  <c r="H445" i="1"/>
  <c r="J445" i="1"/>
  <c r="A446" i="1"/>
  <c r="G446" i="1"/>
  <c r="H446" i="1"/>
  <c r="J446" i="1"/>
  <c r="A447" i="1"/>
  <c r="G447" i="1"/>
  <c r="H447" i="1"/>
  <c r="J447" i="1"/>
  <c r="A448" i="1"/>
  <c r="G448" i="1"/>
  <c r="H448" i="1"/>
  <c r="J448" i="1"/>
  <c r="A449" i="1"/>
  <c r="G449" i="1"/>
  <c r="H449" i="1"/>
  <c r="J449" i="1"/>
  <c r="A450" i="1"/>
  <c r="I450" i="1"/>
  <c r="J450" i="1"/>
  <c r="A451" i="1"/>
  <c r="I451" i="1"/>
  <c r="J451" i="1"/>
  <c r="A452" i="1"/>
  <c r="G452" i="1"/>
  <c r="H452" i="1"/>
  <c r="J452" i="1"/>
  <c r="A453" i="1"/>
  <c r="G453" i="1"/>
  <c r="H453" i="1"/>
  <c r="J453" i="1"/>
  <c r="A454" i="1"/>
  <c r="G454" i="1"/>
  <c r="H454" i="1"/>
  <c r="J454" i="1"/>
  <c r="A455" i="1"/>
  <c r="G455" i="1"/>
  <c r="H455" i="1"/>
  <c r="J455" i="1"/>
  <c r="A456" i="1"/>
  <c r="G456" i="1"/>
  <c r="H456" i="1"/>
  <c r="J456" i="1"/>
  <c r="A457" i="1"/>
  <c r="G457" i="1"/>
  <c r="H457" i="1"/>
  <c r="J457" i="1"/>
  <c r="A458" i="1"/>
  <c r="G458" i="1"/>
  <c r="H458" i="1"/>
  <c r="J458" i="1"/>
  <c r="A459" i="1"/>
  <c r="G459" i="1"/>
  <c r="H459" i="1"/>
  <c r="J459" i="1"/>
  <c r="A460" i="1"/>
  <c r="G460" i="1"/>
  <c r="H460" i="1"/>
  <c r="J460" i="1"/>
  <c r="A461" i="1"/>
  <c r="G461" i="1"/>
  <c r="H461" i="1"/>
  <c r="J461" i="1"/>
  <c r="A462" i="1"/>
  <c r="G462" i="1"/>
  <c r="H462" i="1"/>
  <c r="J462" i="1"/>
  <c r="A463" i="1"/>
  <c r="G463" i="1"/>
  <c r="H463" i="1"/>
  <c r="J463" i="1"/>
  <c r="A464" i="1"/>
  <c r="G464" i="1"/>
  <c r="H464" i="1"/>
  <c r="J464" i="1"/>
  <c r="A465" i="1"/>
  <c r="G465" i="1"/>
  <c r="H465" i="1"/>
  <c r="J465" i="1"/>
  <c r="A466" i="1"/>
  <c r="G466" i="1"/>
  <c r="H466" i="1"/>
  <c r="J466" i="1"/>
  <c r="A467" i="1"/>
  <c r="G467" i="1"/>
  <c r="H467" i="1"/>
  <c r="J467" i="1"/>
  <c r="A468" i="1"/>
  <c r="G468" i="1"/>
  <c r="H468" i="1"/>
  <c r="J468" i="1"/>
  <c r="A469" i="1"/>
  <c r="G469" i="1"/>
  <c r="H469" i="1"/>
  <c r="J469" i="1"/>
  <c r="A470" i="1"/>
  <c r="G470" i="1"/>
  <c r="H470" i="1"/>
  <c r="J470" i="1"/>
  <c r="A471" i="1"/>
  <c r="G471" i="1"/>
  <c r="H471" i="1"/>
  <c r="J471" i="1"/>
  <c r="A472" i="1"/>
  <c r="G472" i="1"/>
  <c r="H472" i="1"/>
  <c r="J472" i="1"/>
  <c r="A473" i="1"/>
  <c r="G473" i="1"/>
  <c r="H473" i="1"/>
  <c r="J473" i="1"/>
  <c r="A474" i="1"/>
  <c r="G474" i="1"/>
  <c r="H474" i="1"/>
  <c r="J474" i="1"/>
  <c r="A475" i="1"/>
  <c r="G475" i="1"/>
  <c r="H475" i="1"/>
  <c r="J475" i="1"/>
  <c r="A476" i="1"/>
  <c r="G476" i="1"/>
  <c r="H476" i="1"/>
  <c r="J476" i="1"/>
  <c r="A477" i="1"/>
  <c r="G477" i="1"/>
  <c r="H477" i="1"/>
  <c r="J477" i="1"/>
  <c r="A478" i="1"/>
  <c r="G478" i="1"/>
  <c r="H478" i="1"/>
  <c r="J478" i="1"/>
  <c r="A479" i="1"/>
  <c r="G479" i="1"/>
  <c r="H479" i="1"/>
  <c r="J479" i="1"/>
  <c r="A480" i="1"/>
  <c r="G480" i="1"/>
  <c r="H480" i="1"/>
  <c r="J480" i="1"/>
  <c r="A481" i="1"/>
  <c r="G481" i="1"/>
  <c r="H481" i="1"/>
  <c r="J481" i="1"/>
  <c r="A482" i="1"/>
  <c r="G482" i="1"/>
  <c r="H482" i="1"/>
  <c r="J482" i="1"/>
  <c r="A483" i="1"/>
  <c r="G483" i="1"/>
  <c r="H483" i="1"/>
  <c r="J483" i="1"/>
  <c r="A484" i="1"/>
  <c r="G484" i="1"/>
  <c r="H484" i="1"/>
  <c r="J484" i="1"/>
  <c r="A485" i="1"/>
  <c r="G485" i="1"/>
  <c r="H485" i="1"/>
  <c r="J485" i="1"/>
  <c r="A486" i="1"/>
  <c r="G486" i="1"/>
  <c r="H486" i="1"/>
  <c r="J486" i="1"/>
  <c r="A487" i="1"/>
  <c r="G487" i="1"/>
  <c r="H487" i="1"/>
  <c r="J487" i="1"/>
  <c r="A488" i="1"/>
  <c r="G488" i="1"/>
  <c r="H488" i="1"/>
  <c r="J488" i="1"/>
  <c r="A489" i="1"/>
  <c r="G489" i="1"/>
  <c r="H489" i="1"/>
  <c r="J489" i="1"/>
  <c r="A490" i="1"/>
  <c r="G490" i="1"/>
  <c r="H490" i="1"/>
  <c r="J490" i="1"/>
  <c r="A491" i="1"/>
  <c r="G491" i="1"/>
  <c r="H491" i="1"/>
  <c r="J491" i="1"/>
  <c r="A492" i="1"/>
  <c r="G492" i="1"/>
  <c r="H492" i="1"/>
  <c r="J492" i="1"/>
  <c r="A493" i="1"/>
  <c r="G493" i="1"/>
  <c r="H493" i="1"/>
  <c r="J493" i="1"/>
  <c r="A494" i="1"/>
  <c r="G494" i="1"/>
  <c r="H494" i="1"/>
  <c r="J494" i="1"/>
  <c r="A495" i="1"/>
  <c r="G495" i="1"/>
  <c r="H495" i="1"/>
  <c r="J495" i="1"/>
  <c r="A496" i="1"/>
  <c r="G496" i="1"/>
  <c r="H496" i="1"/>
  <c r="J496" i="1"/>
  <c r="A497" i="1"/>
  <c r="G497" i="1"/>
  <c r="H497" i="1"/>
  <c r="A498" i="1"/>
  <c r="G498" i="1"/>
  <c r="H498" i="1"/>
  <c r="A499" i="1"/>
  <c r="G499" i="1"/>
  <c r="H499" i="1"/>
  <c r="J499" i="1"/>
  <c r="A500" i="1"/>
  <c r="G500" i="1"/>
  <c r="H500" i="1"/>
  <c r="J500" i="1"/>
  <c r="A501" i="1"/>
  <c r="I501" i="1"/>
  <c r="J501" i="1"/>
  <c r="A502" i="1"/>
  <c r="I502" i="1"/>
  <c r="J502" i="1"/>
  <c r="A503" i="1"/>
  <c r="G503" i="1"/>
  <c r="H503" i="1"/>
  <c r="J503" i="1"/>
  <c r="A504" i="1"/>
  <c r="G504" i="1"/>
  <c r="H504" i="1"/>
  <c r="J504" i="1"/>
  <c r="A505" i="1"/>
  <c r="G505" i="1"/>
  <c r="H505" i="1"/>
  <c r="J505" i="1"/>
  <c r="A506" i="1"/>
  <c r="G506" i="1"/>
  <c r="H506" i="1"/>
  <c r="J506" i="1"/>
  <c r="A507" i="1"/>
  <c r="G507" i="1"/>
  <c r="H507" i="1"/>
  <c r="J507" i="1"/>
  <c r="A508" i="1"/>
  <c r="G508" i="1"/>
  <c r="H508" i="1"/>
  <c r="J508" i="1"/>
  <c r="A509" i="1"/>
  <c r="G509" i="1"/>
  <c r="H509" i="1"/>
  <c r="J509" i="1"/>
  <c r="A510" i="1"/>
  <c r="G510" i="1"/>
  <c r="H510" i="1"/>
  <c r="J510" i="1"/>
  <c r="A511" i="1"/>
  <c r="G511" i="1"/>
  <c r="H511" i="1"/>
  <c r="J511" i="1"/>
  <c r="A512" i="1"/>
  <c r="G512" i="1"/>
  <c r="H512" i="1"/>
  <c r="J512" i="1"/>
  <c r="A513" i="1"/>
  <c r="G513" i="1"/>
  <c r="H513" i="1"/>
  <c r="J513" i="1"/>
  <c r="A514" i="1"/>
  <c r="G514" i="1"/>
  <c r="H514" i="1"/>
  <c r="J514" i="1"/>
  <c r="A515" i="1"/>
  <c r="G515" i="1"/>
  <c r="H515" i="1"/>
  <c r="J515" i="1"/>
  <c r="A516" i="1"/>
  <c r="G516" i="1"/>
  <c r="H516" i="1"/>
  <c r="J516" i="1"/>
  <c r="A517" i="1"/>
  <c r="G517" i="1"/>
  <c r="H517" i="1"/>
  <c r="J517" i="1"/>
  <c r="A518" i="1"/>
  <c r="G518" i="1"/>
  <c r="H518" i="1"/>
  <c r="J518" i="1"/>
  <c r="A519" i="1"/>
  <c r="G519" i="1"/>
  <c r="H519" i="1"/>
  <c r="J519" i="1"/>
  <c r="A520" i="1"/>
  <c r="G520" i="1"/>
  <c r="H520" i="1"/>
  <c r="J520" i="1"/>
  <c r="A521" i="1"/>
  <c r="G521" i="1"/>
  <c r="H521" i="1"/>
  <c r="J521" i="1"/>
  <c r="A522" i="1"/>
  <c r="G522" i="1"/>
  <c r="H522" i="1"/>
  <c r="J522" i="1"/>
  <c r="A523" i="1"/>
  <c r="G523" i="1"/>
  <c r="H523" i="1"/>
  <c r="J523" i="1"/>
  <c r="A524" i="1"/>
  <c r="G524" i="1"/>
  <c r="H524" i="1"/>
  <c r="J524" i="1"/>
  <c r="A525" i="1"/>
  <c r="G525" i="1"/>
  <c r="H525" i="1"/>
  <c r="J525" i="1"/>
  <c r="A526" i="1"/>
  <c r="G526" i="1"/>
  <c r="H526" i="1"/>
  <c r="J526" i="1"/>
  <c r="A527" i="1"/>
  <c r="G527" i="1"/>
  <c r="H527" i="1"/>
  <c r="J527" i="1"/>
  <c r="A528" i="1"/>
  <c r="G528" i="1"/>
  <c r="H528" i="1"/>
  <c r="J528" i="1"/>
  <c r="A529" i="1"/>
  <c r="G529" i="1"/>
  <c r="H529" i="1"/>
  <c r="J529" i="1"/>
  <c r="A530" i="1"/>
  <c r="G530" i="1"/>
  <c r="H530" i="1"/>
  <c r="J530" i="1"/>
  <c r="A531" i="1"/>
  <c r="G531" i="1"/>
  <c r="H531" i="1"/>
  <c r="J531" i="1"/>
  <c r="A532" i="1"/>
  <c r="G532" i="1"/>
  <c r="H532" i="1"/>
  <c r="J532" i="1"/>
  <c r="A533" i="1"/>
  <c r="G533" i="1"/>
  <c r="H533" i="1"/>
  <c r="J533" i="1"/>
  <c r="A534" i="1"/>
  <c r="G534" i="1"/>
  <c r="H534" i="1"/>
  <c r="J534" i="1"/>
  <c r="A535" i="1"/>
  <c r="G535" i="1"/>
  <c r="H535" i="1"/>
  <c r="J535" i="1"/>
  <c r="A536" i="1"/>
  <c r="G536" i="1"/>
  <c r="H536" i="1"/>
  <c r="J536" i="1"/>
  <c r="A537" i="1"/>
  <c r="G537" i="1"/>
  <c r="H537" i="1"/>
  <c r="J537" i="1"/>
  <c r="A538" i="1"/>
  <c r="G538" i="1"/>
  <c r="H538" i="1"/>
  <c r="J538" i="1"/>
  <c r="A539" i="1"/>
  <c r="G539" i="1"/>
  <c r="H539" i="1"/>
  <c r="J539" i="1"/>
  <c r="A540" i="1"/>
  <c r="G540" i="1"/>
  <c r="H540" i="1"/>
  <c r="J540" i="1"/>
  <c r="A541" i="1"/>
  <c r="G541" i="1"/>
  <c r="H541" i="1"/>
  <c r="J541" i="1"/>
  <c r="A542" i="1"/>
  <c r="G542" i="1"/>
  <c r="H542" i="1"/>
  <c r="J542" i="1"/>
  <c r="A543" i="1"/>
  <c r="G543" i="1"/>
  <c r="H543" i="1"/>
  <c r="J543" i="1"/>
  <c r="A544" i="1"/>
  <c r="G544" i="1"/>
  <c r="H544" i="1"/>
  <c r="J544" i="1"/>
  <c r="A545" i="1"/>
  <c r="G545" i="1"/>
  <c r="H545" i="1"/>
  <c r="J545" i="1"/>
  <c r="A546" i="1"/>
  <c r="G546" i="1"/>
  <c r="H546" i="1"/>
  <c r="J546" i="1"/>
  <c r="A547" i="1"/>
  <c r="G547" i="1"/>
  <c r="H547" i="1"/>
  <c r="J547" i="1"/>
  <c r="A548" i="1"/>
  <c r="G548" i="1"/>
  <c r="H548" i="1"/>
  <c r="J548" i="1"/>
  <c r="A549" i="1"/>
  <c r="I549" i="1"/>
  <c r="J549" i="1"/>
  <c r="A550" i="1"/>
  <c r="G550" i="1"/>
  <c r="H550" i="1"/>
  <c r="J550" i="1"/>
  <c r="A551" i="1"/>
  <c r="G551" i="1"/>
  <c r="H551" i="1"/>
  <c r="J551" i="1"/>
  <c r="A552" i="1"/>
  <c r="G552" i="1"/>
  <c r="H552" i="1"/>
  <c r="J552" i="1"/>
  <c r="A553" i="1"/>
  <c r="G553" i="1"/>
  <c r="H553" i="1"/>
  <c r="J553" i="1"/>
  <c r="A554" i="1"/>
  <c r="G554" i="1"/>
  <c r="H554" i="1"/>
  <c r="J554" i="1"/>
  <c r="A555" i="1"/>
  <c r="G555" i="1"/>
  <c r="H555" i="1"/>
  <c r="J555" i="1"/>
  <c r="A556" i="1"/>
  <c r="G556" i="1"/>
  <c r="H556" i="1"/>
  <c r="J556" i="1"/>
  <c r="A557" i="1"/>
  <c r="G557" i="1"/>
  <c r="H557" i="1"/>
  <c r="J557" i="1"/>
  <c r="A558" i="1"/>
  <c r="G558" i="1"/>
  <c r="H558" i="1"/>
  <c r="J558" i="1"/>
  <c r="A559" i="1"/>
  <c r="G559" i="1"/>
  <c r="H559" i="1"/>
  <c r="J559" i="1"/>
  <c r="A560" i="1"/>
  <c r="G560" i="1"/>
  <c r="H560" i="1"/>
  <c r="J560" i="1"/>
  <c r="A561" i="1"/>
  <c r="G561" i="1"/>
  <c r="H561" i="1"/>
  <c r="J561" i="1"/>
  <c r="A562" i="1"/>
  <c r="G562" i="1"/>
  <c r="H562" i="1"/>
  <c r="J562" i="1"/>
  <c r="A563" i="1"/>
  <c r="G563" i="1"/>
  <c r="H563" i="1"/>
  <c r="J563" i="1"/>
  <c r="A564" i="1"/>
  <c r="G564" i="1"/>
  <c r="H564" i="1"/>
  <c r="J564" i="1"/>
  <c r="A565" i="1"/>
  <c r="G565" i="1"/>
  <c r="H565" i="1"/>
  <c r="J565" i="1"/>
  <c r="A566" i="1"/>
  <c r="G566" i="1"/>
  <c r="H566" i="1"/>
  <c r="J566" i="1"/>
  <c r="A567" i="1"/>
  <c r="G567" i="1"/>
  <c r="H567" i="1"/>
  <c r="J567" i="1"/>
  <c r="A568" i="1"/>
  <c r="G568" i="1"/>
  <c r="H568" i="1"/>
  <c r="J568" i="1"/>
  <c r="A569" i="1"/>
  <c r="G569" i="1"/>
  <c r="H569" i="1"/>
  <c r="J569" i="1"/>
  <c r="A570" i="1"/>
  <c r="I570" i="1"/>
  <c r="J570" i="1"/>
  <c r="A571" i="1"/>
  <c r="G571" i="1"/>
  <c r="H571" i="1"/>
  <c r="J571" i="1"/>
  <c r="A572" i="1"/>
  <c r="G572" i="1"/>
  <c r="H572" i="1"/>
  <c r="J572" i="1"/>
  <c r="A573" i="1"/>
  <c r="G573" i="1"/>
  <c r="H573" i="1"/>
  <c r="J573" i="1"/>
  <c r="A574" i="1"/>
  <c r="G574" i="1"/>
  <c r="H574" i="1"/>
  <c r="J574" i="1"/>
  <c r="A575" i="1"/>
  <c r="G575" i="1"/>
  <c r="H575" i="1"/>
  <c r="J575" i="1"/>
  <c r="A576" i="1"/>
  <c r="G576" i="1"/>
  <c r="H576" i="1"/>
  <c r="J576" i="1"/>
  <c r="A577" i="1"/>
  <c r="G577" i="1"/>
  <c r="H577" i="1"/>
  <c r="J577" i="1"/>
  <c r="A578" i="1"/>
  <c r="G578" i="1"/>
  <c r="H578" i="1"/>
  <c r="J578" i="1"/>
  <c r="A579" i="1"/>
  <c r="G579" i="1"/>
  <c r="H579" i="1"/>
  <c r="J579" i="1"/>
  <c r="A580" i="1"/>
  <c r="G580" i="1"/>
  <c r="H580" i="1"/>
  <c r="J580" i="1"/>
  <c r="A581" i="1"/>
  <c r="G581" i="1"/>
  <c r="H581" i="1"/>
  <c r="J581" i="1"/>
  <c r="A582" i="1"/>
  <c r="G582" i="1"/>
  <c r="H582" i="1"/>
  <c r="J582" i="1"/>
  <c r="A583" i="1"/>
  <c r="G583" i="1"/>
  <c r="H583" i="1"/>
  <c r="J583" i="1"/>
  <c r="A584" i="1"/>
  <c r="G584" i="1"/>
  <c r="H584" i="1"/>
  <c r="J584" i="1"/>
  <c r="A585" i="1"/>
  <c r="G585" i="1"/>
  <c r="H585" i="1"/>
  <c r="J585" i="1"/>
  <c r="A586" i="1"/>
  <c r="G586" i="1"/>
  <c r="H586" i="1"/>
  <c r="J586" i="1"/>
  <c r="A587" i="1"/>
  <c r="G587" i="1"/>
  <c r="H587" i="1"/>
  <c r="J587" i="1"/>
  <c r="A588" i="1"/>
  <c r="G588" i="1"/>
  <c r="H588" i="1"/>
  <c r="J588" i="1"/>
  <c r="A589" i="1"/>
  <c r="G589" i="1"/>
  <c r="H589" i="1"/>
  <c r="J589" i="1"/>
  <c r="A590" i="1"/>
  <c r="G590" i="1"/>
  <c r="H590" i="1"/>
  <c r="J590" i="1"/>
  <c r="A591" i="1"/>
  <c r="G591" i="1"/>
  <c r="H591" i="1"/>
  <c r="J591" i="1"/>
  <c r="A592" i="1"/>
  <c r="G592" i="1"/>
  <c r="H592" i="1"/>
  <c r="J592" i="1"/>
  <c r="A593" i="1"/>
  <c r="G593" i="1"/>
  <c r="H593" i="1"/>
  <c r="J593" i="1"/>
  <c r="A594" i="1"/>
  <c r="G594" i="1"/>
  <c r="H594" i="1"/>
  <c r="J594" i="1"/>
  <c r="A595" i="1"/>
  <c r="G595" i="1"/>
  <c r="H595" i="1"/>
  <c r="J595" i="1"/>
  <c r="A596" i="1"/>
  <c r="G596" i="1"/>
  <c r="H596" i="1"/>
  <c r="J596" i="1"/>
  <c r="A597" i="1"/>
  <c r="G597" i="1"/>
  <c r="H597" i="1"/>
  <c r="J597" i="1"/>
  <c r="A598" i="1"/>
  <c r="G598" i="1"/>
  <c r="H598" i="1"/>
  <c r="J598" i="1"/>
  <c r="A599" i="1"/>
  <c r="G599" i="1"/>
  <c r="H599" i="1"/>
  <c r="J599" i="1"/>
  <c r="A600" i="1"/>
  <c r="G600" i="1"/>
  <c r="H600" i="1"/>
  <c r="J600" i="1"/>
  <c r="A601" i="1"/>
  <c r="G601" i="1"/>
  <c r="H601" i="1"/>
  <c r="J601" i="1"/>
  <c r="A602" i="1"/>
  <c r="G602" i="1"/>
  <c r="H602" i="1"/>
  <c r="J602" i="1"/>
  <c r="A603" i="1"/>
  <c r="G603" i="1"/>
  <c r="H603" i="1"/>
  <c r="J603" i="1"/>
  <c r="A604" i="1"/>
  <c r="G604" i="1"/>
  <c r="H604" i="1"/>
  <c r="J604" i="1"/>
  <c r="A605" i="1"/>
  <c r="G605" i="1"/>
  <c r="H605" i="1"/>
  <c r="J605" i="1"/>
  <c r="A606" i="1"/>
  <c r="G606" i="1"/>
  <c r="H606" i="1"/>
  <c r="J606" i="1"/>
  <c r="A607" i="1"/>
  <c r="G607" i="1"/>
  <c r="H607" i="1"/>
  <c r="J607" i="1"/>
  <c r="A608" i="1"/>
  <c r="G608" i="1"/>
  <c r="H608" i="1"/>
  <c r="J608" i="1"/>
  <c r="A609" i="1"/>
  <c r="G609" i="1"/>
  <c r="H609" i="1"/>
  <c r="J609" i="1"/>
  <c r="A610" i="1"/>
  <c r="G610" i="1"/>
  <c r="H610" i="1"/>
  <c r="J610" i="1"/>
  <c r="A611" i="1"/>
  <c r="G611" i="1"/>
  <c r="H611" i="1"/>
  <c r="J611" i="1"/>
  <c r="A612" i="1"/>
  <c r="G612" i="1"/>
  <c r="H612" i="1"/>
  <c r="J612" i="1"/>
  <c r="A613" i="1"/>
  <c r="G613" i="1"/>
  <c r="H613" i="1"/>
  <c r="J613" i="1"/>
  <c r="A614" i="1"/>
  <c r="G614" i="1"/>
  <c r="H614" i="1"/>
  <c r="J614" i="1"/>
  <c r="A615" i="1"/>
  <c r="G615" i="1"/>
  <c r="H615" i="1"/>
  <c r="J615" i="1"/>
  <c r="A616" i="1"/>
  <c r="G616" i="1"/>
  <c r="H616" i="1"/>
  <c r="J616" i="1"/>
  <c r="A617" i="1"/>
  <c r="G617" i="1"/>
  <c r="H617" i="1"/>
  <c r="J617" i="1"/>
  <c r="A618" i="1"/>
  <c r="G618" i="1"/>
  <c r="H618" i="1"/>
  <c r="J618" i="1"/>
  <c r="A619" i="1"/>
  <c r="G619" i="1"/>
  <c r="H619" i="1"/>
  <c r="J619" i="1"/>
  <c r="A620" i="1"/>
  <c r="G620" i="1"/>
  <c r="H620" i="1"/>
  <c r="J620" i="1"/>
  <c r="A621" i="1"/>
  <c r="G621" i="1"/>
  <c r="H621" i="1"/>
  <c r="J621" i="1"/>
  <c r="A622" i="1"/>
  <c r="G622" i="1"/>
  <c r="H622" i="1"/>
  <c r="J622" i="1"/>
  <c r="A623" i="1"/>
  <c r="G623" i="1"/>
  <c r="H623" i="1"/>
  <c r="J623" i="1"/>
  <c r="A624" i="1"/>
  <c r="G624" i="1"/>
  <c r="H624" i="1"/>
  <c r="J624" i="1"/>
  <c r="A625" i="1"/>
  <c r="G625" i="1"/>
  <c r="H625" i="1"/>
  <c r="J625" i="1"/>
  <c r="A626" i="1"/>
  <c r="G626" i="1"/>
  <c r="H626" i="1"/>
  <c r="J626" i="1"/>
  <c r="A627" i="1"/>
  <c r="G627" i="1"/>
  <c r="H627" i="1"/>
  <c r="J627" i="1"/>
  <c r="A628" i="1"/>
  <c r="G628" i="1"/>
  <c r="H628" i="1"/>
  <c r="J628" i="1"/>
  <c r="A629" i="1"/>
  <c r="G629" i="1"/>
  <c r="H629" i="1"/>
  <c r="J629" i="1"/>
  <c r="A630" i="1"/>
  <c r="G630" i="1"/>
  <c r="H630" i="1"/>
  <c r="J630" i="1"/>
  <c r="A631" i="1"/>
  <c r="G631" i="1"/>
  <c r="H631" i="1"/>
  <c r="J631" i="1"/>
  <c r="A632" i="1"/>
  <c r="G632" i="1"/>
  <c r="H632" i="1"/>
  <c r="J632" i="1"/>
  <c r="A633" i="1"/>
  <c r="G633" i="1"/>
  <c r="H633" i="1"/>
  <c r="J633" i="1"/>
  <c r="A634" i="1"/>
  <c r="G634" i="1"/>
  <c r="H634" i="1"/>
  <c r="J634" i="1"/>
  <c r="A635" i="1"/>
  <c r="G635" i="1"/>
  <c r="H635" i="1"/>
  <c r="J635" i="1"/>
  <c r="A636" i="1"/>
  <c r="G636" i="1"/>
  <c r="H636" i="1"/>
  <c r="J636" i="1"/>
  <c r="A637" i="1"/>
  <c r="G637" i="1"/>
  <c r="H637" i="1"/>
  <c r="J637" i="1"/>
  <c r="A638" i="1"/>
  <c r="G638" i="1"/>
  <c r="H638" i="1"/>
  <c r="J638" i="1"/>
  <c r="A639" i="1"/>
  <c r="G639" i="1"/>
  <c r="H639" i="1"/>
  <c r="J639" i="1"/>
  <c r="A640" i="1"/>
  <c r="G640" i="1"/>
  <c r="H640" i="1"/>
  <c r="J640" i="1"/>
  <c r="A641" i="1"/>
  <c r="G641" i="1"/>
  <c r="H641" i="1"/>
  <c r="J641" i="1"/>
  <c r="A642" i="1"/>
  <c r="G642" i="1"/>
  <c r="H642" i="1"/>
  <c r="J642" i="1"/>
  <c r="A643" i="1"/>
  <c r="G643" i="1"/>
  <c r="H643" i="1"/>
  <c r="J643" i="1"/>
  <c r="A644" i="1"/>
  <c r="G644" i="1"/>
  <c r="H644" i="1"/>
  <c r="J644" i="1"/>
  <c r="A645" i="1"/>
  <c r="G645" i="1"/>
  <c r="H645" i="1"/>
  <c r="J645" i="1"/>
  <c r="A646" i="1"/>
  <c r="G646" i="1"/>
  <c r="H646" i="1"/>
  <c r="J646" i="1"/>
  <c r="A647" i="1"/>
  <c r="G647" i="1"/>
  <c r="H647" i="1"/>
  <c r="J647" i="1"/>
  <c r="A648" i="1"/>
  <c r="G648" i="1"/>
  <c r="H648" i="1"/>
  <c r="J648" i="1"/>
  <c r="A649" i="1"/>
  <c r="G649" i="1"/>
  <c r="H649" i="1"/>
  <c r="J649" i="1"/>
  <c r="A650" i="1"/>
  <c r="G650" i="1"/>
  <c r="H650" i="1"/>
  <c r="J650" i="1"/>
  <c r="A651" i="1"/>
  <c r="G651" i="1"/>
  <c r="H651" i="1"/>
  <c r="J651" i="1"/>
  <c r="A652" i="1"/>
  <c r="G652" i="1"/>
  <c r="H652" i="1"/>
  <c r="J652" i="1"/>
  <c r="A653" i="1"/>
  <c r="G653" i="1"/>
  <c r="H653" i="1"/>
  <c r="J653" i="1"/>
  <c r="A654" i="1"/>
  <c r="G654" i="1"/>
  <c r="H654" i="1"/>
  <c r="J654" i="1"/>
  <c r="A655" i="1"/>
  <c r="G655" i="1"/>
  <c r="H655" i="1"/>
  <c r="J655" i="1"/>
  <c r="A656" i="1"/>
  <c r="I656" i="1"/>
  <c r="J656" i="1"/>
  <c r="A657" i="1"/>
  <c r="I657" i="1"/>
  <c r="J657" i="1"/>
  <c r="A658" i="1"/>
  <c r="I658" i="1"/>
  <c r="J658" i="1"/>
  <c r="A659" i="1"/>
  <c r="G659" i="1"/>
  <c r="H659" i="1"/>
  <c r="J659" i="1"/>
  <c r="A660" i="1"/>
  <c r="G660" i="1"/>
  <c r="H660" i="1"/>
  <c r="J660" i="1"/>
  <c r="A661" i="1"/>
  <c r="G661" i="1"/>
  <c r="H661" i="1"/>
  <c r="J661" i="1"/>
  <c r="A662" i="1"/>
  <c r="I662" i="1"/>
  <c r="J662" i="1"/>
  <c r="A663" i="1"/>
  <c r="G663" i="1"/>
  <c r="H663" i="1"/>
  <c r="J663" i="1"/>
  <c r="A664" i="1"/>
  <c r="G664" i="1"/>
  <c r="H664" i="1"/>
  <c r="J664" i="1"/>
  <c r="A665" i="1"/>
  <c r="G665" i="1"/>
  <c r="H665" i="1"/>
  <c r="J665" i="1"/>
  <c r="A666" i="1"/>
  <c r="G666" i="1"/>
  <c r="H666" i="1"/>
  <c r="J666" i="1"/>
  <c r="A667" i="1"/>
  <c r="G667" i="1"/>
  <c r="H667" i="1"/>
  <c r="J667" i="1"/>
  <c r="A668" i="1"/>
  <c r="G668" i="1"/>
  <c r="H668" i="1"/>
  <c r="J668" i="1"/>
  <c r="A669" i="1"/>
  <c r="G669" i="1"/>
  <c r="H669" i="1"/>
  <c r="J669" i="1"/>
  <c r="A670" i="1"/>
  <c r="G670" i="1"/>
  <c r="H670" i="1"/>
  <c r="J670" i="1"/>
  <c r="A671" i="1"/>
  <c r="G671" i="1"/>
  <c r="H671" i="1"/>
  <c r="J671" i="1"/>
  <c r="A672" i="1"/>
  <c r="G672" i="1"/>
  <c r="H672" i="1"/>
  <c r="J672" i="1"/>
  <c r="A673" i="1"/>
  <c r="G673" i="1"/>
  <c r="H673" i="1"/>
  <c r="J673" i="1"/>
  <c r="A674" i="1"/>
  <c r="G674" i="1"/>
  <c r="H674" i="1"/>
  <c r="J674" i="1"/>
  <c r="A675" i="1"/>
  <c r="G675" i="1"/>
  <c r="H675" i="1"/>
  <c r="J675" i="1"/>
  <c r="A676" i="1"/>
  <c r="I676" i="1"/>
  <c r="J676" i="1"/>
  <c r="A677" i="1"/>
  <c r="I677" i="1"/>
  <c r="J677" i="1"/>
  <c r="A678" i="1"/>
  <c r="G678" i="1"/>
  <c r="H678" i="1"/>
  <c r="J678" i="1"/>
  <c r="A679" i="1"/>
  <c r="G679" i="1"/>
  <c r="H679" i="1"/>
  <c r="J679" i="1"/>
  <c r="A680" i="1"/>
  <c r="G680" i="1"/>
  <c r="H680" i="1"/>
  <c r="J680" i="1"/>
  <c r="A681" i="1"/>
  <c r="G681" i="1"/>
  <c r="H681" i="1"/>
  <c r="J681" i="1"/>
  <c r="A682" i="1"/>
  <c r="G682" i="1"/>
  <c r="H682" i="1"/>
  <c r="J682" i="1"/>
  <c r="A683" i="1"/>
  <c r="G683" i="1"/>
  <c r="H683" i="1"/>
  <c r="J683" i="1"/>
  <c r="A684" i="1"/>
  <c r="G684" i="1"/>
  <c r="H684" i="1"/>
  <c r="J684" i="1"/>
  <c r="A685" i="1"/>
  <c r="G685" i="1"/>
  <c r="H685" i="1"/>
  <c r="J685" i="1"/>
  <c r="A686" i="1"/>
  <c r="G686" i="1"/>
  <c r="H686" i="1"/>
  <c r="A687" i="1"/>
  <c r="G687" i="1"/>
  <c r="H687" i="1"/>
  <c r="A688" i="1"/>
  <c r="G688" i="1"/>
  <c r="H688" i="1"/>
  <c r="J688" i="1"/>
  <c r="A689" i="1"/>
  <c r="G689" i="1"/>
  <c r="H689" i="1"/>
  <c r="J689" i="1"/>
  <c r="A690" i="1"/>
  <c r="G690" i="1"/>
  <c r="H690" i="1"/>
  <c r="J690" i="1"/>
  <c r="A691" i="1"/>
  <c r="G691" i="1"/>
  <c r="H691" i="1"/>
  <c r="J691" i="1"/>
  <c r="A692" i="1"/>
  <c r="G692" i="1"/>
  <c r="H692" i="1"/>
  <c r="J692" i="1"/>
  <c r="A693" i="1"/>
  <c r="G693" i="1"/>
  <c r="H693" i="1"/>
  <c r="J693" i="1"/>
  <c r="A694" i="1"/>
  <c r="G694" i="1"/>
  <c r="H694" i="1"/>
  <c r="J694" i="1"/>
  <c r="A695" i="1"/>
  <c r="G695" i="1"/>
  <c r="H695" i="1"/>
  <c r="J695" i="1"/>
  <c r="A696" i="1"/>
  <c r="G696" i="1"/>
  <c r="H696" i="1"/>
  <c r="J696" i="1"/>
  <c r="A697" i="1"/>
  <c r="G697" i="1"/>
  <c r="H697" i="1"/>
  <c r="J697" i="1"/>
  <c r="A698" i="1"/>
  <c r="G698" i="1"/>
  <c r="H698" i="1"/>
  <c r="J698" i="1"/>
  <c r="A699" i="1"/>
  <c r="G699" i="1"/>
  <c r="H699" i="1"/>
  <c r="J699" i="1"/>
  <c r="A700" i="1"/>
  <c r="G700" i="1"/>
  <c r="H700" i="1"/>
  <c r="J700" i="1"/>
  <c r="A701" i="1"/>
  <c r="G701" i="1"/>
  <c r="H701" i="1"/>
  <c r="J701" i="1"/>
  <c r="A702" i="1"/>
  <c r="G702" i="1"/>
  <c r="H702" i="1"/>
  <c r="J702" i="1"/>
  <c r="A703" i="1"/>
  <c r="G703" i="1"/>
  <c r="H703" i="1"/>
  <c r="J703" i="1"/>
  <c r="A704" i="1"/>
  <c r="G704" i="1"/>
  <c r="H704" i="1"/>
  <c r="J704" i="1"/>
  <c r="A705" i="1"/>
  <c r="G705" i="1"/>
  <c r="H705" i="1"/>
  <c r="J705" i="1"/>
  <c r="A706" i="1"/>
  <c r="G706" i="1"/>
  <c r="H706" i="1"/>
  <c r="J706" i="1"/>
  <c r="A707" i="1"/>
  <c r="G707" i="1"/>
  <c r="H707" i="1"/>
  <c r="J707" i="1"/>
  <c r="A708" i="1"/>
  <c r="G708" i="1"/>
  <c r="H708" i="1"/>
  <c r="J708" i="1"/>
  <c r="A709" i="1"/>
  <c r="G709" i="1"/>
  <c r="H709" i="1"/>
  <c r="J709" i="1"/>
  <c r="A710" i="1"/>
  <c r="G710" i="1"/>
  <c r="H710" i="1"/>
  <c r="J710" i="1"/>
  <c r="A711" i="1"/>
  <c r="G711" i="1"/>
  <c r="H711" i="1"/>
  <c r="J711" i="1"/>
  <c r="A712" i="1"/>
  <c r="G712" i="1"/>
  <c r="H712" i="1"/>
  <c r="J712" i="1"/>
  <c r="A713" i="1"/>
  <c r="G713" i="1"/>
  <c r="H713" i="1"/>
  <c r="J713" i="1"/>
  <c r="A714" i="1"/>
  <c r="G714" i="1"/>
  <c r="H714" i="1"/>
  <c r="J714" i="1"/>
  <c r="A715" i="1"/>
  <c r="G715" i="1"/>
  <c r="H715" i="1"/>
  <c r="J715" i="1"/>
  <c r="A716" i="1"/>
  <c r="G716" i="1"/>
  <c r="H716" i="1"/>
  <c r="J716" i="1"/>
  <c r="A717" i="1"/>
  <c r="G717" i="1"/>
  <c r="H717" i="1"/>
  <c r="J717" i="1"/>
  <c r="A718" i="1"/>
  <c r="G718" i="1"/>
  <c r="H718" i="1"/>
  <c r="J718" i="1"/>
  <c r="A719" i="1"/>
  <c r="G719" i="1"/>
  <c r="H719" i="1"/>
  <c r="J719" i="1"/>
  <c r="A720" i="1"/>
  <c r="G720" i="1"/>
  <c r="H720" i="1"/>
  <c r="J720" i="1"/>
  <c r="A721" i="1"/>
  <c r="G721" i="1"/>
  <c r="H721" i="1"/>
  <c r="J721" i="1"/>
  <c r="A722" i="1"/>
  <c r="G722" i="1"/>
  <c r="H722" i="1"/>
  <c r="J722" i="1"/>
  <c r="A723" i="1"/>
  <c r="G723" i="1"/>
  <c r="H723" i="1"/>
  <c r="J723" i="1"/>
  <c r="A724" i="1"/>
  <c r="G724" i="1"/>
  <c r="H724" i="1"/>
  <c r="J724" i="1"/>
  <c r="A725" i="1"/>
  <c r="G725" i="1"/>
  <c r="H725" i="1"/>
  <c r="J725" i="1"/>
  <c r="A726" i="1"/>
  <c r="G726" i="1"/>
  <c r="H726" i="1"/>
  <c r="J726" i="1"/>
  <c r="A727" i="1"/>
  <c r="G727" i="1"/>
  <c r="H727" i="1"/>
  <c r="J727" i="1"/>
  <c r="A728" i="1"/>
  <c r="G728" i="1"/>
  <c r="H728" i="1"/>
  <c r="J728" i="1"/>
  <c r="A729" i="1"/>
  <c r="G729" i="1"/>
  <c r="H729" i="1"/>
  <c r="J729" i="1"/>
  <c r="A730" i="1"/>
  <c r="G730" i="1"/>
  <c r="H730" i="1"/>
  <c r="J730" i="1"/>
  <c r="A731" i="1"/>
  <c r="G731" i="1"/>
  <c r="H731" i="1"/>
  <c r="J731" i="1"/>
  <c r="A732" i="1"/>
  <c r="G732" i="1"/>
  <c r="H732" i="1"/>
  <c r="J732" i="1"/>
  <c r="A733" i="1"/>
  <c r="G733" i="1"/>
  <c r="H733" i="1"/>
  <c r="J733" i="1"/>
  <c r="A734" i="1"/>
  <c r="G734" i="1"/>
  <c r="H734" i="1"/>
  <c r="J734" i="1"/>
  <c r="A735" i="1"/>
  <c r="G735" i="1"/>
  <c r="H735" i="1"/>
  <c r="J735" i="1"/>
  <c r="A736" i="1"/>
  <c r="G736" i="1"/>
  <c r="H736" i="1"/>
  <c r="J736" i="1"/>
  <c r="A737" i="1"/>
  <c r="G737" i="1"/>
  <c r="H737" i="1"/>
  <c r="J737" i="1"/>
  <c r="A738" i="1"/>
  <c r="G738" i="1"/>
  <c r="H738" i="1"/>
  <c r="J738" i="1"/>
  <c r="A739" i="1"/>
  <c r="G739" i="1"/>
  <c r="H739" i="1"/>
  <c r="J739" i="1"/>
  <c r="A740" i="1"/>
  <c r="G740" i="1"/>
  <c r="H740" i="1"/>
  <c r="J740" i="1"/>
  <c r="A741" i="1"/>
  <c r="G741" i="1"/>
  <c r="H741" i="1"/>
  <c r="J741" i="1"/>
  <c r="A742" i="1"/>
  <c r="G742" i="1"/>
  <c r="H742" i="1"/>
  <c r="J742" i="1"/>
  <c r="A743" i="1"/>
  <c r="G743" i="1"/>
  <c r="H743" i="1"/>
  <c r="J743" i="1"/>
  <c r="A744" i="1"/>
  <c r="G744" i="1"/>
  <c r="H744" i="1"/>
  <c r="J744" i="1"/>
  <c r="A745" i="1"/>
  <c r="G745" i="1"/>
  <c r="H745" i="1"/>
  <c r="J745" i="1"/>
  <c r="A746" i="1"/>
  <c r="G746" i="1"/>
  <c r="H746" i="1"/>
  <c r="J746" i="1"/>
  <c r="A747" i="1"/>
  <c r="G747" i="1"/>
  <c r="H747" i="1"/>
  <c r="J747" i="1"/>
  <c r="A748" i="1"/>
  <c r="G748" i="1"/>
  <c r="H748" i="1"/>
  <c r="J748" i="1"/>
  <c r="A749" i="1"/>
  <c r="G749" i="1"/>
  <c r="H749" i="1"/>
  <c r="J749" i="1"/>
  <c r="A750" i="1"/>
  <c r="G750" i="1"/>
  <c r="H750" i="1"/>
  <c r="J750" i="1"/>
  <c r="A751" i="1"/>
  <c r="G751" i="1"/>
  <c r="H751" i="1"/>
  <c r="J751" i="1"/>
  <c r="A752" i="1"/>
  <c r="G752" i="1"/>
  <c r="H752" i="1"/>
  <c r="J752" i="1"/>
  <c r="A753" i="1"/>
  <c r="G753" i="1"/>
  <c r="H753" i="1"/>
  <c r="J753" i="1"/>
  <c r="A754" i="1"/>
  <c r="G754" i="1"/>
  <c r="H754" i="1"/>
  <c r="J754" i="1"/>
  <c r="A755" i="1"/>
  <c r="G755" i="1"/>
  <c r="H755" i="1"/>
  <c r="J755" i="1"/>
  <c r="A756" i="1"/>
  <c r="G756" i="1"/>
  <c r="H756" i="1"/>
  <c r="J756" i="1"/>
  <c r="A757" i="1"/>
  <c r="G757" i="1"/>
  <c r="H757" i="1"/>
  <c r="J757" i="1"/>
  <c r="A758" i="1"/>
  <c r="I758" i="1"/>
  <c r="J758" i="1"/>
  <c r="A759" i="1"/>
  <c r="G759" i="1"/>
  <c r="H759" i="1"/>
  <c r="J759" i="1"/>
  <c r="A760" i="1"/>
  <c r="G760" i="1"/>
  <c r="H760" i="1"/>
  <c r="J760" i="1"/>
  <c r="A761" i="1"/>
  <c r="I761" i="1"/>
  <c r="J761" i="1"/>
  <c r="A762" i="1"/>
  <c r="G762" i="1"/>
  <c r="H762" i="1"/>
  <c r="J762" i="1"/>
  <c r="A763" i="1"/>
  <c r="I763" i="1"/>
  <c r="J763" i="1"/>
  <c r="A764" i="1"/>
  <c r="I764" i="1"/>
  <c r="J764" i="1"/>
  <c r="A765" i="1"/>
  <c r="I765" i="1"/>
  <c r="J765" i="1"/>
  <c r="A766" i="1"/>
  <c r="I766" i="1"/>
  <c r="J766" i="1"/>
  <c r="A767" i="1"/>
  <c r="G767" i="1"/>
  <c r="H767" i="1"/>
  <c r="J767" i="1"/>
  <c r="A768" i="1"/>
  <c r="G768" i="1"/>
  <c r="H768" i="1"/>
  <c r="J768" i="1"/>
  <c r="A769" i="1"/>
  <c r="G769" i="1"/>
  <c r="H769" i="1"/>
  <c r="J769" i="1"/>
  <c r="A770" i="1"/>
  <c r="G770" i="1"/>
  <c r="H770" i="1"/>
  <c r="J770" i="1"/>
  <c r="A771" i="1"/>
  <c r="G771" i="1"/>
  <c r="H771" i="1"/>
  <c r="J771" i="1"/>
  <c r="A772" i="1"/>
  <c r="G772" i="1"/>
  <c r="H772" i="1"/>
  <c r="J772" i="1"/>
  <c r="A773" i="1"/>
  <c r="G773" i="1"/>
  <c r="H773" i="1"/>
  <c r="J773" i="1"/>
  <c r="A774" i="1"/>
  <c r="G774" i="1"/>
  <c r="H774" i="1"/>
  <c r="J774" i="1"/>
  <c r="A775" i="1"/>
  <c r="G775" i="1"/>
  <c r="H775" i="1"/>
  <c r="J775" i="1"/>
  <c r="A776" i="1"/>
  <c r="G776" i="1"/>
  <c r="H776" i="1"/>
  <c r="J776" i="1"/>
  <c r="A777" i="1"/>
  <c r="G777" i="1"/>
  <c r="H777" i="1"/>
  <c r="J777" i="1"/>
  <c r="A778" i="1"/>
  <c r="G778" i="1"/>
  <c r="H778" i="1"/>
  <c r="J778" i="1"/>
  <c r="A779" i="1"/>
  <c r="G779" i="1"/>
  <c r="H779" i="1"/>
  <c r="J779" i="1"/>
  <c r="A780" i="1"/>
  <c r="G780" i="1"/>
  <c r="H780" i="1"/>
  <c r="J780" i="1"/>
  <c r="A781" i="1"/>
  <c r="G781" i="1"/>
  <c r="H781" i="1"/>
  <c r="J781" i="1"/>
  <c r="A782" i="1"/>
  <c r="G782" i="1"/>
  <c r="H782" i="1"/>
  <c r="J782" i="1"/>
  <c r="A783" i="1"/>
  <c r="G783" i="1"/>
  <c r="H783" i="1"/>
  <c r="J783" i="1"/>
  <c r="A784" i="1"/>
  <c r="G784" i="1"/>
  <c r="H784" i="1"/>
  <c r="J784" i="1"/>
  <c r="A785" i="1"/>
  <c r="G785" i="1"/>
  <c r="H785" i="1"/>
  <c r="J785" i="1"/>
  <c r="A786" i="1"/>
  <c r="G786" i="1"/>
  <c r="H786" i="1"/>
  <c r="J786" i="1"/>
  <c r="A787" i="1"/>
  <c r="G787" i="1"/>
  <c r="H787" i="1"/>
  <c r="J787" i="1"/>
  <c r="A788" i="1"/>
  <c r="G788" i="1"/>
  <c r="H788" i="1"/>
  <c r="J788" i="1"/>
  <c r="A789" i="1"/>
  <c r="I789" i="1"/>
  <c r="J789" i="1"/>
  <c r="A790" i="1"/>
  <c r="G790" i="1"/>
  <c r="H790" i="1"/>
  <c r="J790" i="1"/>
  <c r="A791" i="1"/>
  <c r="G791" i="1"/>
  <c r="H791" i="1"/>
  <c r="J791" i="1"/>
  <c r="A792" i="1"/>
  <c r="G792" i="1"/>
  <c r="H792" i="1"/>
  <c r="J792" i="1"/>
  <c r="A793" i="1"/>
  <c r="G793" i="1"/>
  <c r="H793" i="1"/>
  <c r="J793" i="1"/>
  <c r="A794" i="1"/>
  <c r="G794" i="1"/>
  <c r="H794" i="1"/>
  <c r="J794" i="1"/>
  <c r="A795" i="1"/>
  <c r="G795" i="1"/>
  <c r="H795" i="1"/>
  <c r="J795" i="1"/>
  <c r="A796" i="1"/>
  <c r="G796" i="1"/>
  <c r="H796" i="1"/>
  <c r="J796" i="1"/>
  <c r="A797" i="1"/>
  <c r="G797" i="1"/>
  <c r="H797" i="1"/>
  <c r="J797" i="1"/>
  <c r="A798" i="1"/>
  <c r="G798" i="1"/>
  <c r="H798" i="1"/>
  <c r="J798" i="1"/>
  <c r="A799" i="1"/>
  <c r="G799" i="1"/>
  <c r="H799" i="1"/>
  <c r="J799" i="1"/>
  <c r="A800" i="1"/>
  <c r="G800" i="1"/>
  <c r="H800" i="1"/>
  <c r="J800" i="1"/>
  <c r="A801" i="1"/>
  <c r="G801" i="1"/>
  <c r="H801" i="1"/>
  <c r="J801" i="1"/>
  <c r="A802" i="1"/>
  <c r="G802" i="1"/>
  <c r="H802" i="1"/>
  <c r="J802" i="1"/>
  <c r="A803" i="1"/>
  <c r="G803" i="1"/>
  <c r="H803" i="1"/>
  <c r="J803" i="1"/>
  <c r="A804" i="1"/>
  <c r="G804" i="1"/>
  <c r="H804" i="1"/>
  <c r="J804" i="1"/>
  <c r="A805" i="1"/>
  <c r="G805" i="1"/>
  <c r="H805" i="1"/>
  <c r="J805" i="1"/>
  <c r="A806" i="1"/>
  <c r="G806" i="1"/>
  <c r="H806" i="1"/>
  <c r="J806" i="1"/>
  <c r="A807" i="1"/>
  <c r="G807" i="1"/>
  <c r="H807" i="1"/>
  <c r="J807" i="1"/>
  <c r="A808" i="1"/>
  <c r="G808" i="1"/>
  <c r="H808" i="1"/>
  <c r="J808" i="1"/>
  <c r="A809" i="1"/>
  <c r="G809" i="1"/>
  <c r="H809" i="1"/>
  <c r="J809" i="1"/>
  <c r="A810" i="1"/>
  <c r="G810" i="1"/>
  <c r="H810" i="1"/>
  <c r="J810" i="1"/>
  <c r="A811" i="1"/>
  <c r="G811" i="1"/>
  <c r="H811" i="1"/>
  <c r="J811" i="1"/>
  <c r="A812" i="1"/>
  <c r="G812" i="1"/>
  <c r="H812" i="1"/>
  <c r="J812" i="1"/>
  <c r="A813" i="1"/>
  <c r="G813" i="1"/>
  <c r="H813" i="1"/>
  <c r="J813" i="1"/>
  <c r="A814" i="1"/>
  <c r="G814" i="1"/>
  <c r="H814" i="1"/>
  <c r="J814" i="1"/>
  <c r="A815" i="1"/>
  <c r="G815" i="1"/>
  <c r="H815" i="1"/>
  <c r="J815" i="1"/>
  <c r="A816" i="1"/>
  <c r="G816" i="1"/>
  <c r="H816" i="1"/>
  <c r="J816" i="1"/>
  <c r="A817" i="1"/>
  <c r="G817" i="1"/>
  <c r="H817" i="1"/>
  <c r="J817" i="1"/>
  <c r="A818" i="1"/>
  <c r="G818" i="1"/>
  <c r="H818" i="1"/>
  <c r="J818" i="1"/>
  <c r="A819" i="1"/>
  <c r="G819" i="1"/>
  <c r="H819" i="1"/>
  <c r="J819" i="1"/>
  <c r="A820" i="1"/>
  <c r="G820" i="1"/>
  <c r="H820" i="1"/>
  <c r="J820" i="1"/>
  <c r="A821" i="1"/>
  <c r="G821" i="1"/>
  <c r="H821" i="1"/>
  <c r="J821" i="1"/>
  <c r="A822" i="1"/>
  <c r="G822" i="1"/>
  <c r="H822" i="1"/>
  <c r="J822" i="1"/>
  <c r="A823" i="1"/>
  <c r="G823" i="1"/>
  <c r="H823" i="1"/>
  <c r="J823" i="1"/>
  <c r="A824" i="1"/>
  <c r="G824" i="1"/>
  <c r="H824" i="1"/>
  <c r="J824" i="1"/>
  <c r="A825" i="1"/>
  <c r="G825" i="1"/>
  <c r="H825" i="1"/>
  <c r="J825" i="1"/>
  <c r="A826" i="1"/>
  <c r="G826" i="1"/>
  <c r="H826" i="1"/>
  <c r="J826" i="1"/>
  <c r="A827" i="1"/>
  <c r="G827" i="1"/>
  <c r="H827" i="1"/>
  <c r="J827" i="1"/>
  <c r="A828" i="1"/>
  <c r="G828" i="1"/>
  <c r="H828" i="1"/>
  <c r="J828" i="1"/>
  <c r="A829" i="1"/>
  <c r="G829" i="1"/>
  <c r="H829" i="1"/>
  <c r="J829" i="1"/>
  <c r="A830" i="1"/>
  <c r="G830" i="1"/>
  <c r="H830" i="1"/>
  <c r="J830" i="1"/>
  <c r="A831" i="1"/>
  <c r="G831" i="1"/>
  <c r="H831" i="1"/>
  <c r="J831" i="1"/>
  <c r="A832" i="1"/>
  <c r="G832" i="1"/>
  <c r="H832" i="1"/>
  <c r="J832" i="1"/>
  <c r="A833" i="1"/>
  <c r="G833" i="1"/>
  <c r="H833" i="1"/>
  <c r="J833" i="1"/>
  <c r="A834" i="1"/>
  <c r="G834" i="1"/>
  <c r="H834" i="1"/>
  <c r="J834" i="1"/>
  <c r="A835" i="1"/>
  <c r="G835" i="1"/>
  <c r="H835" i="1"/>
  <c r="J835" i="1"/>
  <c r="A836" i="1"/>
  <c r="G836" i="1"/>
  <c r="H836" i="1"/>
  <c r="J836" i="1"/>
  <c r="A837" i="1"/>
  <c r="G837" i="1"/>
  <c r="H837" i="1"/>
  <c r="J837" i="1"/>
  <c r="A838" i="1"/>
  <c r="G838" i="1"/>
  <c r="H838" i="1"/>
  <c r="J838" i="1"/>
  <c r="A839" i="1"/>
  <c r="G839" i="1"/>
  <c r="H839" i="1"/>
  <c r="J839" i="1"/>
  <c r="A840" i="1"/>
  <c r="G840" i="1"/>
  <c r="H840" i="1"/>
  <c r="J840" i="1"/>
  <c r="A841" i="1"/>
  <c r="G841" i="1"/>
  <c r="H841" i="1"/>
  <c r="J841" i="1"/>
  <c r="A842" i="1"/>
  <c r="G842" i="1"/>
  <c r="H842" i="1"/>
  <c r="J842" i="1"/>
  <c r="A843" i="1"/>
  <c r="G843" i="1"/>
  <c r="H843" i="1"/>
  <c r="J843" i="1"/>
  <c r="A844" i="1"/>
  <c r="G844" i="1"/>
  <c r="H844" i="1"/>
  <c r="J844" i="1"/>
  <c r="A845" i="1"/>
  <c r="G845" i="1"/>
  <c r="H845" i="1"/>
  <c r="J845" i="1"/>
  <c r="A846" i="1"/>
  <c r="G846" i="1"/>
  <c r="H846" i="1"/>
  <c r="J846" i="1"/>
  <c r="A847" i="1"/>
  <c r="G847" i="1"/>
  <c r="H847" i="1"/>
  <c r="J847" i="1"/>
  <c r="A848" i="1"/>
  <c r="G848" i="1"/>
  <c r="H848" i="1"/>
  <c r="J848" i="1"/>
  <c r="A849" i="1"/>
  <c r="G849" i="1"/>
  <c r="H849" i="1"/>
  <c r="J849" i="1"/>
  <c r="A850" i="1"/>
  <c r="G850" i="1"/>
  <c r="H850" i="1"/>
  <c r="J850" i="1"/>
  <c r="A851" i="1"/>
  <c r="G851" i="1"/>
  <c r="H851" i="1"/>
  <c r="J851" i="1"/>
  <c r="A852" i="1"/>
  <c r="I852" i="1"/>
  <c r="J852" i="1"/>
  <c r="A853" i="1"/>
  <c r="G853" i="1"/>
  <c r="H853" i="1"/>
  <c r="J853" i="1"/>
  <c r="A854" i="1"/>
  <c r="G854" i="1"/>
  <c r="H854" i="1"/>
  <c r="J854" i="1"/>
  <c r="A855" i="1"/>
  <c r="G855" i="1"/>
  <c r="H855" i="1"/>
  <c r="J855" i="1"/>
  <c r="A856" i="1"/>
  <c r="G856" i="1"/>
  <c r="H856" i="1"/>
  <c r="J856" i="1"/>
  <c r="A857" i="1"/>
  <c r="G857" i="1"/>
  <c r="H857" i="1"/>
  <c r="J857" i="1"/>
  <c r="A858" i="1"/>
  <c r="G858" i="1"/>
  <c r="H858" i="1"/>
  <c r="J858" i="1"/>
  <c r="A859" i="1"/>
  <c r="G859" i="1"/>
  <c r="H859" i="1"/>
  <c r="J859" i="1"/>
  <c r="A860" i="1"/>
  <c r="G860" i="1"/>
  <c r="H860" i="1"/>
  <c r="J860" i="1"/>
  <c r="A861" i="1"/>
  <c r="G861" i="1"/>
  <c r="H861" i="1"/>
  <c r="J861" i="1"/>
  <c r="A862" i="1"/>
  <c r="G862" i="1"/>
  <c r="H862" i="1"/>
  <c r="J862" i="1"/>
  <c r="A863" i="1"/>
  <c r="G863" i="1"/>
  <c r="H863" i="1"/>
  <c r="J863" i="1"/>
  <c r="A864" i="1"/>
  <c r="G864" i="1"/>
  <c r="H864" i="1"/>
  <c r="J864" i="1"/>
  <c r="A865" i="1"/>
  <c r="G865" i="1"/>
  <c r="H865" i="1"/>
  <c r="J865" i="1"/>
  <c r="A866" i="1"/>
  <c r="G866" i="1"/>
  <c r="H866" i="1"/>
  <c r="J866" i="1"/>
  <c r="A867" i="1"/>
  <c r="G867" i="1"/>
  <c r="A868" i="1"/>
  <c r="G868" i="1"/>
  <c r="H868" i="1"/>
  <c r="J868" i="1"/>
  <c r="A869" i="1"/>
  <c r="G869" i="1"/>
  <c r="H869" i="1"/>
  <c r="J869" i="1"/>
  <c r="A870" i="1"/>
  <c r="G870" i="1"/>
  <c r="H870" i="1"/>
  <c r="J870" i="1"/>
  <c r="A871" i="1"/>
  <c r="G871" i="1"/>
  <c r="H871" i="1"/>
  <c r="J871" i="1"/>
  <c r="A872" i="1"/>
  <c r="G872" i="1"/>
  <c r="H872" i="1"/>
  <c r="J872" i="1"/>
  <c r="A873" i="1"/>
  <c r="G873" i="1"/>
  <c r="H873" i="1"/>
  <c r="J873" i="1"/>
  <c r="A874" i="1"/>
  <c r="G874" i="1"/>
  <c r="H874" i="1"/>
  <c r="J874" i="1"/>
  <c r="A875" i="1"/>
  <c r="G875" i="1"/>
  <c r="H875" i="1"/>
  <c r="J875" i="1"/>
  <c r="A876" i="1"/>
  <c r="G876" i="1"/>
  <c r="H876" i="1"/>
  <c r="J876" i="1"/>
  <c r="A877" i="1"/>
  <c r="G877" i="1"/>
  <c r="H877" i="1"/>
  <c r="J877" i="1"/>
  <c r="A878" i="1"/>
  <c r="G878" i="1"/>
  <c r="H878" i="1"/>
  <c r="J878" i="1"/>
  <c r="A879" i="1"/>
  <c r="G879" i="1"/>
  <c r="H879" i="1"/>
  <c r="A880" i="1"/>
  <c r="G880" i="1"/>
  <c r="H880" i="1"/>
  <c r="J880" i="1"/>
  <c r="A881" i="1"/>
  <c r="G881" i="1"/>
  <c r="H881" i="1"/>
  <c r="J881" i="1"/>
  <c r="A882" i="1"/>
  <c r="G882" i="1"/>
  <c r="H882" i="1"/>
  <c r="J882" i="1"/>
  <c r="A883" i="1"/>
  <c r="G883" i="1"/>
  <c r="H883" i="1"/>
  <c r="J883" i="1"/>
  <c r="A884" i="1"/>
  <c r="G884" i="1"/>
  <c r="H884" i="1"/>
  <c r="J884" i="1"/>
  <c r="A885" i="1"/>
  <c r="G885" i="1"/>
  <c r="H885" i="1"/>
  <c r="J885" i="1"/>
  <c r="A886" i="1"/>
  <c r="G886" i="1"/>
  <c r="H886" i="1"/>
  <c r="J886" i="1"/>
  <c r="A887" i="1"/>
  <c r="G887" i="1"/>
  <c r="H887" i="1"/>
  <c r="J887" i="1"/>
  <c r="A888" i="1"/>
  <c r="G888" i="1"/>
  <c r="H888" i="1"/>
  <c r="J888" i="1"/>
  <c r="A889" i="1"/>
  <c r="G889" i="1"/>
  <c r="H889" i="1"/>
  <c r="J889" i="1"/>
  <c r="A890" i="1"/>
  <c r="G890" i="1"/>
  <c r="H890" i="1"/>
  <c r="J890" i="1"/>
  <c r="A891" i="1"/>
  <c r="G891" i="1"/>
  <c r="H891" i="1"/>
  <c r="J891" i="1"/>
  <c r="A892" i="1"/>
  <c r="G892" i="1"/>
  <c r="H892" i="1"/>
  <c r="J892" i="1"/>
  <c r="A893" i="1"/>
  <c r="G893" i="1"/>
  <c r="H893" i="1"/>
  <c r="J893" i="1"/>
  <c r="A894" i="1"/>
  <c r="G894" i="1"/>
  <c r="H894" i="1"/>
  <c r="J894" i="1"/>
  <c r="A895" i="1"/>
  <c r="G895" i="1"/>
  <c r="H895" i="1"/>
  <c r="J895" i="1"/>
  <c r="A896" i="1"/>
  <c r="G896" i="1"/>
  <c r="H896" i="1"/>
  <c r="J896" i="1"/>
  <c r="A897" i="1"/>
  <c r="G897" i="1"/>
  <c r="H897" i="1"/>
  <c r="J897" i="1"/>
  <c r="A898" i="1"/>
  <c r="G898" i="1"/>
  <c r="H898" i="1"/>
  <c r="J898" i="1"/>
  <c r="A899" i="1"/>
  <c r="G899" i="1"/>
  <c r="H899" i="1"/>
  <c r="J899" i="1"/>
  <c r="A900" i="1"/>
  <c r="G900" i="1"/>
  <c r="H900" i="1"/>
  <c r="J900" i="1"/>
  <c r="A901" i="1"/>
  <c r="G901" i="1"/>
  <c r="H901" i="1"/>
  <c r="J901" i="1"/>
  <c r="A902" i="1"/>
  <c r="G902" i="1"/>
  <c r="H902" i="1"/>
  <c r="J902" i="1"/>
  <c r="A903" i="1"/>
  <c r="G903" i="1"/>
  <c r="H903" i="1"/>
  <c r="J903" i="1"/>
  <c r="A904" i="1"/>
  <c r="G904" i="1"/>
  <c r="H904" i="1"/>
  <c r="J904" i="1"/>
  <c r="A905" i="1"/>
  <c r="G905" i="1"/>
  <c r="H905" i="1"/>
  <c r="J905" i="1"/>
  <c r="A906" i="1"/>
  <c r="G906" i="1"/>
  <c r="H906" i="1"/>
  <c r="J906" i="1"/>
  <c r="A907" i="1"/>
  <c r="G907" i="1"/>
  <c r="H907" i="1"/>
  <c r="J907" i="1"/>
  <c r="A908" i="1"/>
  <c r="G908" i="1"/>
  <c r="H908" i="1"/>
  <c r="J908" i="1"/>
  <c r="A909" i="1"/>
  <c r="G909" i="1"/>
  <c r="H909" i="1"/>
  <c r="J909" i="1"/>
  <c r="A910" i="1"/>
  <c r="G910" i="1"/>
  <c r="H910" i="1"/>
  <c r="J910" i="1"/>
  <c r="A911" i="1"/>
  <c r="G911" i="1"/>
  <c r="H911" i="1"/>
  <c r="J911" i="1"/>
  <c r="A912" i="1"/>
  <c r="G912" i="1"/>
  <c r="H912" i="1"/>
  <c r="J912" i="1"/>
  <c r="A913" i="1"/>
  <c r="G913" i="1"/>
  <c r="H913" i="1"/>
  <c r="J913" i="1"/>
  <c r="A914" i="1"/>
  <c r="G914" i="1"/>
  <c r="H914" i="1"/>
  <c r="J914" i="1"/>
  <c r="A915" i="1"/>
  <c r="G915" i="1"/>
  <c r="H915" i="1"/>
  <c r="J915" i="1"/>
  <c r="A916" i="1"/>
  <c r="G916" i="1"/>
  <c r="H916" i="1"/>
  <c r="J916" i="1"/>
  <c r="A917" i="1"/>
  <c r="G917" i="1"/>
  <c r="H917" i="1"/>
  <c r="J917" i="1"/>
  <c r="A918" i="1"/>
  <c r="G918" i="1"/>
  <c r="H918" i="1"/>
  <c r="J918" i="1"/>
  <c r="A919" i="1"/>
  <c r="G919" i="1"/>
  <c r="H919" i="1"/>
  <c r="J919" i="1"/>
  <c r="A920" i="1"/>
  <c r="G920" i="1"/>
  <c r="H920" i="1"/>
  <c r="J920" i="1"/>
  <c r="A921" i="1"/>
  <c r="G921" i="1"/>
  <c r="H921" i="1"/>
  <c r="J921" i="1"/>
  <c r="A922" i="1"/>
  <c r="G922" i="1"/>
  <c r="H922" i="1"/>
  <c r="J922" i="1"/>
  <c r="A923" i="1"/>
  <c r="G923" i="1"/>
  <c r="H923" i="1"/>
  <c r="J923" i="1"/>
  <c r="A924" i="1"/>
  <c r="G924" i="1"/>
  <c r="H924" i="1"/>
  <c r="J924" i="1"/>
  <c r="A925" i="1"/>
  <c r="G925" i="1"/>
  <c r="H925" i="1"/>
  <c r="J925" i="1"/>
  <c r="A926" i="1"/>
  <c r="G926" i="1"/>
  <c r="H926" i="1"/>
  <c r="J926" i="1"/>
  <c r="A927" i="1"/>
  <c r="G927" i="1"/>
  <c r="H927" i="1"/>
  <c r="J927" i="1"/>
  <c r="A928" i="1"/>
  <c r="G928" i="1"/>
  <c r="H928" i="1"/>
  <c r="J928" i="1"/>
  <c r="A929" i="1"/>
  <c r="G929" i="1"/>
  <c r="H929" i="1"/>
  <c r="J929" i="1"/>
  <c r="A930" i="1"/>
  <c r="G930" i="1"/>
  <c r="H930" i="1"/>
  <c r="J930" i="1"/>
  <c r="A931" i="1"/>
  <c r="G931" i="1"/>
  <c r="H931" i="1"/>
  <c r="J931" i="1"/>
  <c r="A932" i="1"/>
  <c r="G932" i="1"/>
  <c r="H932" i="1"/>
  <c r="J932" i="1"/>
  <c r="A933" i="1"/>
  <c r="G933" i="1"/>
  <c r="H933" i="1"/>
  <c r="J933" i="1"/>
  <c r="A934" i="1"/>
  <c r="G934" i="1"/>
  <c r="H934" i="1"/>
  <c r="J934" i="1"/>
  <c r="A935" i="1"/>
  <c r="G935" i="1"/>
  <c r="H935" i="1"/>
  <c r="J935" i="1"/>
  <c r="A936" i="1"/>
  <c r="G936" i="1"/>
  <c r="H936" i="1"/>
  <c r="J936" i="1"/>
  <c r="A937" i="1"/>
  <c r="G937" i="1"/>
  <c r="H937" i="1"/>
  <c r="J937" i="1"/>
  <c r="A938" i="1"/>
  <c r="G938" i="1"/>
  <c r="H938" i="1"/>
  <c r="J938" i="1"/>
  <c r="A939" i="1"/>
  <c r="G939" i="1"/>
  <c r="H939" i="1"/>
  <c r="J939" i="1"/>
  <c r="A940" i="1"/>
  <c r="G940" i="1"/>
  <c r="H940" i="1"/>
  <c r="J940" i="1"/>
  <c r="A941" i="1"/>
  <c r="G941" i="1"/>
  <c r="H941" i="1"/>
  <c r="J941" i="1"/>
  <c r="A942" i="1"/>
  <c r="G942" i="1"/>
  <c r="H942" i="1"/>
  <c r="J942" i="1"/>
  <c r="A943" i="1"/>
  <c r="G943" i="1"/>
  <c r="H943" i="1"/>
  <c r="J943" i="1"/>
  <c r="A944" i="1"/>
  <c r="G944" i="1"/>
  <c r="H944" i="1"/>
  <c r="J944" i="1"/>
  <c r="A945" i="1"/>
  <c r="G945" i="1"/>
  <c r="H945" i="1"/>
  <c r="J945" i="1"/>
  <c r="A946" i="1"/>
  <c r="G946" i="1"/>
  <c r="H946" i="1"/>
  <c r="J946" i="1"/>
  <c r="A947" i="1"/>
  <c r="G947" i="1"/>
  <c r="H947" i="1"/>
  <c r="J947" i="1"/>
  <c r="A948" i="1"/>
  <c r="G948" i="1"/>
  <c r="H948" i="1"/>
  <c r="J948" i="1"/>
  <c r="A949" i="1"/>
  <c r="G949" i="1"/>
  <c r="H949" i="1"/>
  <c r="J949" i="1"/>
  <c r="A950" i="1"/>
  <c r="G950" i="1"/>
  <c r="H950" i="1"/>
  <c r="J950" i="1"/>
  <c r="A951" i="1"/>
  <c r="G951" i="1"/>
  <c r="H951" i="1"/>
  <c r="J951" i="1"/>
  <c r="A952" i="1"/>
  <c r="G952" i="1"/>
  <c r="H952" i="1"/>
  <c r="J952" i="1"/>
  <c r="A953" i="1"/>
  <c r="G953" i="1"/>
  <c r="H953" i="1"/>
  <c r="J953" i="1"/>
  <c r="A954" i="1"/>
  <c r="G954" i="1"/>
  <c r="H954" i="1"/>
  <c r="J954" i="1"/>
  <c r="A955" i="1"/>
  <c r="G955" i="1"/>
  <c r="H955" i="1"/>
  <c r="J955" i="1"/>
  <c r="A956" i="1"/>
  <c r="G956" i="1"/>
  <c r="H956" i="1"/>
  <c r="J956" i="1"/>
  <c r="A957" i="1"/>
  <c r="G957" i="1"/>
  <c r="H957" i="1"/>
  <c r="J957" i="1"/>
  <c r="A958" i="1"/>
  <c r="G958" i="1"/>
  <c r="H958" i="1"/>
  <c r="J958" i="1"/>
  <c r="A959" i="1"/>
  <c r="G959" i="1"/>
  <c r="H959" i="1"/>
  <c r="J959" i="1"/>
  <c r="A960" i="1"/>
  <c r="G960" i="1"/>
  <c r="H960" i="1"/>
  <c r="J960" i="1"/>
  <c r="A961" i="1"/>
  <c r="G961" i="1"/>
  <c r="H961" i="1"/>
  <c r="J961" i="1"/>
  <c r="A962" i="1"/>
  <c r="G962" i="1"/>
  <c r="H962" i="1"/>
  <c r="J962" i="1"/>
  <c r="A963" i="1"/>
  <c r="G963" i="1"/>
  <c r="H963" i="1"/>
  <c r="J963" i="1"/>
  <c r="A964" i="1"/>
  <c r="G964" i="1"/>
  <c r="H964" i="1"/>
  <c r="J964" i="1"/>
  <c r="A965" i="1"/>
  <c r="G965" i="1"/>
  <c r="H965" i="1"/>
  <c r="J965" i="1"/>
  <c r="A966" i="1"/>
  <c r="G966" i="1"/>
  <c r="H966" i="1"/>
  <c r="J966" i="1"/>
  <c r="A967" i="1"/>
  <c r="G967" i="1"/>
  <c r="H967" i="1"/>
  <c r="J967" i="1"/>
  <c r="A968" i="1"/>
  <c r="G968" i="1"/>
  <c r="H968" i="1"/>
  <c r="J968" i="1"/>
  <c r="A969" i="1"/>
  <c r="G969" i="1"/>
  <c r="H969" i="1"/>
  <c r="J969" i="1"/>
  <c r="A970" i="1"/>
  <c r="G970" i="1"/>
  <c r="H970" i="1"/>
  <c r="J970" i="1"/>
  <c r="A971" i="1"/>
  <c r="G971" i="1"/>
  <c r="H971" i="1"/>
  <c r="J971" i="1"/>
  <c r="A972" i="1"/>
  <c r="G972" i="1"/>
  <c r="H972" i="1"/>
  <c r="J972" i="1"/>
  <c r="A973" i="1"/>
  <c r="G973" i="1"/>
  <c r="H973" i="1"/>
  <c r="J973" i="1"/>
  <c r="A974" i="1"/>
  <c r="G974" i="1"/>
  <c r="H974" i="1"/>
  <c r="J974" i="1"/>
  <c r="A975" i="1"/>
  <c r="G975" i="1"/>
  <c r="H975" i="1"/>
  <c r="J975" i="1"/>
  <c r="A976" i="1"/>
  <c r="G976" i="1"/>
  <c r="H976" i="1"/>
  <c r="J976" i="1"/>
  <c r="A977" i="1"/>
  <c r="G977" i="1"/>
  <c r="H977" i="1"/>
  <c r="J977" i="1"/>
  <c r="A978" i="1"/>
  <c r="G978" i="1"/>
  <c r="H978" i="1"/>
  <c r="J978" i="1"/>
  <c r="A979" i="1"/>
  <c r="G979" i="1"/>
  <c r="H979" i="1"/>
  <c r="J979" i="1"/>
  <c r="A980" i="1"/>
  <c r="G980" i="1"/>
  <c r="H980" i="1"/>
  <c r="J980" i="1"/>
  <c r="A981" i="1"/>
  <c r="G981" i="1"/>
  <c r="H981" i="1"/>
  <c r="J981" i="1"/>
  <c r="A982" i="1"/>
  <c r="G982" i="1"/>
  <c r="H982" i="1"/>
  <c r="J982" i="1"/>
  <c r="A983" i="1"/>
  <c r="G983" i="1"/>
  <c r="H983" i="1"/>
  <c r="J983" i="1"/>
  <c r="A984" i="1"/>
  <c r="G984" i="1"/>
  <c r="H984" i="1"/>
  <c r="J984" i="1"/>
  <c r="A985" i="1"/>
  <c r="G985" i="1"/>
  <c r="H985" i="1"/>
  <c r="J985" i="1"/>
  <c r="A986" i="1"/>
  <c r="G986" i="1"/>
  <c r="H986" i="1"/>
  <c r="J986" i="1"/>
  <c r="A987" i="1"/>
  <c r="G987" i="1"/>
  <c r="H987" i="1"/>
  <c r="J987" i="1"/>
  <c r="A988" i="1"/>
  <c r="G988" i="1"/>
  <c r="H988" i="1"/>
  <c r="J988" i="1"/>
  <c r="A989" i="1"/>
  <c r="G989" i="1"/>
  <c r="H989" i="1"/>
  <c r="J989" i="1"/>
  <c r="A990" i="1"/>
  <c r="G990" i="1"/>
  <c r="H990" i="1"/>
  <c r="J990" i="1"/>
  <c r="A991" i="1"/>
  <c r="G991" i="1"/>
  <c r="H991" i="1"/>
  <c r="J991" i="1"/>
  <c r="A992" i="1"/>
  <c r="G992" i="1"/>
  <c r="H992" i="1"/>
  <c r="J992" i="1"/>
  <c r="A993" i="1"/>
  <c r="G993" i="1"/>
  <c r="H993" i="1"/>
  <c r="J993" i="1"/>
  <c r="A994" i="1"/>
  <c r="G994" i="1"/>
  <c r="H994" i="1"/>
  <c r="J994" i="1"/>
  <c r="A995" i="1"/>
  <c r="G995" i="1"/>
  <c r="H995" i="1"/>
  <c r="J995" i="1"/>
  <c r="A996" i="1"/>
  <c r="G996" i="1"/>
  <c r="H996" i="1"/>
  <c r="J996" i="1"/>
  <c r="A997" i="1"/>
  <c r="G997" i="1"/>
  <c r="H997" i="1"/>
  <c r="J997" i="1"/>
  <c r="A998" i="1"/>
  <c r="G998" i="1"/>
  <c r="H998" i="1"/>
  <c r="J998" i="1"/>
  <c r="A999" i="1"/>
  <c r="G999" i="1"/>
  <c r="H999" i="1"/>
  <c r="J999" i="1"/>
  <c r="A1000" i="1"/>
  <c r="G1000" i="1"/>
  <c r="H1000" i="1"/>
  <c r="J1000" i="1"/>
  <c r="A1001" i="1"/>
  <c r="G1001" i="1"/>
  <c r="H1001" i="1"/>
  <c r="J1001" i="1"/>
  <c r="A1002" i="1"/>
  <c r="G1002" i="1"/>
  <c r="H1002" i="1"/>
  <c r="J1002" i="1"/>
  <c r="A1003" i="1"/>
  <c r="G1003" i="1"/>
  <c r="H1003" i="1"/>
  <c r="J1003" i="1"/>
  <c r="A1004" i="1"/>
  <c r="G1004" i="1"/>
  <c r="H1004" i="1"/>
  <c r="J1004" i="1"/>
  <c r="A1005" i="1"/>
  <c r="G1005" i="1"/>
  <c r="H1005" i="1"/>
  <c r="J1005" i="1"/>
  <c r="A1006" i="1"/>
  <c r="G1006" i="1"/>
  <c r="H1006" i="1"/>
  <c r="J1006" i="1"/>
  <c r="A1007" i="1"/>
  <c r="G1007" i="1"/>
  <c r="H1007" i="1"/>
  <c r="J1007" i="1"/>
  <c r="A1008" i="1"/>
  <c r="G1008" i="1"/>
  <c r="H1008" i="1"/>
  <c r="J1008" i="1"/>
  <c r="A1009" i="1"/>
  <c r="G1009" i="1"/>
  <c r="H1009" i="1"/>
  <c r="J1009" i="1"/>
  <c r="A1010" i="1"/>
  <c r="G1010" i="1"/>
  <c r="H1010" i="1"/>
  <c r="J1010" i="1"/>
  <c r="A1011" i="1"/>
  <c r="G1011" i="1"/>
  <c r="H1011" i="1"/>
  <c r="J1011" i="1"/>
  <c r="A1012" i="1"/>
  <c r="G1012" i="1"/>
  <c r="H1012" i="1"/>
  <c r="J1012" i="1"/>
  <c r="A1013" i="1"/>
  <c r="G1013" i="1"/>
  <c r="H1013" i="1"/>
  <c r="J1013" i="1"/>
  <c r="A1014" i="1"/>
  <c r="G1014" i="1"/>
  <c r="H1014" i="1"/>
  <c r="J1014" i="1"/>
  <c r="A1015" i="1"/>
  <c r="G1015" i="1"/>
  <c r="H1015" i="1"/>
  <c r="J1015" i="1"/>
  <c r="A1016" i="1"/>
  <c r="G1016" i="1"/>
  <c r="H1016" i="1"/>
  <c r="J1016" i="1"/>
  <c r="A1017" i="1"/>
  <c r="G1017" i="1"/>
  <c r="H1017" i="1"/>
  <c r="J1017" i="1"/>
  <c r="A1018" i="1"/>
  <c r="G1018" i="1"/>
  <c r="H1018" i="1"/>
  <c r="J1018" i="1"/>
  <c r="A1019" i="1"/>
  <c r="G1019" i="1"/>
  <c r="H1019" i="1"/>
  <c r="J1019" i="1"/>
  <c r="A1020" i="1"/>
  <c r="G1020" i="1"/>
  <c r="H1020" i="1"/>
  <c r="J1020" i="1"/>
  <c r="A1021" i="1"/>
  <c r="G1021" i="1"/>
  <c r="H1021" i="1"/>
  <c r="J1021" i="1"/>
  <c r="A1022" i="1"/>
  <c r="G1022" i="1"/>
  <c r="H1022" i="1"/>
  <c r="J1022" i="1"/>
  <c r="A1023" i="1"/>
  <c r="G1023" i="1"/>
  <c r="H1023" i="1"/>
  <c r="J1023" i="1"/>
  <c r="A1024" i="1"/>
  <c r="G1024" i="1"/>
  <c r="H1024" i="1"/>
  <c r="J1024" i="1"/>
  <c r="A1025" i="1"/>
  <c r="G1025" i="1"/>
  <c r="H1025" i="1"/>
  <c r="J1025" i="1"/>
  <c r="A1026" i="1"/>
  <c r="G1026" i="1"/>
  <c r="H1026" i="1"/>
  <c r="J1026" i="1"/>
  <c r="A1027" i="1"/>
  <c r="G1027" i="1"/>
  <c r="H1027" i="1"/>
  <c r="J1027" i="1"/>
  <c r="A1028" i="1"/>
  <c r="G1028" i="1"/>
  <c r="H1028" i="1"/>
  <c r="J1028" i="1"/>
  <c r="A1029" i="1"/>
  <c r="G1029" i="1"/>
  <c r="H1029" i="1"/>
  <c r="J1029" i="1"/>
  <c r="A1030" i="1"/>
  <c r="G1030" i="1"/>
  <c r="H1030" i="1"/>
  <c r="J1030" i="1"/>
  <c r="A1031" i="1"/>
  <c r="G1031" i="1"/>
  <c r="H1031" i="1"/>
  <c r="J1031" i="1"/>
  <c r="A1032" i="1"/>
  <c r="G1032" i="1"/>
  <c r="H1032" i="1"/>
  <c r="J1032" i="1"/>
  <c r="A1033" i="1"/>
  <c r="G1033" i="1"/>
  <c r="H1033" i="1"/>
  <c r="J1033" i="1"/>
  <c r="A1034" i="1"/>
  <c r="G1034" i="1"/>
  <c r="H1034" i="1"/>
  <c r="J1034" i="1"/>
  <c r="A1035" i="1"/>
  <c r="G1035" i="1"/>
  <c r="H1035" i="1"/>
  <c r="J1035" i="1"/>
  <c r="A1036" i="1"/>
  <c r="G1036" i="1"/>
  <c r="H1036" i="1"/>
  <c r="J1036" i="1"/>
  <c r="A1037" i="1"/>
  <c r="G1037" i="1"/>
  <c r="H1037" i="1"/>
  <c r="J1037" i="1"/>
  <c r="A1038" i="1"/>
  <c r="G1038" i="1"/>
  <c r="H1038" i="1"/>
  <c r="J1038" i="1"/>
  <c r="A1039" i="1"/>
  <c r="G1039" i="1"/>
  <c r="H1039" i="1"/>
  <c r="J1039" i="1"/>
  <c r="A1040" i="1"/>
  <c r="G1040" i="1"/>
  <c r="H1040" i="1"/>
  <c r="J1040" i="1"/>
  <c r="A1041" i="1"/>
  <c r="G1041" i="1"/>
  <c r="H1041" i="1"/>
  <c r="J1041" i="1"/>
  <c r="A1042" i="1"/>
  <c r="G1042" i="1"/>
  <c r="H1042" i="1"/>
  <c r="J1042" i="1"/>
  <c r="A1043" i="1"/>
  <c r="G1043" i="1"/>
  <c r="H1043" i="1"/>
  <c r="J1043" i="1"/>
  <c r="A1044" i="1"/>
  <c r="G1044" i="1"/>
  <c r="H1044" i="1"/>
  <c r="J1044" i="1"/>
  <c r="A1045" i="1"/>
  <c r="G1045" i="1"/>
  <c r="H1045" i="1"/>
  <c r="J1045" i="1"/>
  <c r="A1046" i="1"/>
  <c r="G1046" i="1"/>
  <c r="H1046" i="1"/>
  <c r="J1046" i="1"/>
  <c r="A1047" i="1"/>
  <c r="G1047" i="1"/>
  <c r="H1047" i="1"/>
  <c r="J1047" i="1"/>
  <c r="A1048" i="1"/>
  <c r="G1048" i="1"/>
  <c r="H1048" i="1"/>
  <c r="J1048" i="1"/>
  <c r="A1049" i="1"/>
  <c r="G1049" i="1"/>
  <c r="H1049" i="1"/>
  <c r="J1049" i="1"/>
  <c r="A1050" i="1"/>
  <c r="G1050" i="1"/>
  <c r="H1050" i="1"/>
  <c r="J1050" i="1"/>
  <c r="A1051" i="1"/>
  <c r="G1051" i="1"/>
  <c r="H1051" i="1"/>
  <c r="J1051" i="1"/>
  <c r="A1052" i="1"/>
  <c r="G1052" i="1"/>
  <c r="H1052" i="1"/>
  <c r="J1052" i="1"/>
  <c r="A1053" i="1"/>
  <c r="G1053" i="1"/>
  <c r="H1053" i="1"/>
  <c r="J1053" i="1"/>
  <c r="A1054" i="1"/>
  <c r="G1054" i="1"/>
  <c r="H1054" i="1"/>
  <c r="J1054" i="1"/>
  <c r="A1055" i="1"/>
  <c r="G1055" i="1"/>
  <c r="H1055" i="1"/>
  <c r="J1055" i="1"/>
  <c r="A1056" i="1"/>
  <c r="G1056" i="1"/>
  <c r="H1056" i="1"/>
  <c r="J1056" i="1"/>
  <c r="A1057" i="1"/>
  <c r="G1057" i="1"/>
  <c r="H1057" i="1"/>
  <c r="J1057" i="1"/>
  <c r="A1058" i="1"/>
  <c r="G1058" i="1"/>
  <c r="H1058" i="1"/>
  <c r="J1058" i="1"/>
  <c r="A1059" i="1"/>
  <c r="G1059" i="1"/>
  <c r="H1059" i="1"/>
  <c r="J1059" i="1"/>
  <c r="A1060" i="1"/>
  <c r="G1060" i="1"/>
  <c r="H1060" i="1"/>
  <c r="J1060" i="1"/>
  <c r="A1061" i="1"/>
  <c r="G1061" i="1"/>
  <c r="H1061" i="1"/>
  <c r="J1061" i="1"/>
  <c r="A1062" i="1"/>
  <c r="G1062" i="1"/>
  <c r="H1062" i="1"/>
  <c r="J1062" i="1"/>
  <c r="A1063" i="1"/>
  <c r="G1063" i="1"/>
  <c r="H1063" i="1"/>
  <c r="J1063" i="1"/>
  <c r="A1064" i="1"/>
  <c r="G1064" i="1"/>
  <c r="H1064" i="1"/>
  <c r="J1064" i="1"/>
  <c r="A1065" i="1"/>
  <c r="G1065" i="1"/>
  <c r="H1065" i="1"/>
  <c r="J1065" i="1"/>
  <c r="A1066" i="1"/>
  <c r="I1066" i="1"/>
  <c r="J1066" i="1"/>
  <c r="A1067" i="1"/>
  <c r="G1067" i="1"/>
  <c r="H1067" i="1"/>
  <c r="J1067" i="1"/>
  <c r="A1068" i="1"/>
  <c r="G1068" i="1"/>
  <c r="H1068" i="1"/>
  <c r="J1068" i="1"/>
  <c r="A1069" i="1"/>
  <c r="G1069" i="1"/>
  <c r="H1069" i="1"/>
  <c r="J1069" i="1"/>
  <c r="A1070" i="1"/>
  <c r="G1070" i="1"/>
  <c r="H1070" i="1"/>
  <c r="J1070" i="1"/>
  <c r="A1071" i="1"/>
  <c r="G1071" i="1"/>
  <c r="H1071" i="1"/>
  <c r="J1071" i="1"/>
  <c r="A1072" i="1"/>
  <c r="G1072" i="1"/>
  <c r="H1072" i="1"/>
  <c r="J1072" i="1"/>
  <c r="A1073" i="1"/>
  <c r="G1073" i="1"/>
  <c r="H1073" i="1"/>
  <c r="J1073" i="1"/>
  <c r="A1074" i="1"/>
  <c r="G1074" i="1"/>
  <c r="H1074" i="1"/>
  <c r="J1074" i="1"/>
  <c r="A1075" i="1"/>
  <c r="G1075" i="1"/>
  <c r="H1075" i="1"/>
  <c r="J1075" i="1"/>
  <c r="A1076" i="1"/>
  <c r="G1076" i="1"/>
  <c r="H1076" i="1"/>
  <c r="J1076" i="1"/>
  <c r="A1077" i="1"/>
  <c r="G1077" i="1"/>
  <c r="H1077" i="1"/>
  <c r="J1077" i="1"/>
  <c r="A1078" i="1"/>
  <c r="G1078" i="1"/>
  <c r="H1078" i="1"/>
  <c r="J1078" i="1"/>
  <c r="A1079" i="1"/>
  <c r="G1079" i="1"/>
  <c r="H1079" i="1"/>
  <c r="J1079" i="1"/>
  <c r="A1080" i="1"/>
  <c r="G1080" i="1"/>
  <c r="H1080" i="1"/>
  <c r="J1080" i="1"/>
  <c r="A1081" i="1"/>
  <c r="G1081" i="1"/>
  <c r="H1081" i="1"/>
  <c r="J1081" i="1"/>
  <c r="A1082" i="1"/>
  <c r="G1082" i="1"/>
  <c r="H1082" i="1"/>
  <c r="J1082" i="1"/>
  <c r="A1083" i="1"/>
  <c r="G1083" i="1"/>
  <c r="H1083" i="1"/>
  <c r="J1083" i="1"/>
  <c r="A1084" i="1"/>
  <c r="G1084" i="1"/>
  <c r="H1084" i="1"/>
  <c r="J1084" i="1"/>
  <c r="A1085" i="1"/>
  <c r="G1085" i="1"/>
  <c r="H1085" i="1"/>
  <c r="J1085" i="1"/>
  <c r="A1086" i="1"/>
  <c r="G1086" i="1"/>
  <c r="H1086" i="1"/>
  <c r="J1086" i="1"/>
  <c r="A1087" i="1"/>
  <c r="G1087" i="1"/>
  <c r="H1087" i="1"/>
  <c r="J1087" i="1"/>
  <c r="A1088" i="1"/>
  <c r="G1088" i="1"/>
  <c r="H1088" i="1"/>
  <c r="J1088" i="1"/>
  <c r="A1089" i="1"/>
  <c r="G1089" i="1"/>
  <c r="H1089" i="1"/>
  <c r="J1089" i="1"/>
  <c r="A1090" i="1"/>
  <c r="G1090" i="1"/>
  <c r="H1090" i="1"/>
  <c r="J1090" i="1"/>
  <c r="A1091" i="1"/>
  <c r="G1091" i="1"/>
  <c r="H1091" i="1"/>
  <c r="J1091" i="1"/>
  <c r="A1092" i="1"/>
  <c r="G1092" i="1"/>
  <c r="H1092" i="1"/>
  <c r="J1092" i="1"/>
  <c r="A1093" i="1"/>
  <c r="G1093" i="1"/>
  <c r="H1093" i="1"/>
  <c r="J1093" i="1"/>
  <c r="A1094" i="1"/>
  <c r="G1094" i="1"/>
  <c r="H1094" i="1"/>
  <c r="J1094" i="1"/>
  <c r="A1095" i="1"/>
  <c r="G1095" i="1"/>
  <c r="H1095" i="1"/>
  <c r="J1095" i="1"/>
  <c r="A1096" i="1"/>
  <c r="G1096" i="1"/>
  <c r="H1096" i="1"/>
  <c r="J1096" i="1"/>
  <c r="A1097" i="1"/>
  <c r="G1097" i="1"/>
  <c r="H1097" i="1"/>
  <c r="J1097" i="1"/>
  <c r="A1098" i="1"/>
  <c r="G1098" i="1"/>
  <c r="H1098" i="1"/>
  <c r="J1098" i="1"/>
  <c r="A1099" i="1"/>
  <c r="G1099" i="1"/>
  <c r="H1099" i="1"/>
  <c r="J1099" i="1"/>
  <c r="A1100" i="1"/>
  <c r="G1100" i="1"/>
  <c r="H1100" i="1"/>
  <c r="J1100" i="1"/>
  <c r="A1101" i="1"/>
  <c r="G1101" i="1"/>
  <c r="H1101" i="1"/>
  <c r="J1101" i="1"/>
  <c r="A1102" i="1"/>
  <c r="G1102" i="1"/>
  <c r="H1102" i="1"/>
  <c r="J1102" i="1"/>
  <c r="A1103" i="1"/>
  <c r="G1103" i="1"/>
  <c r="H1103" i="1"/>
  <c r="J1103" i="1"/>
  <c r="A1104" i="1"/>
  <c r="G1104" i="1"/>
  <c r="H1104" i="1"/>
  <c r="J1104" i="1"/>
  <c r="A1105" i="1"/>
  <c r="G1105" i="1"/>
  <c r="H1105" i="1"/>
  <c r="J1105" i="1"/>
  <c r="A1106" i="1"/>
  <c r="G1106" i="1"/>
  <c r="H1106" i="1"/>
  <c r="J1106" i="1"/>
  <c r="A1107" i="1"/>
  <c r="G1107" i="1"/>
  <c r="H1107" i="1"/>
  <c r="J1107" i="1"/>
  <c r="A1108" i="1"/>
  <c r="G1108" i="1"/>
  <c r="H1108" i="1"/>
  <c r="J1108" i="1"/>
  <c r="A1109" i="1"/>
  <c r="G1109" i="1"/>
  <c r="H1109" i="1"/>
  <c r="J1109" i="1"/>
  <c r="A1110" i="1"/>
  <c r="G1110" i="1"/>
  <c r="H1110" i="1"/>
  <c r="J1110" i="1"/>
  <c r="A1111" i="1"/>
  <c r="G1111" i="1"/>
  <c r="H1111" i="1"/>
  <c r="J1111" i="1"/>
  <c r="A1112" i="1"/>
  <c r="G1112" i="1"/>
  <c r="H1112" i="1"/>
  <c r="J1112" i="1"/>
  <c r="A1113" i="1"/>
  <c r="G1113" i="1"/>
  <c r="H1113" i="1"/>
  <c r="J1113" i="1"/>
  <c r="A1114" i="1"/>
  <c r="G1114" i="1"/>
  <c r="H1114" i="1"/>
  <c r="J1114" i="1"/>
  <c r="A1115" i="1"/>
  <c r="G1115" i="1"/>
  <c r="H1115" i="1"/>
  <c r="J1115" i="1"/>
  <c r="A1116" i="1"/>
  <c r="G1116" i="1"/>
  <c r="H1116" i="1"/>
  <c r="J1116" i="1"/>
  <c r="A1117" i="1"/>
  <c r="G1117" i="1"/>
  <c r="H1117" i="1"/>
  <c r="J1117" i="1"/>
  <c r="A1118" i="1"/>
  <c r="G1118" i="1"/>
  <c r="H1118" i="1"/>
  <c r="J1118" i="1"/>
  <c r="A1119" i="1"/>
  <c r="G1119" i="1"/>
  <c r="H1119" i="1"/>
  <c r="J1119" i="1"/>
  <c r="A1120" i="1"/>
  <c r="G1120" i="1"/>
  <c r="H1120" i="1"/>
  <c r="J1120" i="1"/>
  <c r="A1121" i="1"/>
  <c r="G1121" i="1"/>
  <c r="H1121" i="1"/>
  <c r="J1121" i="1"/>
  <c r="A1122" i="1"/>
  <c r="G1122" i="1"/>
  <c r="H1122" i="1"/>
  <c r="J1122" i="1"/>
  <c r="A1123" i="1"/>
  <c r="G1123" i="1"/>
  <c r="H1123" i="1"/>
  <c r="J1123" i="1"/>
  <c r="A1124" i="1"/>
  <c r="G1124" i="1"/>
  <c r="H1124" i="1"/>
  <c r="J1124" i="1"/>
  <c r="A1125" i="1"/>
  <c r="G1125" i="1"/>
  <c r="H1125" i="1"/>
  <c r="J1125" i="1"/>
  <c r="A1126" i="1"/>
  <c r="G1126" i="1"/>
  <c r="H1126" i="1"/>
  <c r="J1126" i="1"/>
  <c r="A1127" i="1"/>
  <c r="G1127" i="1"/>
  <c r="H1127" i="1"/>
  <c r="J1127" i="1"/>
  <c r="A1128" i="1"/>
  <c r="G1128" i="1"/>
  <c r="H1128" i="1"/>
  <c r="J1128" i="1"/>
  <c r="A1129" i="1"/>
  <c r="G1129" i="1"/>
  <c r="H1129" i="1"/>
  <c r="J1129" i="1"/>
  <c r="A1130" i="1"/>
  <c r="G1130" i="1"/>
  <c r="H1130" i="1"/>
  <c r="J1130" i="1"/>
  <c r="A1131" i="1"/>
  <c r="G1131" i="1"/>
  <c r="H1131" i="1"/>
  <c r="J1131" i="1"/>
  <c r="A1132" i="1"/>
  <c r="G1132" i="1"/>
  <c r="H1132" i="1"/>
  <c r="J1132" i="1"/>
  <c r="A1133" i="1"/>
  <c r="G1133" i="1"/>
  <c r="H1133" i="1"/>
  <c r="J1133" i="1"/>
  <c r="A1134" i="1"/>
  <c r="G1134" i="1"/>
  <c r="H1134" i="1"/>
  <c r="J1134" i="1"/>
  <c r="A1135" i="1"/>
  <c r="G1135" i="1"/>
  <c r="H1135" i="1"/>
  <c r="J1135" i="1"/>
  <c r="A1136" i="1"/>
  <c r="G1136" i="1"/>
  <c r="H1136" i="1"/>
  <c r="J1136" i="1"/>
  <c r="A1137" i="1"/>
  <c r="G1137" i="1"/>
  <c r="H1137" i="1"/>
  <c r="J1137" i="1"/>
  <c r="A1138" i="1"/>
  <c r="G1138" i="1"/>
  <c r="H1138" i="1"/>
  <c r="J1138" i="1"/>
  <c r="A1139" i="1"/>
  <c r="G1139" i="1"/>
  <c r="H1139" i="1"/>
  <c r="J1139" i="1"/>
  <c r="A1140" i="1"/>
  <c r="G1140" i="1"/>
  <c r="H1140" i="1"/>
  <c r="J1140" i="1"/>
  <c r="A1141" i="1"/>
  <c r="G1141" i="1"/>
  <c r="H1141" i="1"/>
  <c r="J1141" i="1"/>
  <c r="A1142" i="1"/>
  <c r="G1142" i="1"/>
  <c r="H1142" i="1"/>
  <c r="J1142" i="1"/>
  <c r="A1143" i="1"/>
  <c r="G1143" i="1"/>
  <c r="H1143" i="1"/>
  <c r="J1143" i="1"/>
  <c r="A1144" i="1"/>
  <c r="G1144" i="1"/>
  <c r="H1144" i="1"/>
  <c r="J1144" i="1"/>
  <c r="A1145" i="1"/>
  <c r="G1145" i="1"/>
  <c r="H1145" i="1"/>
  <c r="J1145" i="1"/>
  <c r="A1146" i="1"/>
  <c r="G1146" i="1"/>
  <c r="H1146" i="1"/>
  <c r="J1146" i="1"/>
  <c r="A1147" i="1"/>
  <c r="G1147" i="1"/>
  <c r="H1147" i="1"/>
  <c r="J1147" i="1"/>
  <c r="A1148" i="1"/>
  <c r="G1148" i="1"/>
  <c r="H1148" i="1"/>
  <c r="J1148" i="1"/>
  <c r="A1149" i="1"/>
  <c r="G1149" i="1"/>
  <c r="H1149" i="1"/>
  <c r="J1149" i="1"/>
  <c r="A1150" i="1"/>
  <c r="G1150" i="1"/>
  <c r="H1150" i="1"/>
  <c r="J1150" i="1"/>
  <c r="A1151" i="1"/>
  <c r="G1151" i="1"/>
  <c r="H1151" i="1"/>
  <c r="J1151" i="1"/>
  <c r="A1152" i="1"/>
  <c r="G1152" i="1"/>
  <c r="H1152" i="1"/>
  <c r="J1152" i="1"/>
  <c r="A1153" i="1"/>
  <c r="G1153" i="1"/>
  <c r="H1153" i="1"/>
  <c r="J1153" i="1"/>
  <c r="A1154" i="1"/>
  <c r="G1154" i="1"/>
  <c r="H1154" i="1"/>
  <c r="J1154" i="1"/>
  <c r="A1155" i="1"/>
  <c r="G1155" i="1"/>
  <c r="H1155" i="1"/>
  <c r="J1155" i="1"/>
  <c r="A1156" i="1"/>
  <c r="G1156" i="1"/>
  <c r="H1156" i="1"/>
  <c r="J1156" i="1"/>
  <c r="A1157" i="1"/>
  <c r="G1157" i="1"/>
  <c r="H1157" i="1"/>
  <c r="J1157" i="1"/>
  <c r="A1158" i="1"/>
  <c r="G1158" i="1"/>
  <c r="H1158" i="1"/>
  <c r="J1158" i="1"/>
  <c r="A1159" i="1"/>
  <c r="G1159" i="1"/>
  <c r="H1159" i="1"/>
  <c r="J1159" i="1"/>
  <c r="A1160" i="1"/>
  <c r="G1160" i="1"/>
  <c r="H1160" i="1"/>
  <c r="J1160" i="1"/>
  <c r="A1161" i="1"/>
  <c r="G1161" i="1"/>
  <c r="H1161" i="1"/>
  <c r="J1161" i="1"/>
  <c r="A1162" i="1"/>
  <c r="G1162" i="1"/>
  <c r="H1162" i="1"/>
  <c r="J1162" i="1"/>
  <c r="A1163" i="1"/>
  <c r="G1163" i="1"/>
  <c r="H1163" i="1"/>
  <c r="J1163" i="1"/>
  <c r="A1164" i="1"/>
  <c r="G1164" i="1"/>
  <c r="H1164" i="1"/>
  <c r="J1164" i="1"/>
  <c r="A1165" i="1"/>
  <c r="G1165" i="1"/>
  <c r="H1165" i="1"/>
  <c r="J1165" i="1"/>
  <c r="A1166" i="1"/>
  <c r="G1166" i="1"/>
  <c r="H1166" i="1"/>
  <c r="J1166" i="1"/>
  <c r="A1167" i="1"/>
  <c r="G1167" i="1"/>
  <c r="H1167" i="1"/>
  <c r="J1167" i="1"/>
  <c r="A1168" i="1"/>
  <c r="G1168" i="1"/>
  <c r="H1168" i="1"/>
  <c r="J1168" i="1"/>
  <c r="A1169" i="1"/>
  <c r="G1169" i="1"/>
  <c r="H1169" i="1"/>
  <c r="J1169" i="1"/>
  <c r="A1170" i="1"/>
  <c r="G1170" i="1"/>
  <c r="H1170" i="1"/>
  <c r="J1170" i="1"/>
  <c r="A1171" i="1"/>
  <c r="G1171" i="1"/>
  <c r="H1171" i="1"/>
  <c r="J1171" i="1"/>
  <c r="A1172" i="1"/>
  <c r="G1172" i="1"/>
  <c r="H1172" i="1"/>
  <c r="J1172" i="1"/>
  <c r="A1173" i="1"/>
  <c r="G1173" i="1"/>
  <c r="H1173" i="1"/>
  <c r="J1173" i="1"/>
  <c r="A1174" i="1"/>
  <c r="G1174" i="1"/>
  <c r="H1174" i="1"/>
  <c r="J1174" i="1"/>
  <c r="A1175" i="1"/>
  <c r="G1175" i="1"/>
  <c r="H1175" i="1"/>
  <c r="J1175" i="1"/>
  <c r="A1176" i="1"/>
  <c r="G1176" i="1"/>
  <c r="H1176" i="1"/>
  <c r="J1176" i="1"/>
  <c r="A1177" i="1"/>
  <c r="G1177" i="1"/>
  <c r="H1177" i="1"/>
  <c r="J1177" i="1"/>
  <c r="A1178" i="1"/>
  <c r="G1178" i="1"/>
  <c r="H1178" i="1"/>
  <c r="J1178" i="1"/>
  <c r="A1179" i="1"/>
  <c r="G1179" i="1"/>
  <c r="H1179" i="1"/>
  <c r="J1179" i="1"/>
  <c r="A1180" i="1"/>
  <c r="G1180" i="1"/>
  <c r="H1180" i="1"/>
  <c r="J1180" i="1"/>
  <c r="A1181" i="1"/>
  <c r="G1181" i="1"/>
  <c r="H1181" i="1"/>
  <c r="J1181" i="1"/>
  <c r="A1182" i="1"/>
  <c r="G1182" i="1"/>
  <c r="H1182" i="1"/>
  <c r="J1182" i="1"/>
  <c r="A1183" i="1"/>
  <c r="G1183" i="1"/>
  <c r="H1183" i="1"/>
  <c r="J1183" i="1"/>
  <c r="A1184" i="1"/>
  <c r="G1184" i="1"/>
  <c r="H1184" i="1"/>
  <c r="J1184" i="1"/>
  <c r="A1185" i="1"/>
  <c r="G1185" i="1"/>
  <c r="H1185" i="1"/>
  <c r="J1185" i="1"/>
  <c r="A1186" i="1"/>
  <c r="G1186" i="1"/>
  <c r="H1186" i="1"/>
  <c r="J1186" i="1"/>
  <c r="A1187" i="1"/>
  <c r="G1187" i="1"/>
  <c r="H1187" i="1"/>
  <c r="J1187" i="1"/>
  <c r="A1188" i="1"/>
  <c r="G1188" i="1"/>
  <c r="H1188" i="1"/>
  <c r="J1188" i="1"/>
  <c r="A1189" i="1"/>
  <c r="G1189" i="1"/>
  <c r="H1189" i="1"/>
  <c r="J1189" i="1"/>
  <c r="A1190" i="1"/>
  <c r="G1190" i="1"/>
  <c r="H1190" i="1"/>
  <c r="J1190" i="1"/>
  <c r="A1191" i="1"/>
  <c r="G1191" i="1"/>
  <c r="H1191" i="1"/>
  <c r="J1191" i="1"/>
  <c r="A1192" i="1"/>
  <c r="G1192" i="1"/>
  <c r="H1192" i="1"/>
  <c r="J1192" i="1"/>
  <c r="A1193" i="1"/>
  <c r="G1193" i="1"/>
  <c r="H1193" i="1"/>
  <c r="J1193" i="1"/>
  <c r="A1194" i="1"/>
  <c r="G1194" i="1"/>
  <c r="H1194" i="1"/>
  <c r="J1194" i="1"/>
  <c r="A1195" i="1"/>
  <c r="G1195" i="1"/>
  <c r="H1195" i="1"/>
  <c r="J1195" i="1"/>
  <c r="A1196" i="1"/>
  <c r="G1196" i="1"/>
  <c r="H1196" i="1"/>
  <c r="J1196" i="1"/>
  <c r="A1197" i="1"/>
  <c r="G1197" i="1"/>
  <c r="H1197" i="1"/>
  <c r="J1197" i="1"/>
  <c r="A1198" i="1"/>
  <c r="G1198" i="1"/>
  <c r="H1198" i="1"/>
  <c r="J1198" i="1"/>
  <c r="A1199" i="1"/>
  <c r="G1199" i="1"/>
  <c r="H1199" i="1"/>
  <c r="J1199" i="1"/>
  <c r="A1200" i="1"/>
  <c r="G1200" i="1"/>
  <c r="H1200" i="1"/>
  <c r="J1200" i="1"/>
  <c r="A1201" i="1"/>
  <c r="G1201" i="1"/>
  <c r="H1201" i="1"/>
  <c r="J1201" i="1"/>
  <c r="A1202" i="1"/>
  <c r="G1202" i="1"/>
  <c r="H1202" i="1"/>
  <c r="J1202" i="1"/>
  <c r="A1203" i="1"/>
  <c r="G1203" i="1"/>
  <c r="H1203" i="1"/>
  <c r="J1203" i="1"/>
  <c r="A1204" i="1"/>
  <c r="G1204" i="1"/>
  <c r="H1204" i="1"/>
  <c r="J1204" i="1"/>
  <c r="A1205" i="1"/>
  <c r="G1205" i="1"/>
  <c r="H1205" i="1"/>
  <c r="J1205" i="1"/>
  <c r="A1206" i="1"/>
  <c r="G1206" i="1"/>
  <c r="H1206" i="1"/>
  <c r="J1206" i="1"/>
  <c r="A1207" i="1"/>
  <c r="G1207" i="1"/>
  <c r="H1207" i="1"/>
  <c r="J1207" i="1"/>
  <c r="A1208" i="1"/>
  <c r="G1208" i="1"/>
  <c r="H1208" i="1"/>
  <c r="J1208" i="1"/>
  <c r="A1209" i="1"/>
  <c r="G1209" i="1"/>
  <c r="H1209" i="1"/>
  <c r="J1209" i="1"/>
  <c r="A1210" i="1"/>
  <c r="G1210" i="1"/>
  <c r="H1210" i="1"/>
  <c r="J1210" i="1"/>
  <c r="A1211" i="1"/>
  <c r="G1211" i="1"/>
  <c r="H1211" i="1"/>
  <c r="J1211" i="1"/>
  <c r="A1212" i="1"/>
  <c r="G1212" i="1"/>
  <c r="H1212" i="1"/>
  <c r="J1212" i="1"/>
  <c r="A1213" i="1"/>
  <c r="G1213" i="1"/>
  <c r="H1213" i="1"/>
  <c r="J1213" i="1"/>
  <c r="A1214" i="1"/>
  <c r="G1214" i="1"/>
  <c r="H1214" i="1"/>
  <c r="J1214" i="1"/>
  <c r="A1215" i="1"/>
  <c r="G1215" i="1"/>
  <c r="H1215" i="1"/>
  <c r="J1215" i="1"/>
  <c r="A1216" i="1"/>
  <c r="G1216" i="1"/>
  <c r="H1216" i="1"/>
  <c r="J1216" i="1"/>
  <c r="A1217" i="1"/>
  <c r="G1217" i="1"/>
  <c r="H1217" i="1"/>
  <c r="J1217" i="1"/>
  <c r="A1218" i="1"/>
  <c r="G1218" i="1"/>
  <c r="H1218" i="1"/>
  <c r="J1218" i="1"/>
  <c r="A1219" i="1"/>
  <c r="G1219" i="1"/>
  <c r="H1219" i="1"/>
  <c r="J1219" i="1"/>
  <c r="A1220" i="1"/>
  <c r="G1220" i="1"/>
  <c r="H1220" i="1"/>
  <c r="J1220" i="1"/>
  <c r="A1221" i="1"/>
  <c r="G1221" i="1"/>
  <c r="H1221" i="1"/>
  <c r="J1221" i="1"/>
  <c r="A1222" i="1"/>
  <c r="G1222" i="1"/>
  <c r="H1222" i="1"/>
  <c r="J1222" i="1"/>
  <c r="A1223" i="1"/>
  <c r="G1223" i="1"/>
  <c r="H1223" i="1"/>
  <c r="J1223" i="1"/>
  <c r="A1224" i="1"/>
  <c r="G1224" i="1"/>
  <c r="H1224" i="1"/>
  <c r="J1224" i="1"/>
  <c r="A1225" i="1"/>
  <c r="G1225" i="1"/>
  <c r="H1225" i="1"/>
  <c r="J1225" i="1"/>
  <c r="A1226" i="1"/>
  <c r="G1226" i="1"/>
  <c r="H1226" i="1"/>
  <c r="J1226" i="1"/>
  <c r="A1227" i="1"/>
  <c r="G1227" i="1"/>
  <c r="H1227" i="1"/>
  <c r="J1227" i="1"/>
  <c r="A1228" i="1"/>
  <c r="G1228" i="1"/>
  <c r="H1228" i="1"/>
  <c r="J1228" i="1"/>
  <c r="A1229" i="1"/>
  <c r="G1229" i="1"/>
  <c r="H1229" i="1"/>
  <c r="J1229" i="1"/>
  <c r="A1230" i="1"/>
  <c r="G1230" i="1"/>
  <c r="H1230" i="1"/>
  <c r="A1231" i="1"/>
  <c r="G1231" i="1"/>
  <c r="H1231" i="1"/>
  <c r="J1231" i="1"/>
  <c r="A1232" i="1"/>
  <c r="G1232" i="1"/>
  <c r="H1232" i="1"/>
  <c r="J1232" i="1"/>
  <c r="A1233" i="1"/>
  <c r="G1233" i="1"/>
  <c r="H1233" i="1"/>
  <c r="J1233" i="1"/>
  <c r="A1234" i="1"/>
  <c r="G1234" i="1"/>
  <c r="H1234" i="1"/>
  <c r="J1234" i="1"/>
  <c r="A1235" i="1"/>
  <c r="G1235" i="1"/>
  <c r="H1235" i="1"/>
  <c r="J1235" i="1"/>
  <c r="A1236" i="1"/>
  <c r="I1236" i="1"/>
  <c r="J1236" i="1"/>
  <c r="A1237" i="1"/>
  <c r="I1237" i="1"/>
  <c r="J1237" i="1"/>
  <c r="A1238" i="1"/>
  <c r="I1238" i="1"/>
  <c r="J1238" i="1"/>
  <c r="A1239" i="1"/>
  <c r="G1239" i="1"/>
  <c r="H1239" i="1"/>
  <c r="J1239" i="1"/>
  <c r="A1240" i="1"/>
  <c r="G1240" i="1"/>
  <c r="H1240" i="1"/>
  <c r="J1240" i="1"/>
  <c r="A1241" i="1"/>
  <c r="G1241" i="1"/>
  <c r="H1241" i="1"/>
  <c r="J1241" i="1"/>
  <c r="A1242" i="1"/>
  <c r="G1242" i="1"/>
  <c r="H1242" i="1"/>
  <c r="J1242" i="1"/>
  <c r="A1243" i="1"/>
  <c r="G1243" i="1"/>
  <c r="H1243" i="1"/>
  <c r="J1243" i="1"/>
  <c r="A1244" i="1"/>
  <c r="G1244" i="1"/>
  <c r="H1244" i="1"/>
  <c r="J1244" i="1"/>
  <c r="A1245" i="1"/>
  <c r="G1245" i="1"/>
  <c r="H1245" i="1"/>
  <c r="J1245" i="1"/>
  <c r="A1246" i="1"/>
  <c r="G1246" i="1"/>
  <c r="H1246" i="1"/>
  <c r="J1246" i="1"/>
  <c r="A1247" i="1"/>
  <c r="G1247" i="1"/>
  <c r="H1247" i="1"/>
  <c r="J1247" i="1"/>
  <c r="A1248" i="1"/>
  <c r="G1248" i="1"/>
  <c r="H1248" i="1"/>
  <c r="J1248" i="1"/>
  <c r="A1249" i="1"/>
  <c r="G1249" i="1"/>
  <c r="H1249" i="1"/>
  <c r="J1249" i="1"/>
  <c r="A1250" i="1"/>
  <c r="G1250" i="1"/>
  <c r="H1250" i="1"/>
  <c r="J1250" i="1"/>
  <c r="A1251" i="1"/>
  <c r="G1251" i="1"/>
  <c r="H1251" i="1"/>
  <c r="J1251" i="1"/>
  <c r="A1252" i="1"/>
  <c r="G1252" i="1"/>
  <c r="H1252" i="1"/>
  <c r="J1252" i="1"/>
  <c r="A1253" i="1"/>
  <c r="G1253" i="1"/>
  <c r="H1253" i="1"/>
  <c r="J1253" i="1"/>
  <c r="A1254" i="1"/>
  <c r="G1254" i="1"/>
  <c r="H1254" i="1"/>
  <c r="J1254" i="1"/>
  <c r="A1255" i="1"/>
  <c r="G1255" i="1"/>
  <c r="H1255" i="1"/>
  <c r="J1255" i="1"/>
  <c r="A1256" i="1"/>
  <c r="G1256" i="1"/>
  <c r="H1256" i="1"/>
  <c r="J1256" i="1"/>
  <c r="A1257" i="1"/>
  <c r="G1257" i="1"/>
  <c r="H1257" i="1"/>
  <c r="J1257" i="1"/>
  <c r="A1258" i="1"/>
  <c r="G1258" i="1"/>
  <c r="H1258" i="1"/>
  <c r="J1258" i="1"/>
  <c r="A1259" i="1"/>
  <c r="G1259" i="1"/>
  <c r="H1259" i="1"/>
  <c r="J1259" i="1"/>
  <c r="A1260" i="1"/>
  <c r="G1260" i="1"/>
  <c r="H1260" i="1"/>
  <c r="J1260" i="1"/>
  <c r="A1261" i="1"/>
  <c r="G1261" i="1"/>
  <c r="H1261" i="1"/>
  <c r="J1261" i="1"/>
  <c r="A1262" i="1"/>
  <c r="G1262" i="1"/>
  <c r="H1262" i="1"/>
  <c r="J1262" i="1"/>
  <c r="A1263" i="1"/>
  <c r="G1263" i="1"/>
  <c r="H1263" i="1"/>
  <c r="J1263" i="1"/>
  <c r="A1264" i="1"/>
  <c r="G1264" i="1"/>
  <c r="H1264" i="1"/>
  <c r="J1264" i="1"/>
  <c r="A1265" i="1"/>
  <c r="G1265" i="1"/>
  <c r="H1265" i="1"/>
  <c r="J1265" i="1"/>
  <c r="A1266" i="1"/>
  <c r="G1266" i="1"/>
  <c r="H1266" i="1"/>
  <c r="J1266" i="1"/>
  <c r="A1267" i="1"/>
  <c r="G1267" i="1"/>
  <c r="H1267" i="1"/>
  <c r="J1267" i="1"/>
  <c r="A1268" i="1"/>
  <c r="G1268" i="1"/>
  <c r="H1268" i="1"/>
  <c r="J1268" i="1"/>
  <c r="A1269" i="1"/>
  <c r="G1269" i="1"/>
  <c r="H1269" i="1"/>
  <c r="J1269" i="1"/>
  <c r="A1270" i="1"/>
  <c r="G1270" i="1"/>
  <c r="H1270" i="1"/>
  <c r="J1270" i="1"/>
  <c r="A1271" i="1"/>
  <c r="G1271" i="1"/>
  <c r="H1271" i="1"/>
  <c r="J1271" i="1"/>
  <c r="A1272" i="1"/>
  <c r="G1272" i="1"/>
  <c r="H1272" i="1"/>
  <c r="J1272" i="1"/>
  <c r="A1273" i="1"/>
  <c r="G1273" i="1"/>
  <c r="H1273" i="1"/>
  <c r="J1273" i="1"/>
  <c r="A1274" i="1"/>
  <c r="G1274" i="1"/>
  <c r="H1274" i="1"/>
  <c r="J1274" i="1"/>
  <c r="A1275" i="1"/>
  <c r="G1275" i="1"/>
  <c r="H1275" i="1"/>
  <c r="J1275" i="1"/>
  <c r="A1276" i="1"/>
  <c r="G1276" i="1"/>
  <c r="H1276" i="1"/>
  <c r="J1276" i="1"/>
  <c r="A1277" i="1"/>
  <c r="G1277" i="1"/>
  <c r="H1277" i="1"/>
  <c r="J1277" i="1"/>
  <c r="A1278" i="1"/>
  <c r="G1278" i="1"/>
  <c r="H1278" i="1"/>
  <c r="J1278" i="1"/>
  <c r="A1279" i="1"/>
  <c r="G1279" i="1"/>
  <c r="H1279" i="1"/>
  <c r="J1279" i="1"/>
  <c r="A1280" i="1"/>
  <c r="G1280" i="1"/>
  <c r="H1280" i="1"/>
  <c r="J1280" i="1"/>
  <c r="A1281" i="1"/>
  <c r="G1281" i="1"/>
  <c r="H1281" i="1"/>
  <c r="J1281" i="1"/>
  <c r="A1282" i="1"/>
  <c r="I1282" i="1"/>
  <c r="J1282" i="1"/>
  <c r="A1283" i="1"/>
  <c r="G1283" i="1"/>
  <c r="H1283" i="1"/>
  <c r="J1283" i="1"/>
  <c r="A1284" i="1"/>
  <c r="G1284" i="1"/>
  <c r="H1284" i="1"/>
  <c r="J1284" i="1"/>
  <c r="A1285" i="1"/>
  <c r="G1285" i="1"/>
  <c r="H1285" i="1"/>
  <c r="J1285" i="1"/>
  <c r="A1286" i="1"/>
  <c r="G1286" i="1"/>
  <c r="H1286" i="1"/>
  <c r="J1286" i="1"/>
  <c r="A1287" i="1"/>
  <c r="G1287" i="1"/>
  <c r="H1287" i="1"/>
  <c r="J1287" i="1"/>
  <c r="A1288" i="1"/>
  <c r="G1288" i="1"/>
  <c r="H1288" i="1"/>
  <c r="J1288" i="1"/>
  <c r="A1289" i="1"/>
  <c r="G1289" i="1"/>
  <c r="H1289" i="1"/>
  <c r="J1289" i="1"/>
  <c r="A1290" i="1"/>
  <c r="G1290" i="1"/>
  <c r="H1290" i="1"/>
  <c r="J1290" i="1"/>
  <c r="A1291" i="1"/>
  <c r="G1291" i="1"/>
  <c r="H1291" i="1"/>
  <c r="J1291" i="1"/>
  <c r="A1292" i="1"/>
  <c r="G1292" i="1"/>
  <c r="H1292" i="1"/>
  <c r="J1292" i="1"/>
  <c r="A1293" i="1"/>
  <c r="I1293" i="1"/>
  <c r="A1294" i="1"/>
  <c r="G1294" i="1"/>
  <c r="H1294" i="1"/>
  <c r="J1294" i="1"/>
  <c r="A1295" i="1"/>
  <c r="G1295" i="1"/>
  <c r="H1295" i="1"/>
  <c r="J1295" i="1"/>
  <c r="A1296" i="1"/>
  <c r="G1296" i="1"/>
  <c r="H1296" i="1"/>
  <c r="J1296" i="1"/>
  <c r="A1297" i="1"/>
  <c r="G1297" i="1"/>
  <c r="H1297" i="1"/>
  <c r="J1297" i="1"/>
  <c r="A1298" i="1"/>
  <c r="G1298" i="1"/>
  <c r="H1298" i="1"/>
  <c r="J1298" i="1"/>
  <c r="A1299" i="1"/>
  <c r="G1299" i="1"/>
  <c r="H1299" i="1"/>
  <c r="J1299" i="1"/>
  <c r="A1300" i="1"/>
  <c r="G1300" i="1"/>
  <c r="H1300" i="1"/>
  <c r="J1300" i="1"/>
  <c r="A1301" i="1"/>
  <c r="G1301" i="1"/>
  <c r="H1301" i="1"/>
  <c r="J1301" i="1"/>
  <c r="A1302" i="1"/>
  <c r="G1302" i="1"/>
  <c r="H1302" i="1"/>
  <c r="J1302" i="1"/>
  <c r="A1303" i="1"/>
  <c r="G1303" i="1"/>
  <c r="H1303" i="1"/>
  <c r="J1303" i="1"/>
  <c r="A1304" i="1"/>
  <c r="G1304" i="1"/>
  <c r="H1304" i="1"/>
  <c r="J1304" i="1"/>
  <c r="A1305" i="1"/>
  <c r="G1305" i="1"/>
  <c r="H1305" i="1"/>
  <c r="J1305" i="1"/>
  <c r="A1306" i="1"/>
  <c r="G1306" i="1"/>
  <c r="H1306" i="1"/>
  <c r="J1306" i="1"/>
  <c r="A1307" i="1"/>
  <c r="G1307" i="1"/>
  <c r="H1307" i="1"/>
  <c r="J1307" i="1"/>
  <c r="A1308" i="1"/>
  <c r="G1308" i="1"/>
  <c r="H1308" i="1"/>
  <c r="J1308" i="1"/>
  <c r="A1309" i="1"/>
  <c r="G1309" i="1"/>
  <c r="H1309" i="1"/>
  <c r="J1309" i="1"/>
  <c r="A1310" i="1"/>
  <c r="G1310" i="1"/>
  <c r="H1310" i="1"/>
  <c r="J1310" i="1"/>
  <c r="A1311" i="1"/>
  <c r="G1311" i="1"/>
  <c r="H1311" i="1"/>
  <c r="J1311" i="1"/>
  <c r="A1312" i="1"/>
  <c r="G1312" i="1"/>
  <c r="H1312" i="1"/>
  <c r="J1312" i="1"/>
  <c r="A1313" i="1"/>
  <c r="G1313" i="1"/>
  <c r="H1313" i="1"/>
  <c r="J1313" i="1"/>
  <c r="A1314" i="1"/>
  <c r="G1314" i="1"/>
  <c r="H1314" i="1"/>
  <c r="J1314" i="1"/>
  <c r="A1315" i="1"/>
  <c r="G1315" i="1"/>
  <c r="H1315" i="1"/>
  <c r="J1315" i="1"/>
  <c r="A1316" i="1"/>
  <c r="G1316" i="1"/>
  <c r="H1316" i="1"/>
  <c r="J1316" i="1"/>
  <c r="A1317" i="1"/>
  <c r="G1317" i="1"/>
  <c r="H1317" i="1"/>
  <c r="J1317" i="1"/>
  <c r="A1318" i="1"/>
  <c r="G1318" i="1"/>
  <c r="H1318" i="1"/>
  <c r="J1318" i="1"/>
  <c r="A1319" i="1"/>
  <c r="G1319" i="1"/>
  <c r="H1319" i="1"/>
  <c r="J1319" i="1"/>
  <c r="A1320" i="1"/>
  <c r="G1320" i="1"/>
  <c r="H1320" i="1"/>
  <c r="J1320" i="1"/>
  <c r="A1321" i="1"/>
  <c r="G1321" i="1"/>
  <c r="H1321" i="1"/>
  <c r="J1321" i="1"/>
  <c r="A1322" i="1"/>
  <c r="G1322" i="1"/>
  <c r="H1322" i="1"/>
  <c r="J1322" i="1"/>
  <c r="A1323" i="1"/>
  <c r="G1323" i="1"/>
  <c r="H1323" i="1"/>
  <c r="J1323" i="1"/>
  <c r="A1324" i="1"/>
  <c r="G1324" i="1"/>
  <c r="H1324" i="1"/>
  <c r="J1324" i="1"/>
  <c r="A1325" i="1"/>
  <c r="G1325" i="1"/>
  <c r="H1325" i="1"/>
  <c r="J1325" i="1"/>
  <c r="A1326" i="1"/>
  <c r="G1326" i="1"/>
  <c r="H1326" i="1"/>
  <c r="J1326" i="1"/>
  <c r="A1327" i="1"/>
  <c r="G1327" i="1"/>
  <c r="H1327" i="1"/>
  <c r="J1327" i="1"/>
  <c r="A1328" i="1"/>
  <c r="G1328" i="1"/>
  <c r="H1328" i="1"/>
  <c r="J1328" i="1"/>
  <c r="A1329" i="1"/>
  <c r="G1329" i="1"/>
  <c r="H1329" i="1"/>
  <c r="J1329" i="1"/>
  <c r="A1330" i="1"/>
  <c r="G1330" i="1"/>
  <c r="H1330" i="1"/>
  <c r="A1331" i="1"/>
  <c r="G1331" i="1"/>
  <c r="H1331" i="1"/>
  <c r="A1332" i="1"/>
  <c r="G1332" i="1"/>
  <c r="H1332" i="1"/>
  <c r="J1332" i="1"/>
  <c r="A1333" i="1"/>
  <c r="G1333" i="1"/>
  <c r="H1333" i="1"/>
  <c r="J1333" i="1"/>
  <c r="A1334" i="1"/>
  <c r="G1334" i="1"/>
  <c r="H1334" i="1"/>
  <c r="J1334" i="1"/>
  <c r="A1335" i="1"/>
  <c r="G1335" i="1"/>
  <c r="H1335" i="1"/>
  <c r="J1335" i="1"/>
  <c r="A1336" i="1"/>
  <c r="G1336" i="1"/>
  <c r="H1336" i="1"/>
  <c r="J1336" i="1"/>
  <c r="A1337" i="1"/>
  <c r="G1337" i="1"/>
  <c r="H1337" i="1"/>
  <c r="J1337" i="1"/>
  <c r="A1338" i="1"/>
  <c r="G1338" i="1"/>
  <c r="H1338" i="1"/>
  <c r="J1338" i="1"/>
  <c r="A1339" i="1"/>
  <c r="G1339" i="1"/>
  <c r="H1339" i="1"/>
  <c r="J1339" i="1"/>
  <c r="A1340" i="1"/>
  <c r="G1340" i="1"/>
  <c r="H1340" i="1"/>
  <c r="J1340" i="1"/>
  <c r="A1341" i="1"/>
  <c r="G1341" i="1"/>
  <c r="H1341" i="1"/>
  <c r="J1341" i="1"/>
  <c r="A1342" i="1"/>
  <c r="G1342" i="1"/>
  <c r="H1342" i="1"/>
  <c r="J1342" i="1"/>
  <c r="A1343" i="1"/>
  <c r="G1343" i="1"/>
  <c r="H1343" i="1"/>
  <c r="J1343" i="1"/>
  <c r="A1344" i="1"/>
  <c r="G1344" i="1"/>
  <c r="H1344" i="1"/>
  <c r="J1344" i="1"/>
  <c r="A1345" i="1"/>
  <c r="G1345" i="1"/>
  <c r="H1345" i="1"/>
  <c r="J1345" i="1"/>
  <c r="A1346" i="1"/>
  <c r="G1346" i="1"/>
  <c r="H1346" i="1"/>
  <c r="J1346" i="1"/>
  <c r="A1347" i="1"/>
  <c r="G1347" i="1"/>
  <c r="H1347" i="1"/>
  <c r="J1347" i="1"/>
  <c r="A1348" i="1"/>
  <c r="G1348" i="1"/>
  <c r="H1348" i="1"/>
  <c r="J1348" i="1"/>
  <c r="A1349" i="1"/>
  <c r="G1349" i="1"/>
  <c r="H1349" i="1"/>
  <c r="J1349" i="1"/>
  <c r="A1350" i="1"/>
  <c r="G1350" i="1"/>
  <c r="H1350" i="1"/>
  <c r="J1350" i="1"/>
  <c r="A1351" i="1"/>
  <c r="G1351" i="1"/>
  <c r="H1351" i="1"/>
  <c r="J1351" i="1"/>
  <c r="A1352" i="1"/>
  <c r="G1352" i="1"/>
  <c r="H1352" i="1"/>
  <c r="J1352" i="1"/>
  <c r="A1353" i="1"/>
  <c r="G1353" i="1"/>
  <c r="H1353" i="1"/>
  <c r="J1353" i="1"/>
  <c r="A1354" i="1"/>
  <c r="G1354" i="1"/>
  <c r="H1354" i="1"/>
  <c r="J1354" i="1"/>
  <c r="A1355" i="1"/>
  <c r="G1355" i="1"/>
  <c r="H1355" i="1"/>
  <c r="J1355" i="1"/>
  <c r="A1356" i="1"/>
  <c r="G1356" i="1"/>
  <c r="H1356" i="1"/>
  <c r="J1356" i="1"/>
  <c r="A1357" i="1"/>
  <c r="G1357" i="1"/>
  <c r="H1357" i="1"/>
  <c r="J1357" i="1"/>
  <c r="A1358" i="1"/>
  <c r="G1358" i="1"/>
  <c r="H1358" i="1"/>
  <c r="J1358" i="1"/>
  <c r="A1359" i="1"/>
  <c r="G1359" i="1"/>
  <c r="H1359" i="1"/>
  <c r="J1359" i="1"/>
  <c r="A1360" i="1"/>
  <c r="G1360" i="1"/>
  <c r="H1360" i="1"/>
  <c r="J1360" i="1"/>
  <c r="A1361" i="1"/>
  <c r="G1361" i="1"/>
  <c r="H1361" i="1"/>
  <c r="J1361" i="1"/>
  <c r="A1362" i="1"/>
  <c r="G1362" i="1"/>
  <c r="H1362" i="1"/>
  <c r="J1362" i="1"/>
  <c r="A1363" i="1"/>
  <c r="G1363" i="1"/>
  <c r="H1363" i="1"/>
  <c r="J1363" i="1"/>
  <c r="A1364" i="1"/>
  <c r="G1364" i="1"/>
  <c r="H1364" i="1"/>
  <c r="J1364" i="1"/>
  <c r="A1365" i="1"/>
  <c r="G1365" i="1"/>
  <c r="H1365" i="1"/>
  <c r="J1365" i="1"/>
  <c r="A1366" i="1"/>
  <c r="G1366" i="1"/>
  <c r="H1366" i="1"/>
  <c r="J1366" i="1"/>
  <c r="A1367" i="1"/>
  <c r="G1367" i="1"/>
  <c r="H1367" i="1"/>
  <c r="J1367" i="1"/>
  <c r="A1368" i="1"/>
  <c r="G1368" i="1"/>
  <c r="H1368" i="1"/>
  <c r="J1368" i="1"/>
  <c r="A1369" i="1"/>
  <c r="G1369" i="1"/>
  <c r="H1369" i="1"/>
  <c r="J1369" i="1"/>
  <c r="A1370" i="1"/>
  <c r="G1370" i="1"/>
  <c r="H1370" i="1"/>
  <c r="J1370" i="1"/>
  <c r="A1371" i="1"/>
  <c r="G1371" i="1"/>
  <c r="H1371" i="1"/>
  <c r="J1371" i="1"/>
  <c r="A1372" i="1"/>
  <c r="G1372" i="1"/>
  <c r="H1372" i="1"/>
  <c r="J1372" i="1"/>
  <c r="A1373" i="1"/>
  <c r="G1373" i="1"/>
  <c r="H1373" i="1"/>
  <c r="J1373" i="1"/>
  <c r="A1374" i="1"/>
  <c r="G1374" i="1"/>
  <c r="H1374" i="1"/>
  <c r="J1374" i="1"/>
  <c r="A1375" i="1"/>
  <c r="G1375" i="1"/>
  <c r="H1375" i="1"/>
  <c r="J1375" i="1"/>
  <c r="A1376" i="1"/>
  <c r="G1376" i="1"/>
  <c r="H1376" i="1"/>
  <c r="J1376" i="1"/>
  <c r="A1377" i="1"/>
  <c r="G1377" i="1"/>
  <c r="H1377" i="1"/>
  <c r="J1377" i="1"/>
  <c r="A1378" i="1"/>
  <c r="G1378" i="1"/>
  <c r="H1378" i="1"/>
  <c r="J1378" i="1"/>
  <c r="A1379" i="1"/>
  <c r="G1379" i="1"/>
  <c r="H1379" i="1"/>
  <c r="J1379" i="1"/>
  <c r="A1380" i="1"/>
  <c r="G1380" i="1"/>
  <c r="H1380" i="1"/>
  <c r="J1380" i="1"/>
  <c r="A1381" i="1"/>
  <c r="G1381" i="1"/>
  <c r="H1381" i="1"/>
  <c r="J1381" i="1"/>
  <c r="A1382" i="1"/>
  <c r="G1382" i="1"/>
  <c r="H1382" i="1"/>
  <c r="J1382" i="1"/>
  <c r="A1383" i="1"/>
  <c r="G1383" i="1"/>
  <c r="H1383" i="1"/>
  <c r="J1383" i="1"/>
  <c r="A1384" i="1"/>
  <c r="G1384" i="1"/>
  <c r="H1384" i="1"/>
  <c r="J1384" i="1"/>
  <c r="A1385" i="1"/>
  <c r="G1385" i="1"/>
  <c r="H1385" i="1"/>
  <c r="J1385" i="1"/>
  <c r="A1386" i="1"/>
  <c r="G1386" i="1"/>
  <c r="H1386" i="1"/>
  <c r="J1386" i="1"/>
  <c r="A1387" i="1"/>
  <c r="G1387" i="1"/>
  <c r="H1387" i="1"/>
  <c r="J1387" i="1"/>
  <c r="A1388" i="1"/>
  <c r="G1388" i="1"/>
  <c r="H1388" i="1"/>
  <c r="J1388" i="1"/>
  <c r="A1389" i="1"/>
  <c r="G1389" i="1"/>
  <c r="H1389" i="1"/>
  <c r="J1389" i="1"/>
  <c r="A1390" i="1"/>
  <c r="G1390" i="1"/>
  <c r="H1390" i="1"/>
  <c r="J1390" i="1"/>
  <c r="A1391" i="1"/>
  <c r="G1391" i="1"/>
  <c r="H1391" i="1"/>
  <c r="J1391" i="1"/>
  <c r="A1392" i="1"/>
  <c r="G1392" i="1"/>
  <c r="H1392" i="1"/>
  <c r="J1392" i="1"/>
  <c r="A1393" i="1"/>
  <c r="G1393" i="1"/>
  <c r="H1393" i="1"/>
  <c r="J1393" i="1"/>
  <c r="A1394" i="1"/>
  <c r="G1394" i="1"/>
  <c r="H1394" i="1"/>
  <c r="J1394" i="1"/>
  <c r="A1395" i="1"/>
  <c r="G1395" i="1"/>
  <c r="H1395" i="1"/>
  <c r="J1395" i="1"/>
  <c r="A1396" i="1"/>
  <c r="G1396" i="1"/>
  <c r="H1396" i="1"/>
  <c r="J1396" i="1"/>
  <c r="A1397" i="1"/>
  <c r="G1397" i="1"/>
  <c r="H1397" i="1"/>
  <c r="J1397" i="1"/>
  <c r="A1398" i="1"/>
  <c r="G1398" i="1"/>
  <c r="H1398" i="1"/>
  <c r="J1398" i="1"/>
  <c r="A1399" i="1"/>
  <c r="G1399" i="1"/>
  <c r="H1399" i="1"/>
  <c r="J1399" i="1"/>
  <c r="A1400" i="1"/>
  <c r="G1400" i="1"/>
  <c r="H1400" i="1"/>
  <c r="J1400" i="1"/>
  <c r="A1401" i="1"/>
  <c r="G1401" i="1"/>
  <c r="H1401" i="1"/>
  <c r="J1401" i="1"/>
  <c r="A1402" i="1"/>
  <c r="G1402" i="1"/>
  <c r="H1402" i="1"/>
  <c r="J1402" i="1"/>
  <c r="A1403" i="1"/>
  <c r="G1403" i="1"/>
  <c r="H1403" i="1"/>
  <c r="J1403" i="1"/>
  <c r="A1404" i="1"/>
  <c r="G1404" i="1"/>
  <c r="H1404" i="1"/>
  <c r="J1404" i="1"/>
  <c r="A1405" i="1"/>
  <c r="G1405" i="1"/>
  <c r="H1405" i="1"/>
  <c r="J1405" i="1"/>
  <c r="A1406" i="1"/>
  <c r="G1406" i="1"/>
  <c r="H1406" i="1"/>
  <c r="J1406" i="1"/>
  <c r="A1407" i="1"/>
  <c r="G1407" i="1"/>
  <c r="H1407" i="1"/>
  <c r="J1407" i="1"/>
  <c r="A1408" i="1"/>
  <c r="G1408" i="1"/>
  <c r="H1408" i="1"/>
  <c r="J1408" i="1"/>
  <c r="A1409" i="1"/>
  <c r="G1409" i="1"/>
  <c r="H1409" i="1"/>
  <c r="J1409" i="1"/>
  <c r="A1410" i="1"/>
  <c r="G1410" i="1"/>
  <c r="H1410" i="1"/>
  <c r="J1410" i="1"/>
  <c r="A1411" i="1"/>
  <c r="G1411" i="1"/>
  <c r="H1411" i="1"/>
  <c r="J1411" i="1"/>
  <c r="A1412" i="1"/>
  <c r="G1412" i="1"/>
  <c r="H1412" i="1"/>
  <c r="J1412" i="1"/>
  <c r="A1413" i="1"/>
  <c r="G1413" i="1"/>
  <c r="H1413" i="1"/>
  <c r="J1413" i="1"/>
  <c r="A1414" i="1"/>
  <c r="G1414" i="1"/>
  <c r="H1414" i="1"/>
  <c r="J1414" i="1"/>
  <c r="A1415" i="1"/>
  <c r="G1415" i="1"/>
  <c r="H1415" i="1"/>
  <c r="J1415" i="1"/>
  <c r="A1416" i="1"/>
  <c r="G1416" i="1"/>
  <c r="H1416" i="1"/>
  <c r="J1416" i="1"/>
  <c r="A1417" i="1"/>
  <c r="G1417" i="1"/>
  <c r="H1417" i="1"/>
  <c r="J1417" i="1"/>
  <c r="A1418" i="1"/>
  <c r="G1418" i="1"/>
  <c r="H1418" i="1"/>
  <c r="J1418" i="1"/>
  <c r="A1419" i="1"/>
  <c r="G1419" i="1"/>
  <c r="H1419" i="1"/>
  <c r="J1419" i="1"/>
  <c r="A1420" i="1"/>
  <c r="G1420" i="1"/>
  <c r="H1420" i="1"/>
  <c r="J1420" i="1"/>
  <c r="A1421" i="1"/>
  <c r="G1421" i="1"/>
  <c r="H1421" i="1"/>
  <c r="J1421" i="1"/>
  <c r="A1422" i="1"/>
  <c r="G1422" i="1"/>
  <c r="H1422" i="1"/>
  <c r="J1422" i="1"/>
  <c r="A1423" i="1"/>
  <c r="G1423" i="1"/>
  <c r="H1423" i="1"/>
  <c r="J1423" i="1"/>
  <c r="A1424" i="1"/>
  <c r="G1424" i="1"/>
  <c r="H1424" i="1"/>
  <c r="J1424" i="1"/>
  <c r="A1425" i="1"/>
  <c r="G1425" i="1"/>
  <c r="H1425" i="1"/>
  <c r="J1425" i="1"/>
  <c r="A1426" i="1"/>
  <c r="G1426" i="1"/>
  <c r="H1426" i="1"/>
  <c r="J1426" i="1"/>
  <c r="A1427" i="1"/>
  <c r="G1427" i="1"/>
  <c r="H1427" i="1"/>
  <c r="J1427" i="1"/>
  <c r="A1428" i="1"/>
  <c r="G1428" i="1"/>
  <c r="H1428" i="1"/>
  <c r="J1428" i="1"/>
  <c r="A1429" i="1"/>
  <c r="G1429" i="1"/>
  <c r="H1429" i="1"/>
  <c r="J1429" i="1"/>
  <c r="A1430" i="1"/>
  <c r="G1430" i="1"/>
  <c r="H1430" i="1"/>
  <c r="J1430" i="1"/>
  <c r="A1431" i="1"/>
  <c r="G1431" i="1"/>
  <c r="H1431" i="1"/>
  <c r="J1431" i="1"/>
  <c r="A1432" i="1"/>
  <c r="G1432" i="1"/>
  <c r="H1432" i="1"/>
  <c r="J1432" i="1"/>
  <c r="A1433" i="1"/>
  <c r="G1433" i="1"/>
  <c r="H1433" i="1"/>
  <c r="J1433" i="1"/>
  <c r="A1434" i="1"/>
  <c r="G1434" i="1"/>
  <c r="H1434" i="1"/>
  <c r="J1434" i="1"/>
  <c r="A1435" i="1"/>
  <c r="G1435" i="1"/>
  <c r="H1435" i="1"/>
  <c r="J1435" i="1"/>
  <c r="A1436" i="1"/>
  <c r="G1436" i="1"/>
  <c r="H1436" i="1"/>
  <c r="J1436" i="1"/>
  <c r="A1437" i="1"/>
  <c r="G1437" i="1"/>
  <c r="H1437" i="1"/>
  <c r="J1437" i="1"/>
  <c r="A1438" i="1"/>
  <c r="G1438" i="1"/>
  <c r="H1438" i="1"/>
  <c r="J1438" i="1"/>
  <c r="A1439" i="1"/>
  <c r="G1439" i="1"/>
  <c r="H1439" i="1"/>
  <c r="J1439" i="1"/>
  <c r="A1440" i="1"/>
  <c r="G1440" i="1"/>
  <c r="H1440" i="1"/>
  <c r="J1440" i="1"/>
  <c r="A1441" i="1"/>
  <c r="G1441" i="1"/>
  <c r="H1441" i="1"/>
  <c r="J1441" i="1"/>
  <c r="A1442" i="1"/>
  <c r="G1442" i="1"/>
  <c r="H1442" i="1"/>
  <c r="J1442" i="1"/>
  <c r="A1443" i="1"/>
  <c r="G1443" i="1"/>
  <c r="H1443" i="1"/>
  <c r="J1443" i="1"/>
  <c r="A1444" i="1"/>
  <c r="G1444" i="1"/>
  <c r="H1444" i="1"/>
  <c r="J1444" i="1"/>
  <c r="A1445" i="1"/>
  <c r="G1445" i="1"/>
  <c r="H1445" i="1"/>
  <c r="J1445" i="1"/>
  <c r="A1446" i="1"/>
  <c r="G1446" i="1"/>
  <c r="H1446" i="1"/>
  <c r="J1446" i="1"/>
  <c r="A1447" i="1"/>
  <c r="G1447" i="1"/>
  <c r="H1447" i="1"/>
  <c r="J1447" i="1"/>
  <c r="A1448" i="1"/>
  <c r="G1448" i="1"/>
  <c r="H1448" i="1"/>
  <c r="J1448" i="1"/>
  <c r="A1449" i="1"/>
  <c r="G1449" i="1"/>
  <c r="H1449" i="1"/>
  <c r="J1449" i="1"/>
  <c r="A1450" i="1"/>
  <c r="G1450" i="1"/>
  <c r="H1450" i="1"/>
  <c r="J1450" i="1"/>
  <c r="A1451" i="1"/>
  <c r="G1451" i="1"/>
  <c r="H1451" i="1"/>
  <c r="J1451" i="1"/>
  <c r="A1452" i="1"/>
  <c r="G1452" i="1"/>
  <c r="H1452" i="1"/>
  <c r="J1452" i="1"/>
  <c r="A1453" i="1"/>
  <c r="G1453" i="1"/>
  <c r="H1453" i="1"/>
  <c r="J1453" i="1"/>
  <c r="A1454" i="1"/>
  <c r="G1454" i="1"/>
  <c r="H1454" i="1"/>
  <c r="J1454" i="1"/>
  <c r="A1455" i="1"/>
  <c r="G1455" i="1"/>
  <c r="H1455" i="1"/>
  <c r="A1456" i="1"/>
  <c r="G1456" i="1"/>
  <c r="H1456" i="1"/>
  <c r="A1457" i="1"/>
  <c r="G1457" i="1"/>
  <c r="H1457" i="1"/>
  <c r="A1458" i="1"/>
  <c r="G1458" i="1"/>
  <c r="H1458" i="1"/>
  <c r="J1458" i="1"/>
  <c r="A1459" i="1"/>
  <c r="G1459" i="1"/>
  <c r="H1459" i="1"/>
  <c r="J1459" i="1"/>
  <c r="A1460" i="1"/>
  <c r="G1460" i="1"/>
  <c r="H1460" i="1"/>
  <c r="J1460" i="1"/>
  <c r="A1461" i="1"/>
  <c r="G1461" i="1"/>
  <c r="H1461" i="1"/>
  <c r="J1461" i="1"/>
  <c r="A1462" i="1"/>
  <c r="G1462" i="1"/>
  <c r="H1462" i="1"/>
  <c r="J1462" i="1"/>
  <c r="A1463" i="1"/>
  <c r="G1463" i="1"/>
  <c r="H1463" i="1"/>
  <c r="J1463" i="1"/>
  <c r="A1464" i="1"/>
  <c r="G1464" i="1"/>
  <c r="H1464" i="1"/>
  <c r="J1464" i="1"/>
  <c r="A1465" i="1"/>
  <c r="G1465" i="1"/>
  <c r="H1465" i="1"/>
  <c r="J1465" i="1"/>
  <c r="A1466" i="1"/>
  <c r="G1466" i="1"/>
  <c r="H1466" i="1"/>
  <c r="J1466" i="1"/>
  <c r="A1467" i="1"/>
  <c r="G1467" i="1"/>
  <c r="H1467" i="1"/>
  <c r="J1467" i="1"/>
  <c r="A1468" i="1"/>
  <c r="G1468" i="1"/>
  <c r="H1468" i="1"/>
  <c r="J1468" i="1"/>
  <c r="A1469" i="1"/>
  <c r="G1469" i="1"/>
  <c r="H1469" i="1"/>
  <c r="J1469" i="1"/>
  <c r="A1470" i="1"/>
  <c r="G1470" i="1"/>
  <c r="H1470" i="1"/>
  <c r="J1470" i="1"/>
  <c r="A1471" i="1"/>
  <c r="G1471" i="1"/>
  <c r="H1471" i="1"/>
  <c r="J1471" i="1"/>
  <c r="A1472" i="1"/>
  <c r="G1472" i="1"/>
  <c r="H1472" i="1"/>
  <c r="J1472" i="1"/>
  <c r="A1473" i="1"/>
  <c r="G1473" i="1"/>
  <c r="H1473" i="1"/>
  <c r="J1473" i="1"/>
  <c r="A1474" i="1"/>
  <c r="G1474" i="1"/>
  <c r="H1474" i="1"/>
  <c r="J1474" i="1"/>
  <c r="A1475" i="1"/>
  <c r="G1475" i="1"/>
  <c r="H1475" i="1"/>
  <c r="J1475" i="1"/>
  <c r="A1476" i="1"/>
  <c r="G1476" i="1"/>
  <c r="H1476" i="1"/>
  <c r="J1476" i="1"/>
  <c r="A1477" i="1"/>
  <c r="G1477" i="1"/>
  <c r="H1477" i="1"/>
  <c r="J1477" i="1"/>
  <c r="A1478" i="1"/>
  <c r="G1478" i="1"/>
  <c r="H1478" i="1"/>
  <c r="J1478" i="1"/>
  <c r="A1479" i="1"/>
  <c r="G1479" i="1"/>
  <c r="H1479" i="1"/>
  <c r="J1479" i="1"/>
  <c r="A1480" i="1"/>
  <c r="G1480" i="1"/>
  <c r="H1480" i="1"/>
  <c r="J1480" i="1"/>
  <c r="A1481" i="1"/>
  <c r="G1481" i="1"/>
  <c r="H1481" i="1"/>
  <c r="J1481" i="1"/>
  <c r="A1482" i="1"/>
  <c r="G1482" i="1"/>
  <c r="H1482" i="1"/>
  <c r="J1482" i="1"/>
  <c r="A1483" i="1"/>
  <c r="G1483" i="1"/>
  <c r="H1483" i="1"/>
  <c r="J1483" i="1"/>
  <c r="A1484" i="1"/>
  <c r="G1484" i="1"/>
  <c r="H1484" i="1"/>
  <c r="J1484" i="1"/>
  <c r="A1485" i="1"/>
  <c r="G1485" i="1"/>
  <c r="H1485" i="1"/>
  <c r="J1485" i="1"/>
  <c r="A1486" i="1"/>
  <c r="G1486" i="1"/>
  <c r="H1486" i="1"/>
  <c r="J1486" i="1"/>
  <c r="A1487" i="1"/>
  <c r="G1487" i="1"/>
  <c r="H1487" i="1"/>
  <c r="J1487" i="1"/>
  <c r="A1488" i="1"/>
  <c r="G1488" i="1"/>
  <c r="H1488" i="1"/>
  <c r="J1488" i="1"/>
  <c r="A1489" i="1"/>
  <c r="G1489" i="1"/>
  <c r="H1489" i="1"/>
  <c r="J1489" i="1"/>
  <c r="A1490" i="1"/>
  <c r="G1490" i="1"/>
  <c r="H1490" i="1"/>
  <c r="J1490" i="1"/>
  <c r="A1491" i="1"/>
  <c r="G1491" i="1"/>
  <c r="H1491" i="1"/>
  <c r="J1491" i="1"/>
  <c r="A1492" i="1"/>
  <c r="G1492" i="1"/>
  <c r="H1492" i="1"/>
  <c r="J1492" i="1"/>
  <c r="A1493" i="1"/>
  <c r="G1493" i="1"/>
  <c r="H1493" i="1"/>
  <c r="J1493" i="1"/>
  <c r="A1494" i="1"/>
  <c r="G1494" i="1"/>
  <c r="H1494" i="1"/>
  <c r="J1494" i="1"/>
  <c r="A1495" i="1"/>
  <c r="G1495" i="1"/>
  <c r="H1495" i="1"/>
  <c r="J1495" i="1"/>
  <c r="A1496" i="1"/>
  <c r="G1496" i="1"/>
  <c r="H1496" i="1"/>
  <c r="J1496" i="1"/>
  <c r="A1497" i="1"/>
  <c r="G1497" i="1"/>
  <c r="H1497" i="1"/>
  <c r="J1497" i="1"/>
  <c r="A1498" i="1"/>
  <c r="G1498" i="1"/>
  <c r="H1498" i="1"/>
  <c r="J1498" i="1"/>
  <c r="A1499" i="1"/>
  <c r="G1499" i="1"/>
  <c r="H1499" i="1"/>
  <c r="A1500" i="1"/>
  <c r="G1500" i="1"/>
  <c r="H1500" i="1"/>
  <c r="A1501" i="1"/>
  <c r="G1501" i="1"/>
  <c r="H1501" i="1"/>
  <c r="A1502" i="1"/>
  <c r="G1502" i="1"/>
  <c r="H1502" i="1"/>
  <c r="A1503" i="1"/>
  <c r="G1503" i="1"/>
  <c r="H1503" i="1"/>
  <c r="J1503" i="1"/>
  <c r="A1504" i="1"/>
  <c r="G1504" i="1"/>
  <c r="H1504" i="1"/>
  <c r="J1504" i="1"/>
  <c r="A1505" i="1"/>
  <c r="G1505" i="1"/>
  <c r="H1505" i="1"/>
  <c r="J1505" i="1"/>
  <c r="A1506" i="1"/>
  <c r="G1506" i="1"/>
  <c r="H1506" i="1"/>
  <c r="J1506" i="1"/>
  <c r="A1507" i="1"/>
  <c r="G1507" i="1"/>
  <c r="H1507" i="1"/>
  <c r="J1507" i="1"/>
  <c r="A1508" i="1"/>
  <c r="G1508" i="1"/>
  <c r="H1508" i="1"/>
  <c r="J1508" i="1"/>
  <c r="A1509" i="1"/>
  <c r="G1509" i="1"/>
  <c r="H1509" i="1"/>
  <c r="J1509" i="1"/>
  <c r="A1510" i="1"/>
  <c r="G1510" i="1"/>
  <c r="H1510" i="1"/>
  <c r="J1510" i="1"/>
  <c r="A1511" i="1"/>
  <c r="G1511" i="1"/>
  <c r="H1511" i="1"/>
  <c r="J1511" i="1"/>
  <c r="A1512" i="1"/>
  <c r="G1512" i="1"/>
  <c r="H1512" i="1"/>
  <c r="J1512" i="1"/>
  <c r="A1513" i="1"/>
  <c r="G1513" i="1"/>
  <c r="H1513" i="1"/>
  <c r="J1513" i="1"/>
  <c r="A1514" i="1"/>
  <c r="G1514" i="1"/>
  <c r="H1514" i="1"/>
  <c r="J1514" i="1"/>
  <c r="A1515" i="1"/>
  <c r="G1515" i="1"/>
  <c r="H1515" i="1"/>
  <c r="J1515" i="1"/>
  <c r="A1516" i="1"/>
  <c r="G1516" i="1"/>
  <c r="H1516" i="1"/>
  <c r="J1516" i="1"/>
  <c r="A1517" i="1"/>
  <c r="G1517" i="1"/>
  <c r="H1517" i="1"/>
  <c r="J1517" i="1"/>
  <c r="A1518" i="1"/>
  <c r="G1518" i="1"/>
  <c r="H1518" i="1"/>
  <c r="J1518" i="1"/>
  <c r="A1519" i="1"/>
  <c r="G1519" i="1"/>
  <c r="H1519" i="1"/>
  <c r="J1519" i="1"/>
  <c r="A1520" i="1"/>
  <c r="G1520" i="1"/>
  <c r="H1520" i="1"/>
  <c r="J1520" i="1"/>
  <c r="A1521" i="1"/>
  <c r="G1521" i="1"/>
  <c r="H1521" i="1"/>
  <c r="J1521" i="1"/>
  <c r="A1522" i="1"/>
  <c r="G1522" i="1"/>
  <c r="H1522" i="1"/>
  <c r="J1522" i="1"/>
  <c r="A1523" i="1"/>
  <c r="G1523" i="1"/>
  <c r="H1523" i="1"/>
  <c r="J1523" i="1"/>
  <c r="A1524" i="1"/>
  <c r="G1524" i="1"/>
  <c r="H1524" i="1"/>
  <c r="J1524" i="1"/>
  <c r="A1525" i="1"/>
  <c r="G1525" i="1"/>
  <c r="H1525" i="1"/>
  <c r="J1525" i="1"/>
  <c r="A1526" i="1"/>
  <c r="G1526" i="1"/>
  <c r="H1526" i="1"/>
  <c r="J1526" i="1"/>
  <c r="A1527" i="1"/>
  <c r="G1527" i="1"/>
  <c r="H1527" i="1"/>
  <c r="J1527" i="1"/>
  <c r="A1528" i="1"/>
  <c r="G1528" i="1"/>
  <c r="H1528" i="1"/>
  <c r="J1528" i="1"/>
  <c r="A1529" i="1"/>
  <c r="G1529" i="1"/>
  <c r="H1529" i="1"/>
  <c r="J1529" i="1"/>
  <c r="A1530" i="1"/>
  <c r="G1530" i="1"/>
  <c r="H1530" i="1"/>
  <c r="J1530" i="1"/>
  <c r="A1531" i="1"/>
  <c r="G1531" i="1"/>
  <c r="H1531" i="1"/>
  <c r="J1531" i="1"/>
  <c r="A1532" i="1"/>
  <c r="G1532" i="1"/>
  <c r="H1532" i="1"/>
  <c r="J1532" i="1"/>
  <c r="A1533" i="1"/>
  <c r="G1533" i="1"/>
  <c r="H1533" i="1"/>
  <c r="J1533" i="1"/>
  <c r="A1534" i="1"/>
  <c r="G1534" i="1"/>
  <c r="H1534" i="1"/>
  <c r="J1534" i="1"/>
  <c r="A1535" i="1"/>
  <c r="G1535" i="1"/>
  <c r="H1535" i="1"/>
  <c r="J1535" i="1"/>
  <c r="A1536" i="1"/>
  <c r="G1536" i="1"/>
  <c r="H1536" i="1"/>
  <c r="J1536" i="1"/>
  <c r="A1537" i="1"/>
  <c r="G1537" i="1"/>
  <c r="H1537" i="1"/>
  <c r="J1537" i="1"/>
  <c r="A1538" i="1"/>
  <c r="G1538" i="1"/>
  <c r="H1538" i="1"/>
  <c r="J1538" i="1"/>
  <c r="A1539" i="1"/>
  <c r="G1539" i="1"/>
  <c r="H1539" i="1"/>
  <c r="J1539" i="1"/>
  <c r="A1540" i="1"/>
  <c r="G1540" i="1"/>
  <c r="H1540" i="1"/>
  <c r="J1540" i="1"/>
  <c r="A1541" i="1"/>
  <c r="G1541" i="1"/>
  <c r="H1541" i="1"/>
  <c r="J1541" i="1"/>
  <c r="A1542" i="1"/>
  <c r="G1542" i="1"/>
  <c r="H1542" i="1"/>
  <c r="J1542" i="1"/>
  <c r="A1543" i="1"/>
  <c r="G1543" i="1"/>
  <c r="H1543" i="1"/>
  <c r="J1543" i="1"/>
  <c r="A1544" i="1"/>
  <c r="G1544" i="1"/>
  <c r="H1544" i="1"/>
  <c r="J1544" i="1"/>
  <c r="A1545" i="1"/>
  <c r="G1545" i="1"/>
  <c r="H1545" i="1"/>
  <c r="J1545" i="1"/>
  <c r="A1546" i="1"/>
  <c r="G1546" i="1"/>
  <c r="H1546" i="1"/>
  <c r="J1546" i="1"/>
  <c r="A1547" i="1"/>
  <c r="G1547" i="1"/>
  <c r="H1547" i="1"/>
  <c r="J1547" i="1"/>
  <c r="A1548" i="1"/>
  <c r="G1548" i="1"/>
  <c r="H1548" i="1"/>
  <c r="J1548" i="1"/>
  <c r="A1549" i="1"/>
  <c r="G1549" i="1"/>
  <c r="H1549" i="1"/>
  <c r="J1549" i="1"/>
  <c r="A1550" i="1"/>
  <c r="G1550" i="1"/>
  <c r="H1550" i="1"/>
  <c r="J1550" i="1"/>
  <c r="A1551" i="1"/>
  <c r="G1551" i="1"/>
  <c r="H1551" i="1"/>
  <c r="J1551" i="1"/>
  <c r="A1552" i="1"/>
  <c r="G1552" i="1"/>
  <c r="H1552" i="1"/>
  <c r="J1552" i="1"/>
  <c r="A1553" i="1"/>
  <c r="G1553" i="1"/>
  <c r="H1553" i="1"/>
  <c r="J1553" i="1"/>
  <c r="A1554" i="1"/>
  <c r="G1554" i="1"/>
  <c r="H1554" i="1"/>
  <c r="J1554" i="1"/>
  <c r="A1555" i="1"/>
  <c r="G1555" i="1"/>
  <c r="H1555" i="1"/>
  <c r="J1555" i="1"/>
  <c r="A1556" i="1"/>
  <c r="G1556" i="1"/>
  <c r="H1556" i="1"/>
  <c r="J1556" i="1"/>
  <c r="A1557" i="1"/>
  <c r="G1557" i="1"/>
  <c r="H1557" i="1"/>
  <c r="J1557" i="1"/>
  <c r="A1558" i="1"/>
  <c r="G1558" i="1"/>
  <c r="H1558" i="1"/>
  <c r="J1558" i="1"/>
  <c r="A1559" i="1"/>
  <c r="G1559" i="1"/>
  <c r="H1559" i="1"/>
  <c r="J1559" i="1"/>
  <c r="A1560" i="1"/>
  <c r="G1560" i="1"/>
  <c r="H1560" i="1"/>
  <c r="J1560" i="1"/>
  <c r="A1561" i="1"/>
  <c r="G1561" i="1"/>
  <c r="H1561" i="1"/>
  <c r="J1561" i="1"/>
  <c r="A1562" i="1"/>
  <c r="G1562" i="1"/>
  <c r="H1562" i="1"/>
  <c r="J1562" i="1"/>
  <c r="A1563" i="1"/>
  <c r="G1563" i="1"/>
  <c r="H1563" i="1"/>
  <c r="J1563" i="1"/>
  <c r="A1564" i="1"/>
  <c r="G1564" i="1"/>
  <c r="H1564" i="1"/>
  <c r="J1564" i="1"/>
  <c r="A1565" i="1"/>
  <c r="G1565" i="1"/>
  <c r="H1565" i="1"/>
  <c r="J1565" i="1"/>
  <c r="A1566" i="1"/>
  <c r="G1566" i="1"/>
  <c r="H1566" i="1"/>
  <c r="J1566" i="1"/>
  <c r="A1567" i="1"/>
  <c r="G1567" i="1"/>
  <c r="H1567" i="1"/>
  <c r="J1567" i="1"/>
  <c r="A1568" i="1"/>
  <c r="G1568" i="1"/>
  <c r="H1568" i="1"/>
  <c r="J1568" i="1"/>
  <c r="A1569" i="1"/>
  <c r="G1569" i="1"/>
  <c r="H1569" i="1"/>
  <c r="J1569" i="1"/>
  <c r="A1570" i="1"/>
  <c r="G1570" i="1"/>
  <c r="H1570" i="1"/>
  <c r="J1570" i="1"/>
  <c r="A1571" i="1"/>
  <c r="G1571" i="1"/>
  <c r="H1571" i="1"/>
  <c r="J1571" i="1"/>
  <c r="A1572" i="1"/>
  <c r="G1572" i="1"/>
  <c r="H1572" i="1"/>
  <c r="J1572" i="1"/>
  <c r="A1573" i="1"/>
  <c r="G1573" i="1"/>
  <c r="H1573" i="1"/>
  <c r="J1573" i="1"/>
  <c r="A1574" i="1"/>
  <c r="G1574" i="1"/>
  <c r="H1574" i="1"/>
  <c r="J1574" i="1"/>
  <c r="A1575" i="1"/>
  <c r="G1575" i="1"/>
  <c r="H1575" i="1"/>
  <c r="J1575" i="1"/>
  <c r="A1576" i="1"/>
  <c r="G1576" i="1"/>
  <c r="H1576" i="1"/>
  <c r="J1576" i="1"/>
  <c r="A1577" i="1"/>
  <c r="G1577" i="1"/>
  <c r="H1577" i="1"/>
  <c r="J1577" i="1"/>
  <c r="A1578" i="1"/>
  <c r="G1578" i="1"/>
  <c r="H1578" i="1"/>
  <c r="J1578" i="1"/>
  <c r="A1579" i="1"/>
  <c r="G1579" i="1"/>
  <c r="H1579" i="1"/>
  <c r="J1579" i="1"/>
  <c r="A1580" i="1"/>
  <c r="G1580" i="1"/>
  <c r="H1580" i="1"/>
  <c r="J1580" i="1"/>
  <c r="A1581" i="1"/>
  <c r="G1581" i="1"/>
  <c r="H1581" i="1"/>
  <c r="J1581" i="1"/>
  <c r="A1582" i="1"/>
  <c r="G1582" i="1"/>
  <c r="H1582" i="1"/>
  <c r="J1582" i="1"/>
  <c r="A1583" i="1"/>
  <c r="G1583" i="1"/>
  <c r="H1583" i="1"/>
  <c r="J1583" i="1"/>
  <c r="A1584" i="1"/>
  <c r="G1584" i="1"/>
  <c r="H1584" i="1"/>
  <c r="J1584" i="1"/>
  <c r="A1585" i="1"/>
  <c r="G1585" i="1"/>
  <c r="H1585" i="1"/>
  <c r="J1585" i="1"/>
  <c r="A1586" i="1"/>
  <c r="G1586" i="1"/>
  <c r="H1586" i="1"/>
  <c r="J1586" i="1"/>
  <c r="A1587" i="1"/>
  <c r="G1587" i="1"/>
  <c r="H1587" i="1"/>
  <c r="J1587" i="1"/>
  <c r="A1588" i="1"/>
  <c r="G1588" i="1"/>
  <c r="H1588" i="1"/>
  <c r="J1588" i="1"/>
  <c r="A1589" i="1"/>
  <c r="G1589" i="1"/>
  <c r="H1589" i="1"/>
  <c r="J1589" i="1"/>
  <c r="A1590" i="1"/>
  <c r="G1590" i="1"/>
  <c r="H1590" i="1"/>
  <c r="J1590" i="1"/>
  <c r="A1591" i="1"/>
  <c r="G1591" i="1"/>
  <c r="H1591" i="1"/>
  <c r="J1591" i="1"/>
  <c r="A1592" i="1"/>
  <c r="G1592" i="1"/>
  <c r="H1592" i="1"/>
  <c r="J1592" i="1"/>
  <c r="A1593" i="1"/>
  <c r="G1593" i="1"/>
  <c r="H1593" i="1"/>
  <c r="J1593" i="1"/>
  <c r="A1594" i="1"/>
  <c r="G1594" i="1"/>
  <c r="H1594" i="1"/>
  <c r="J1594" i="1"/>
  <c r="A1595" i="1"/>
  <c r="G1595" i="1"/>
  <c r="H1595" i="1"/>
  <c r="J1595" i="1"/>
  <c r="A1596" i="1"/>
  <c r="G1596" i="1"/>
  <c r="H1596" i="1"/>
  <c r="J1596" i="1"/>
  <c r="A1597" i="1"/>
  <c r="G1597" i="1"/>
  <c r="H1597" i="1"/>
  <c r="J1597" i="1"/>
  <c r="A1598" i="1"/>
  <c r="G1598" i="1"/>
  <c r="H1598" i="1"/>
  <c r="J1598" i="1"/>
  <c r="A1599" i="1"/>
  <c r="G1599" i="1"/>
  <c r="H1599" i="1"/>
  <c r="J1599" i="1"/>
  <c r="A1600" i="1"/>
  <c r="G1600" i="1"/>
  <c r="H1600" i="1"/>
  <c r="J1600" i="1"/>
  <c r="A1601" i="1"/>
  <c r="G1601" i="1"/>
  <c r="H1601" i="1"/>
  <c r="J1601" i="1"/>
  <c r="A1602" i="1"/>
  <c r="G1602" i="1"/>
  <c r="H1602" i="1"/>
  <c r="J1602" i="1"/>
  <c r="A1603" i="1"/>
  <c r="G1603" i="1"/>
  <c r="H1603" i="1"/>
  <c r="J1603" i="1"/>
  <c r="A1604" i="1"/>
  <c r="G1604" i="1"/>
  <c r="H1604" i="1"/>
  <c r="J1604" i="1"/>
  <c r="A1605" i="1"/>
  <c r="G1605" i="1"/>
  <c r="H1605" i="1"/>
  <c r="J1605" i="1"/>
  <c r="A1606" i="1"/>
  <c r="G1606" i="1"/>
  <c r="H1606" i="1"/>
  <c r="J1606" i="1"/>
  <c r="A1607" i="1"/>
  <c r="G1607" i="1"/>
  <c r="H1607" i="1"/>
  <c r="J1607" i="1"/>
  <c r="A1608" i="1"/>
  <c r="G1608" i="1"/>
  <c r="H1608" i="1"/>
  <c r="J1608" i="1"/>
  <c r="A1609" i="1"/>
  <c r="G1609" i="1"/>
  <c r="H1609" i="1"/>
  <c r="J1609" i="1"/>
  <c r="A1610" i="1"/>
  <c r="G1610" i="1"/>
  <c r="H1610" i="1"/>
  <c r="J1610" i="1"/>
  <c r="A1611" i="1"/>
  <c r="G1611" i="1"/>
  <c r="H1611" i="1"/>
  <c r="J1611" i="1"/>
  <c r="A1612" i="1"/>
  <c r="G1612" i="1"/>
  <c r="H1612" i="1"/>
  <c r="J1612" i="1"/>
  <c r="A1613" i="1"/>
  <c r="G1613" i="1"/>
  <c r="H1613" i="1"/>
  <c r="J1613" i="1"/>
  <c r="A1614" i="1"/>
  <c r="G1614" i="1"/>
  <c r="H1614" i="1"/>
  <c r="J1614" i="1"/>
  <c r="A1615" i="1"/>
  <c r="G1615" i="1"/>
  <c r="H1615" i="1"/>
  <c r="J1615" i="1"/>
  <c r="A1616" i="1"/>
  <c r="G1616" i="1"/>
  <c r="H1616" i="1"/>
  <c r="J1616" i="1"/>
  <c r="A1617" i="1"/>
  <c r="G1617" i="1"/>
  <c r="H1617" i="1"/>
  <c r="J1617" i="1"/>
  <c r="A1618" i="1"/>
  <c r="G1618" i="1"/>
  <c r="H1618" i="1"/>
  <c r="J1618" i="1"/>
  <c r="A1619" i="1"/>
  <c r="G1619" i="1"/>
  <c r="H1619" i="1"/>
  <c r="J1619" i="1"/>
  <c r="A1620" i="1"/>
  <c r="G1620" i="1"/>
  <c r="H1620" i="1"/>
  <c r="J1620" i="1"/>
  <c r="A1621" i="1"/>
  <c r="G1621" i="1"/>
  <c r="H1621" i="1"/>
  <c r="J1621" i="1"/>
  <c r="A1622" i="1"/>
  <c r="G1622" i="1"/>
  <c r="H1622" i="1"/>
  <c r="J1622" i="1"/>
  <c r="A1623" i="1"/>
  <c r="G1623" i="1"/>
  <c r="H1623" i="1"/>
  <c r="J1623" i="1"/>
  <c r="A1624" i="1"/>
  <c r="G1624" i="1"/>
  <c r="H1624" i="1"/>
  <c r="J1624" i="1"/>
  <c r="A1625" i="1"/>
  <c r="G1625" i="1"/>
  <c r="H1625" i="1"/>
  <c r="J1625" i="1"/>
  <c r="A1626" i="1"/>
  <c r="G1626" i="1"/>
  <c r="H1626" i="1"/>
  <c r="J1626" i="1"/>
  <c r="A1627" i="1"/>
  <c r="G1627" i="1"/>
  <c r="H1627" i="1"/>
  <c r="J1627" i="1"/>
  <c r="A1628" i="1"/>
  <c r="G1628" i="1"/>
  <c r="H1628" i="1"/>
  <c r="J1628" i="1"/>
  <c r="A1629" i="1"/>
  <c r="G1629" i="1"/>
  <c r="H1629" i="1"/>
  <c r="J1629" i="1"/>
  <c r="A1630" i="1"/>
  <c r="G1630" i="1"/>
  <c r="H1630" i="1"/>
  <c r="J1630" i="1"/>
  <c r="A1631" i="1"/>
  <c r="G1631" i="1"/>
  <c r="H1631" i="1"/>
  <c r="J1631" i="1"/>
  <c r="A1632" i="1"/>
  <c r="G1632" i="1"/>
  <c r="H1632" i="1"/>
  <c r="J1632" i="1"/>
  <c r="A1633" i="1"/>
  <c r="G1633" i="1"/>
  <c r="H1633" i="1"/>
  <c r="J1633" i="1"/>
  <c r="A1634" i="1"/>
  <c r="G1634" i="1"/>
  <c r="H1634" i="1"/>
  <c r="J1634" i="1"/>
  <c r="A1635" i="1"/>
  <c r="G1635" i="1"/>
  <c r="H1635" i="1"/>
  <c r="J1635" i="1"/>
  <c r="A1636" i="1"/>
  <c r="G1636" i="1"/>
  <c r="H1636" i="1"/>
  <c r="J1636" i="1"/>
  <c r="A1637" i="1"/>
  <c r="G1637" i="1"/>
  <c r="H1637" i="1"/>
  <c r="J1637" i="1"/>
  <c r="A1638" i="1"/>
  <c r="G1638" i="1"/>
  <c r="H1638" i="1"/>
  <c r="J1638" i="1"/>
  <c r="A1639" i="1"/>
  <c r="G1639" i="1"/>
  <c r="H1639" i="1"/>
  <c r="J1639" i="1"/>
  <c r="A1640" i="1"/>
  <c r="G1640" i="1"/>
  <c r="H1640" i="1"/>
  <c r="J1640" i="1"/>
  <c r="A1641" i="1"/>
  <c r="G1641" i="1"/>
  <c r="H1641" i="1"/>
  <c r="J1641" i="1"/>
  <c r="A1642" i="1"/>
  <c r="G1642" i="1"/>
  <c r="H1642" i="1"/>
  <c r="J1642" i="1"/>
  <c r="A1643" i="1"/>
  <c r="G1643" i="1"/>
  <c r="H1643" i="1"/>
  <c r="J1643" i="1"/>
  <c r="A1644" i="1"/>
  <c r="G1644" i="1"/>
  <c r="H1644" i="1"/>
  <c r="J1644" i="1"/>
  <c r="A1645" i="1"/>
  <c r="G1645" i="1"/>
  <c r="H1645" i="1"/>
  <c r="J1645" i="1"/>
  <c r="A1646" i="1"/>
  <c r="G1646" i="1"/>
  <c r="H1646" i="1"/>
  <c r="J1646" i="1"/>
  <c r="A1647" i="1"/>
  <c r="G1647" i="1"/>
  <c r="H1647" i="1"/>
  <c r="J1647" i="1"/>
  <c r="A1648" i="1"/>
  <c r="G1648" i="1"/>
  <c r="H1648" i="1"/>
  <c r="J1648" i="1"/>
  <c r="A1649" i="1"/>
  <c r="G1649" i="1"/>
  <c r="H1649" i="1"/>
  <c r="J1649" i="1"/>
  <c r="A1650" i="1"/>
  <c r="G1650" i="1"/>
  <c r="H1650" i="1"/>
  <c r="J1650" i="1"/>
  <c r="A1651" i="1"/>
  <c r="G1651" i="1"/>
  <c r="H1651" i="1"/>
  <c r="J1651" i="1"/>
  <c r="A1652" i="1"/>
  <c r="G1652" i="1"/>
  <c r="H1652" i="1"/>
  <c r="J1652" i="1"/>
  <c r="A1653" i="1"/>
  <c r="G1653" i="1"/>
  <c r="H1653" i="1"/>
  <c r="J1653" i="1"/>
  <c r="A1654" i="1"/>
  <c r="G1654" i="1"/>
  <c r="H1654" i="1"/>
  <c r="J1654" i="1"/>
  <c r="A1655" i="1"/>
  <c r="G1655" i="1"/>
  <c r="H1655" i="1"/>
  <c r="J1655" i="1"/>
  <c r="A1656" i="1"/>
  <c r="G1656" i="1"/>
  <c r="H1656" i="1"/>
  <c r="J1656" i="1"/>
  <c r="A1657" i="1"/>
  <c r="G1657" i="1"/>
  <c r="H1657" i="1"/>
  <c r="J1657" i="1"/>
  <c r="A1658" i="1"/>
  <c r="G1658" i="1"/>
  <c r="H1658" i="1"/>
  <c r="J1658" i="1"/>
  <c r="A1659" i="1"/>
  <c r="G1659" i="1"/>
  <c r="H1659" i="1"/>
  <c r="J1659" i="1"/>
  <c r="A1660" i="1"/>
  <c r="G1660" i="1"/>
  <c r="H1660" i="1"/>
  <c r="J1660" i="1"/>
  <c r="A1661" i="1"/>
  <c r="G1661" i="1"/>
  <c r="H1661" i="1"/>
  <c r="J1661" i="1"/>
  <c r="A1662" i="1"/>
  <c r="G1662" i="1"/>
  <c r="H1662" i="1"/>
  <c r="J1662" i="1"/>
  <c r="A1663" i="1"/>
  <c r="G1663" i="1"/>
  <c r="H1663" i="1"/>
  <c r="J1663" i="1"/>
  <c r="A1664" i="1"/>
  <c r="G1664" i="1"/>
  <c r="H1664" i="1"/>
  <c r="J1664" i="1"/>
  <c r="A1665" i="1"/>
  <c r="G1665" i="1"/>
  <c r="H1665" i="1"/>
  <c r="J1665" i="1"/>
  <c r="A1666" i="1"/>
  <c r="G1666" i="1"/>
  <c r="H1666" i="1"/>
  <c r="J1666" i="1"/>
  <c r="A1667" i="1"/>
  <c r="G1667" i="1"/>
  <c r="H1667" i="1"/>
  <c r="J1667" i="1"/>
  <c r="A1668" i="1"/>
  <c r="G1668" i="1"/>
  <c r="H1668" i="1"/>
  <c r="J1668" i="1"/>
  <c r="A1669" i="1"/>
  <c r="G1669" i="1"/>
  <c r="H1669" i="1"/>
  <c r="J1669" i="1"/>
  <c r="A1670" i="1"/>
  <c r="G1670" i="1"/>
  <c r="H1670" i="1"/>
  <c r="J1670" i="1"/>
  <c r="A1671" i="1"/>
  <c r="G1671" i="1"/>
  <c r="H1671" i="1"/>
  <c r="J1671" i="1"/>
  <c r="A1672" i="1"/>
  <c r="G1672" i="1"/>
  <c r="H1672" i="1"/>
  <c r="J1672" i="1"/>
  <c r="A1673" i="1"/>
  <c r="G1673" i="1"/>
  <c r="H1673" i="1"/>
  <c r="J1673" i="1"/>
  <c r="A1674" i="1"/>
  <c r="G1674" i="1"/>
  <c r="H1674" i="1"/>
  <c r="J1674" i="1"/>
  <c r="A1675" i="1"/>
  <c r="G1675" i="1"/>
  <c r="H1675" i="1"/>
  <c r="J1675" i="1"/>
  <c r="A1676" i="1"/>
  <c r="G1676" i="1"/>
  <c r="H1676" i="1"/>
  <c r="J1676" i="1"/>
  <c r="A1677" i="1"/>
  <c r="G1677" i="1"/>
  <c r="H1677" i="1"/>
  <c r="J1677" i="1"/>
  <c r="A1678" i="1"/>
  <c r="G1678" i="1"/>
  <c r="H1678" i="1"/>
  <c r="J1678" i="1"/>
  <c r="A1679" i="1"/>
  <c r="G1679" i="1"/>
  <c r="H1679" i="1"/>
  <c r="J1679" i="1"/>
  <c r="A1680" i="1"/>
  <c r="G1680" i="1"/>
  <c r="H1680" i="1"/>
  <c r="J1680" i="1"/>
  <c r="A1681" i="1"/>
  <c r="G1681" i="1"/>
  <c r="H1681" i="1"/>
  <c r="J1681" i="1"/>
  <c r="A1682" i="1"/>
  <c r="G1682" i="1"/>
  <c r="H1682" i="1"/>
  <c r="J1682" i="1"/>
  <c r="A1683" i="1"/>
  <c r="G1683" i="1"/>
  <c r="H1683" i="1"/>
  <c r="J1683" i="1"/>
  <c r="A1684" i="1"/>
  <c r="G1684" i="1"/>
  <c r="H1684" i="1"/>
  <c r="J1684" i="1"/>
  <c r="A1685" i="1"/>
  <c r="G1685" i="1"/>
  <c r="H1685" i="1"/>
  <c r="J1685" i="1"/>
  <c r="A1686" i="1"/>
  <c r="G1686" i="1"/>
  <c r="H1686" i="1"/>
  <c r="J1686" i="1"/>
  <c r="A1687" i="1"/>
  <c r="G1687" i="1"/>
  <c r="H1687" i="1"/>
  <c r="J1687" i="1"/>
  <c r="A1688" i="1"/>
  <c r="G1688" i="1"/>
  <c r="H1688" i="1"/>
  <c r="J1688" i="1"/>
  <c r="A1689" i="1"/>
  <c r="G1689" i="1"/>
  <c r="H1689" i="1"/>
  <c r="J1689" i="1"/>
  <c r="A1690" i="1"/>
  <c r="G1690" i="1"/>
  <c r="H1690" i="1"/>
  <c r="J1690" i="1"/>
  <c r="A1691" i="1"/>
  <c r="G1691" i="1"/>
  <c r="H1691" i="1"/>
  <c r="J1691" i="1"/>
  <c r="A1692" i="1"/>
  <c r="G1692" i="1"/>
  <c r="H1692" i="1"/>
  <c r="J1692" i="1"/>
  <c r="A1693" i="1"/>
  <c r="G1693" i="1"/>
  <c r="H1693" i="1"/>
  <c r="J1693" i="1"/>
  <c r="A1694" i="1"/>
  <c r="G1694" i="1"/>
  <c r="H1694" i="1"/>
  <c r="J1694" i="1"/>
  <c r="A1695" i="1"/>
  <c r="G1695" i="1"/>
  <c r="H1695" i="1"/>
  <c r="J1695" i="1"/>
  <c r="A1696" i="1"/>
  <c r="G1696" i="1"/>
  <c r="H1696" i="1"/>
  <c r="J1696" i="1"/>
  <c r="A1697" i="1"/>
  <c r="G1697" i="1"/>
  <c r="H1697" i="1"/>
  <c r="J1697" i="1"/>
  <c r="A1698" i="1"/>
  <c r="G1698" i="1"/>
  <c r="H1698" i="1"/>
  <c r="J1698" i="1"/>
  <c r="A1699" i="1"/>
  <c r="G1699" i="1"/>
  <c r="H1699" i="1"/>
  <c r="J1699" i="1"/>
  <c r="A1700" i="1"/>
  <c r="G1700" i="1"/>
  <c r="H1700" i="1"/>
  <c r="J1700" i="1"/>
  <c r="A1701" i="1"/>
  <c r="G1701" i="1"/>
  <c r="H1701" i="1"/>
  <c r="J1701" i="1"/>
  <c r="A1702" i="1"/>
  <c r="G1702" i="1"/>
  <c r="H1702" i="1"/>
  <c r="J1702" i="1"/>
  <c r="A1703" i="1"/>
  <c r="G1703" i="1"/>
  <c r="H1703" i="1"/>
  <c r="J1703" i="1"/>
  <c r="A1704" i="1"/>
  <c r="G1704" i="1"/>
  <c r="H1704" i="1"/>
  <c r="J1704" i="1"/>
  <c r="A1705" i="1"/>
  <c r="G1705" i="1"/>
  <c r="H1705" i="1"/>
  <c r="J1705" i="1"/>
  <c r="A1706" i="1"/>
  <c r="G1706" i="1"/>
  <c r="H1706" i="1"/>
  <c r="J1706" i="1"/>
  <c r="A1707" i="1"/>
  <c r="G1707" i="1"/>
  <c r="H1707" i="1"/>
  <c r="J1707" i="1"/>
  <c r="A1708" i="1"/>
  <c r="G1708" i="1"/>
  <c r="H1708" i="1"/>
  <c r="J1708" i="1"/>
  <c r="A1709" i="1"/>
  <c r="G1709" i="1"/>
  <c r="H1709" i="1"/>
  <c r="J1709" i="1"/>
  <c r="A1710" i="1"/>
  <c r="G1710" i="1"/>
  <c r="H1710" i="1"/>
  <c r="J1710" i="1"/>
  <c r="A1711" i="1"/>
  <c r="G1711" i="1"/>
  <c r="H1711" i="1"/>
  <c r="J1711" i="1"/>
  <c r="A1712" i="1"/>
  <c r="G1712" i="1"/>
  <c r="H1712" i="1"/>
  <c r="J1712" i="1"/>
  <c r="A1713" i="1"/>
  <c r="G1713" i="1"/>
  <c r="H1713" i="1"/>
  <c r="J1713" i="1"/>
  <c r="A1714" i="1"/>
  <c r="G1714" i="1"/>
  <c r="H1714" i="1"/>
  <c r="J1714" i="1"/>
  <c r="A1715" i="1"/>
  <c r="G1715" i="1"/>
  <c r="H1715" i="1"/>
  <c r="J1715" i="1"/>
  <c r="A1716" i="1"/>
  <c r="G1716" i="1"/>
  <c r="H1716" i="1"/>
  <c r="J1716" i="1"/>
  <c r="A1717" i="1"/>
  <c r="G1717" i="1"/>
  <c r="H1717" i="1"/>
  <c r="J1717" i="1"/>
  <c r="A1718" i="1"/>
  <c r="G1718" i="1"/>
  <c r="H1718" i="1"/>
  <c r="J1718" i="1"/>
  <c r="A1719" i="1"/>
  <c r="G1719" i="1"/>
  <c r="H1719" i="1"/>
  <c r="J1719" i="1"/>
  <c r="A1720" i="1"/>
  <c r="G1720" i="1"/>
  <c r="H1720" i="1"/>
  <c r="J1720" i="1"/>
  <c r="A1721" i="1"/>
  <c r="G1721" i="1"/>
  <c r="H1721" i="1"/>
  <c r="J1721" i="1"/>
  <c r="A1722" i="1"/>
  <c r="G1722" i="1"/>
  <c r="H1722" i="1"/>
  <c r="J1722" i="1"/>
  <c r="A1723" i="1"/>
  <c r="G1723" i="1"/>
  <c r="H1723" i="1"/>
  <c r="J1723" i="1"/>
  <c r="A1724" i="1"/>
  <c r="G1724" i="1"/>
  <c r="H1724" i="1"/>
  <c r="J1724" i="1"/>
  <c r="A1725" i="1"/>
  <c r="G1725" i="1"/>
  <c r="H1725" i="1"/>
  <c r="J1725" i="1"/>
  <c r="A1726" i="1"/>
  <c r="G1726" i="1"/>
  <c r="H1726" i="1"/>
  <c r="J1726" i="1"/>
  <c r="A1727" i="1"/>
  <c r="G1727" i="1"/>
  <c r="H1727" i="1"/>
  <c r="J1727" i="1"/>
  <c r="A1728" i="1"/>
  <c r="G1728" i="1"/>
  <c r="H1728" i="1"/>
  <c r="J1728" i="1"/>
  <c r="A1729" i="1"/>
  <c r="G1729" i="1"/>
  <c r="H1729" i="1"/>
  <c r="J1729" i="1"/>
  <c r="A1730" i="1"/>
  <c r="G1730" i="1"/>
  <c r="H1730" i="1"/>
  <c r="J1730" i="1"/>
  <c r="A1731" i="1"/>
  <c r="G1731" i="1"/>
  <c r="H1731" i="1"/>
  <c r="J1731" i="1"/>
  <c r="A1732" i="1"/>
  <c r="G1732" i="1"/>
  <c r="H1732" i="1"/>
  <c r="J1732" i="1"/>
  <c r="A1733" i="1"/>
  <c r="G1733" i="1"/>
  <c r="H1733" i="1"/>
  <c r="J1733" i="1"/>
  <c r="A1734" i="1"/>
  <c r="G1734" i="1"/>
  <c r="H1734" i="1"/>
  <c r="J1734" i="1"/>
  <c r="A1735" i="1"/>
  <c r="G1735" i="1"/>
  <c r="H1735" i="1"/>
  <c r="J1735" i="1"/>
  <c r="A1736" i="1"/>
  <c r="G1736" i="1"/>
  <c r="H1736" i="1"/>
  <c r="J1736" i="1"/>
  <c r="A1737" i="1"/>
  <c r="G1737" i="1"/>
  <c r="H1737" i="1"/>
  <c r="J1737" i="1"/>
  <c r="A1738" i="1"/>
  <c r="G1738" i="1"/>
  <c r="H1738" i="1"/>
  <c r="J1738" i="1"/>
  <c r="A1739" i="1"/>
  <c r="G1739" i="1"/>
  <c r="H1739" i="1"/>
  <c r="J1739" i="1"/>
  <c r="A1740" i="1"/>
  <c r="G1740" i="1"/>
  <c r="H1740" i="1"/>
  <c r="J1740" i="1"/>
  <c r="A1741" i="1"/>
  <c r="G1741" i="1"/>
  <c r="H1741" i="1"/>
  <c r="J1741" i="1"/>
  <c r="A1742" i="1"/>
  <c r="G1742" i="1"/>
  <c r="H1742" i="1"/>
  <c r="J1742" i="1"/>
  <c r="A1743" i="1"/>
  <c r="G1743" i="1"/>
  <c r="H1743" i="1"/>
  <c r="J1743" i="1"/>
  <c r="A1744" i="1"/>
  <c r="G1744" i="1"/>
  <c r="H1744" i="1"/>
  <c r="J1744" i="1"/>
  <c r="A1745" i="1"/>
  <c r="G1745" i="1"/>
  <c r="H1745" i="1"/>
  <c r="J1745" i="1"/>
  <c r="A1746" i="1"/>
  <c r="G1746" i="1"/>
  <c r="H1746" i="1"/>
  <c r="J1746" i="1"/>
  <c r="A1747" i="1"/>
  <c r="G1747" i="1"/>
  <c r="H1747" i="1"/>
  <c r="J1747" i="1"/>
  <c r="A1748" i="1"/>
  <c r="G1748" i="1"/>
  <c r="H1748" i="1"/>
  <c r="J1748" i="1"/>
  <c r="A1749" i="1"/>
  <c r="G1749" i="1"/>
  <c r="H1749" i="1"/>
  <c r="J1749" i="1"/>
  <c r="A1750" i="1"/>
  <c r="G1750" i="1"/>
  <c r="H1750" i="1"/>
  <c r="J1750" i="1"/>
  <c r="A1751" i="1"/>
  <c r="G1751" i="1"/>
  <c r="H1751" i="1"/>
  <c r="J1751" i="1"/>
  <c r="A1752" i="1"/>
  <c r="G1752" i="1"/>
  <c r="H1752" i="1"/>
  <c r="J1752" i="1"/>
  <c r="A1753" i="1"/>
  <c r="G1753" i="1"/>
  <c r="H1753" i="1"/>
  <c r="J1753" i="1"/>
  <c r="A1754" i="1"/>
  <c r="G1754" i="1"/>
  <c r="H1754" i="1"/>
  <c r="J1754" i="1"/>
  <c r="A1755" i="1"/>
  <c r="G1755" i="1"/>
  <c r="H1755" i="1"/>
  <c r="J1755" i="1"/>
  <c r="A1756" i="1"/>
  <c r="G1756" i="1"/>
  <c r="H1756" i="1"/>
  <c r="J1756" i="1"/>
  <c r="A1757" i="1"/>
  <c r="G1757" i="1"/>
  <c r="H1757" i="1"/>
  <c r="J1757" i="1"/>
  <c r="A1758" i="1"/>
  <c r="G1758" i="1"/>
  <c r="H1758" i="1"/>
  <c r="J1758" i="1"/>
  <c r="A1759" i="1"/>
  <c r="G1759" i="1"/>
  <c r="H1759" i="1"/>
  <c r="J1759" i="1"/>
  <c r="A1760" i="1"/>
  <c r="G1760" i="1"/>
  <c r="H1760" i="1"/>
  <c r="J1760" i="1"/>
  <c r="A1761" i="1"/>
  <c r="G1761" i="1"/>
  <c r="H1761" i="1"/>
  <c r="J1761" i="1"/>
  <c r="A1762" i="1"/>
  <c r="G1762" i="1"/>
  <c r="H1762" i="1"/>
  <c r="J1762" i="1"/>
  <c r="A1763" i="1"/>
  <c r="G1763" i="1"/>
  <c r="H1763" i="1"/>
  <c r="J1763" i="1"/>
  <c r="A1764" i="1"/>
  <c r="G1764" i="1"/>
  <c r="H1764" i="1"/>
  <c r="J1764" i="1"/>
  <c r="A1765" i="1"/>
  <c r="G1765" i="1"/>
  <c r="H1765" i="1"/>
  <c r="J1765" i="1"/>
  <c r="A1766" i="1"/>
  <c r="G1766" i="1"/>
  <c r="H1766" i="1"/>
  <c r="J1766" i="1"/>
  <c r="A1767" i="1"/>
  <c r="G1767" i="1"/>
  <c r="H1767" i="1"/>
  <c r="J1767" i="1"/>
  <c r="A1768" i="1"/>
  <c r="G1768" i="1"/>
  <c r="H1768" i="1"/>
  <c r="J1768" i="1"/>
  <c r="A1769" i="1"/>
  <c r="G1769" i="1"/>
  <c r="H1769" i="1"/>
  <c r="J1769" i="1"/>
  <c r="A1770" i="1"/>
  <c r="G1770" i="1"/>
  <c r="H1770" i="1"/>
  <c r="J1770" i="1"/>
  <c r="A1771" i="1"/>
  <c r="G1771" i="1"/>
  <c r="H1771" i="1"/>
  <c r="J1771" i="1"/>
  <c r="A1772" i="1"/>
  <c r="G1772" i="1"/>
  <c r="H1772" i="1"/>
  <c r="J1772" i="1"/>
  <c r="A1773" i="1"/>
  <c r="G1773" i="1"/>
  <c r="H1773" i="1"/>
  <c r="J1773" i="1"/>
  <c r="A1774" i="1"/>
  <c r="G1774" i="1"/>
  <c r="H1774" i="1"/>
  <c r="J1774" i="1"/>
  <c r="A1775" i="1"/>
  <c r="G1775" i="1"/>
  <c r="H1775" i="1"/>
  <c r="J1775" i="1"/>
  <c r="A1776" i="1"/>
  <c r="G1776" i="1"/>
  <c r="H1776" i="1"/>
  <c r="J1776" i="1"/>
  <c r="A1777" i="1"/>
  <c r="G1777" i="1"/>
  <c r="H1777" i="1"/>
  <c r="J1777" i="1"/>
  <c r="A1778" i="1"/>
  <c r="G1778" i="1"/>
  <c r="H1778" i="1"/>
  <c r="J1778" i="1"/>
  <c r="A1779" i="1"/>
  <c r="G1779" i="1"/>
  <c r="H1779" i="1"/>
  <c r="J1779" i="1"/>
  <c r="A1780" i="1"/>
  <c r="G1780" i="1"/>
  <c r="H1780" i="1"/>
  <c r="J1780" i="1"/>
  <c r="A1781" i="1"/>
  <c r="G1781" i="1"/>
  <c r="H1781" i="1"/>
  <c r="J1781" i="1"/>
  <c r="A1782" i="1"/>
  <c r="G1782" i="1"/>
  <c r="H1782" i="1"/>
  <c r="J1782" i="1"/>
  <c r="A1783" i="1"/>
  <c r="G1783" i="1"/>
  <c r="H1783" i="1"/>
  <c r="J1783" i="1"/>
  <c r="A1784" i="1"/>
  <c r="G1784" i="1"/>
  <c r="H1784" i="1"/>
  <c r="J1784" i="1"/>
  <c r="A1785" i="1"/>
  <c r="G1785" i="1"/>
  <c r="H1785" i="1"/>
  <c r="J1785" i="1"/>
  <c r="A1786" i="1"/>
  <c r="G1786" i="1"/>
  <c r="H1786" i="1"/>
  <c r="J1786" i="1"/>
  <c r="A1787" i="1"/>
  <c r="G1787" i="1"/>
  <c r="H1787" i="1"/>
  <c r="J1787" i="1"/>
  <c r="A1788" i="1"/>
  <c r="G1788" i="1"/>
  <c r="H1788" i="1"/>
  <c r="J1788" i="1"/>
  <c r="A1789" i="1"/>
  <c r="G1789" i="1"/>
  <c r="H1789" i="1"/>
  <c r="J1789" i="1"/>
  <c r="A1790" i="1"/>
  <c r="G1790" i="1"/>
  <c r="H1790" i="1"/>
  <c r="J1790" i="1"/>
  <c r="A1791" i="1"/>
  <c r="G1791" i="1"/>
  <c r="H1791" i="1"/>
  <c r="J1791" i="1"/>
  <c r="A1792" i="1"/>
  <c r="G1792" i="1"/>
  <c r="H1792" i="1"/>
  <c r="J1792" i="1"/>
  <c r="A1793" i="1"/>
  <c r="G1793" i="1"/>
  <c r="H1793" i="1"/>
  <c r="J1793" i="1"/>
  <c r="A1794" i="1"/>
  <c r="G1794" i="1"/>
  <c r="H1794" i="1"/>
  <c r="J1794" i="1"/>
  <c r="A1795" i="1"/>
  <c r="G1795" i="1"/>
  <c r="H1795" i="1"/>
  <c r="J1795" i="1"/>
  <c r="A1796" i="1"/>
  <c r="G1796" i="1"/>
  <c r="H1796" i="1"/>
  <c r="J1796" i="1"/>
  <c r="A1797" i="1"/>
  <c r="G1797" i="1"/>
  <c r="H1797" i="1"/>
  <c r="J1797" i="1"/>
  <c r="A1798" i="1"/>
  <c r="G1798" i="1"/>
  <c r="H1798" i="1"/>
  <c r="J1798" i="1"/>
  <c r="A1799" i="1"/>
  <c r="G1799" i="1"/>
  <c r="H1799" i="1"/>
  <c r="J1799" i="1"/>
  <c r="A1800" i="1"/>
  <c r="G1800" i="1"/>
  <c r="H1800" i="1"/>
  <c r="J1800" i="1"/>
  <c r="A1801" i="1"/>
  <c r="G1801" i="1"/>
  <c r="H1801" i="1"/>
  <c r="J1801" i="1"/>
  <c r="A1802" i="1"/>
  <c r="G1802" i="1"/>
  <c r="H1802" i="1"/>
  <c r="J1802" i="1"/>
  <c r="A1803" i="1"/>
  <c r="G1803" i="1"/>
  <c r="H1803" i="1"/>
  <c r="J1803" i="1"/>
  <c r="A1804" i="1"/>
  <c r="G1804" i="1"/>
  <c r="H1804" i="1"/>
  <c r="J1804" i="1"/>
  <c r="A1805" i="1"/>
  <c r="G1805" i="1"/>
  <c r="H1805" i="1"/>
  <c r="J1805" i="1"/>
  <c r="A1806" i="1"/>
  <c r="G1806" i="1"/>
  <c r="H1806" i="1"/>
  <c r="J1806" i="1"/>
  <c r="A1807" i="1"/>
  <c r="G1807" i="1"/>
  <c r="H1807" i="1"/>
  <c r="J1807" i="1"/>
  <c r="A1808" i="1"/>
  <c r="G1808" i="1"/>
  <c r="H1808" i="1"/>
  <c r="J1808" i="1"/>
  <c r="A1809" i="1"/>
  <c r="G1809" i="1"/>
  <c r="H1809" i="1"/>
  <c r="J1809" i="1"/>
  <c r="A1810" i="1"/>
  <c r="G1810" i="1"/>
  <c r="H1810" i="1"/>
  <c r="J1810" i="1"/>
  <c r="A1811" i="1"/>
  <c r="G1811" i="1"/>
  <c r="H1811" i="1"/>
  <c r="J1811" i="1"/>
  <c r="A1812" i="1"/>
  <c r="G1812" i="1"/>
  <c r="H1812" i="1"/>
  <c r="J1812" i="1"/>
  <c r="A1813" i="1"/>
  <c r="G1813" i="1"/>
  <c r="H1813" i="1"/>
  <c r="J1813" i="1"/>
  <c r="A1814" i="1"/>
  <c r="G1814" i="1"/>
  <c r="H1814" i="1"/>
  <c r="J1814" i="1"/>
  <c r="A1815" i="1"/>
  <c r="G1815" i="1"/>
  <c r="H1815" i="1"/>
  <c r="J1815" i="1"/>
  <c r="A1816" i="1"/>
  <c r="G1816" i="1"/>
  <c r="H1816" i="1"/>
  <c r="J1816" i="1"/>
  <c r="A1817" i="1"/>
  <c r="G1817" i="1"/>
  <c r="H1817" i="1"/>
  <c r="J1817" i="1"/>
  <c r="A1818" i="1"/>
  <c r="G1818" i="1"/>
  <c r="H1818" i="1"/>
  <c r="J1818" i="1"/>
  <c r="A1819" i="1"/>
  <c r="G1819" i="1"/>
  <c r="H1819" i="1"/>
  <c r="J1819" i="1"/>
  <c r="A1820" i="1"/>
  <c r="G1820" i="1"/>
  <c r="H1820" i="1"/>
  <c r="J1820" i="1"/>
  <c r="A1821" i="1"/>
  <c r="G1821" i="1"/>
  <c r="H1821" i="1"/>
  <c r="J1821" i="1"/>
  <c r="A1822" i="1"/>
  <c r="G1822" i="1"/>
  <c r="H1822" i="1"/>
  <c r="J1822" i="1"/>
  <c r="A1823" i="1"/>
  <c r="G1823" i="1"/>
  <c r="H1823" i="1"/>
  <c r="J1823" i="1"/>
  <c r="A1824" i="1"/>
  <c r="G1824" i="1"/>
  <c r="H1824" i="1"/>
  <c r="J1824" i="1"/>
  <c r="A1825" i="1"/>
  <c r="G1825" i="1"/>
  <c r="H1825" i="1"/>
  <c r="J1825" i="1"/>
  <c r="A1826" i="1"/>
  <c r="G1826" i="1"/>
  <c r="H1826" i="1"/>
  <c r="J1826" i="1"/>
  <c r="A1827" i="1"/>
  <c r="G1827" i="1"/>
  <c r="H1827" i="1"/>
  <c r="J1827" i="1"/>
  <c r="A1828" i="1"/>
  <c r="G1828" i="1"/>
  <c r="H1828" i="1"/>
  <c r="J1828" i="1"/>
  <c r="A1829" i="1"/>
  <c r="G1829" i="1"/>
  <c r="H1829" i="1"/>
  <c r="J1829" i="1"/>
  <c r="A1830" i="1"/>
  <c r="G1830" i="1"/>
  <c r="H1830" i="1"/>
  <c r="J1830" i="1"/>
  <c r="A1831" i="1"/>
  <c r="G1831" i="1"/>
  <c r="H1831" i="1"/>
  <c r="J1831" i="1"/>
  <c r="A1832" i="1"/>
  <c r="G1832" i="1"/>
  <c r="H1832" i="1"/>
  <c r="J1832" i="1"/>
  <c r="A1833" i="1"/>
  <c r="G1833" i="1"/>
  <c r="H1833" i="1"/>
  <c r="J1833" i="1"/>
  <c r="A1834" i="1"/>
  <c r="G1834" i="1"/>
  <c r="H1834" i="1"/>
  <c r="J1834" i="1"/>
  <c r="A1835" i="1"/>
  <c r="G1835" i="1"/>
  <c r="H1835" i="1"/>
  <c r="J1835" i="1"/>
  <c r="A1836" i="1"/>
  <c r="G1836" i="1"/>
  <c r="H1836" i="1"/>
  <c r="J1836" i="1"/>
  <c r="A1837" i="1"/>
  <c r="G1837" i="1"/>
  <c r="H1837" i="1"/>
  <c r="J1837" i="1"/>
  <c r="A1838" i="1"/>
  <c r="G1838" i="1"/>
  <c r="H1838" i="1"/>
  <c r="J1838" i="1"/>
  <c r="A1839" i="1"/>
  <c r="G1839" i="1"/>
  <c r="H1839" i="1"/>
  <c r="J1839" i="1"/>
  <c r="A1840" i="1"/>
  <c r="G1840" i="1"/>
  <c r="H1840" i="1"/>
  <c r="J1840" i="1"/>
  <c r="A1841" i="1"/>
  <c r="G1841" i="1"/>
  <c r="H1841" i="1"/>
  <c r="J1841" i="1"/>
  <c r="A1842" i="1"/>
  <c r="G1842" i="1"/>
  <c r="H1842" i="1"/>
  <c r="J1842" i="1"/>
  <c r="A1843" i="1"/>
  <c r="G1843" i="1"/>
  <c r="H1843" i="1"/>
  <c r="J1843" i="1"/>
  <c r="A1844" i="1"/>
  <c r="G1844" i="1"/>
  <c r="H1844" i="1"/>
  <c r="J1844" i="1"/>
  <c r="A1845" i="1"/>
  <c r="G1845" i="1"/>
  <c r="H1845" i="1"/>
  <c r="J1845" i="1"/>
  <c r="A1846" i="1"/>
  <c r="G1846" i="1"/>
  <c r="H1846" i="1"/>
  <c r="J1846" i="1"/>
  <c r="A1847" i="1"/>
  <c r="G1847" i="1"/>
  <c r="H1847" i="1"/>
  <c r="J1847" i="1"/>
  <c r="A1848" i="1"/>
  <c r="G1848" i="1"/>
  <c r="H1848" i="1"/>
  <c r="J1848" i="1"/>
  <c r="A1849" i="1"/>
  <c r="G1849" i="1"/>
  <c r="H1849" i="1"/>
  <c r="J1849" i="1"/>
  <c r="A1850" i="1"/>
  <c r="G1850" i="1"/>
  <c r="H1850" i="1"/>
  <c r="J1850" i="1"/>
  <c r="A1851" i="1"/>
  <c r="G1851" i="1"/>
  <c r="H1851" i="1"/>
  <c r="J1851" i="1"/>
  <c r="A1852" i="1"/>
  <c r="G1852" i="1"/>
  <c r="H1852" i="1"/>
  <c r="J1852" i="1"/>
  <c r="A1853" i="1"/>
  <c r="G1853" i="1"/>
  <c r="H1853" i="1"/>
  <c r="J1853" i="1"/>
  <c r="A1854" i="1"/>
  <c r="G1854" i="1"/>
  <c r="H1854" i="1"/>
  <c r="J1854" i="1"/>
  <c r="A1855" i="1"/>
  <c r="G1855" i="1"/>
  <c r="H1855" i="1"/>
  <c r="J1855" i="1"/>
  <c r="A1856" i="1"/>
  <c r="G1856" i="1"/>
  <c r="H1856" i="1"/>
  <c r="J1856" i="1"/>
  <c r="A1857" i="1"/>
  <c r="G1857" i="1"/>
  <c r="H1857" i="1"/>
  <c r="J1857" i="1"/>
  <c r="A1858" i="1"/>
  <c r="G1858" i="1"/>
  <c r="H1858" i="1"/>
  <c r="J1858" i="1"/>
  <c r="A1859" i="1"/>
  <c r="G1859" i="1"/>
  <c r="H1859" i="1"/>
  <c r="J1859" i="1"/>
  <c r="A1860" i="1"/>
  <c r="G1860" i="1"/>
  <c r="H1860" i="1"/>
  <c r="J1860" i="1"/>
  <c r="A1861" i="1"/>
  <c r="G1861" i="1"/>
  <c r="H1861" i="1"/>
  <c r="J1861" i="1"/>
  <c r="A1862" i="1"/>
  <c r="G1862" i="1"/>
  <c r="H1862" i="1"/>
  <c r="J1862" i="1"/>
  <c r="A1863" i="1"/>
  <c r="G1863" i="1"/>
  <c r="H1863" i="1"/>
  <c r="J1863" i="1"/>
  <c r="A1864" i="1"/>
  <c r="G1864" i="1"/>
  <c r="H1864" i="1"/>
  <c r="J1864" i="1"/>
  <c r="A1865" i="1"/>
  <c r="G1865" i="1"/>
  <c r="H1865" i="1"/>
  <c r="J1865" i="1"/>
  <c r="A1866" i="1"/>
  <c r="G1866" i="1"/>
  <c r="H1866" i="1"/>
  <c r="J1866" i="1"/>
  <c r="A1867" i="1"/>
  <c r="G1867" i="1"/>
  <c r="H1867" i="1"/>
  <c r="J1867" i="1"/>
  <c r="A1868" i="1"/>
  <c r="G1868" i="1"/>
  <c r="H1868" i="1"/>
  <c r="J1868" i="1"/>
  <c r="A1869" i="1"/>
  <c r="G1869" i="1"/>
  <c r="H1869" i="1"/>
  <c r="J1869" i="1"/>
  <c r="A1870" i="1"/>
  <c r="G1870" i="1"/>
  <c r="H1870" i="1"/>
  <c r="J1870" i="1"/>
  <c r="A1871" i="1"/>
  <c r="G1871" i="1"/>
  <c r="H1871" i="1"/>
  <c r="J1871" i="1"/>
  <c r="A1872" i="1"/>
  <c r="G1872" i="1"/>
  <c r="H1872" i="1"/>
  <c r="J1872" i="1"/>
  <c r="A1873" i="1"/>
  <c r="G1873" i="1"/>
  <c r="H1873" i="1"/>
  <c r="J1873" i="1"/>
  <c r="A1874" i="1"/>
  <c r="G1874" i="1"/>
  <c r="H1874" i="1"/>
  <c r="J1874" i="1"/>
  <c r="A1875" i="1"/>
  <c r="G1875" i="1"/>
  <c r="H1875" i="1"/>
  <c r="J1875" i="1"/>
  <c r="A1876" i="1"/>
  <c r="G1876" i="1"/>
  <c r="H1876" i="1"/>
  <c r="J1876" i="1"/>
  <c r="A1877" i="1"/>
  <c r="G1877" i="1"/>
  <c r="H1877" i="1"/>
  <c r="J1877" i="1"/>
  <c r="A1878" i="1"/>
  <c r="G1878" i="1"/>
  <c r="H1878" i="1"/>
  <c r="J1878" i="1"/>
  <c r="A1879" i="1"/>
  <c r="G1879" i="1"/>
  <c r="H1879" i="1"/>
  <c r="J1879" i="1"/>
  <c r="A1880" i="1"/>
  <c r="G1880" i="1"/>
  <c r="H1880" i="1"/>
  <c r="J1880" i="1"/>
  <c r="A1881" i="1"/>
  <c r="G1881" i="1"/>
  <c r="H1881" i="1"/>
  <c r="J1881" i="1"/>
  <c r="A1882" i="1"/>
  <c r="G1882" i="1"/>
  <c r="H1882" i="1"/>
  <c r="J1882" i="1"/>
  <c r="A1883" i="1"/>
  <c r="G1883" i="1"/>
  <c r="H1883" i="1"/>
  <c r="J1883" i="1"/>
  <c r="A1884" i="1"/>
  <c r="G1884" i="1"/>
  <c r="H1884" i="1"/>
  <c r="J1884" i="1"/>
  <c r="A1885" i="1"/>
  <c r="G1885" i="1"/>
  <c r="H1885" i="1"/>
  <c r="J1885" i="1"/>
  <c r="A1886" i="1"/>
  <c r="G1886" i="1"/>
  <c r="H1886" i="1"/>
  <c r="J1886" i="1"/>
  <c r="A1887" i="1"/>
  <c r="G1887" i="1"/>
  <c r="H1887" i="1"/>
  <c r="J1887" i="1"/>
  <c r="A1888" i="1"/>
  <c r="G1888" i="1"/>
  <c r="H1888" i="1"/>
  <c r="J1888" i="1"/>
  <c r="A1889" i="1"/>
  <c r="G1889" i="1"/>
  <c r="H1889" i="1"/>
  <c r="J1889" i="1"/>
  <c r="A1890" i="1"/>
  <c r="G1890" i="1"/>
  <c r="H1890" i="1"/>
  <c r="J1890" i="1"/>
  <c r="A1891" i="1"/>
  <c r="G1891" i="1"/>
  <c r="H1891" i="1"/>
  <c r="J1891" i="1"/>
  <c r="A1892" i="1"/>
  <c r="G1892" i="1"/>
  <c r="H1892" i="1"/>
  <c r="J1892" i="1"/>
  <c r="A1893" i="1"/>
  <c r="G1893" i="1"/>
  <c r="H1893" i="1"/>
  <c r="J1893" i="1"/>
  <c r="A1894" i="1"/>
  <c r="G1894" i="1"/>
  <c r="H1894" i="1"/>
  <c r="J1894" i="1"/>
  <c r="A1895" i="1"/>
  <c r="G1895" i="1"/>
  <c r="H1895" i="1"/>
  <c r="J1895" i="1"/>
  <c r="A1896" i="1"/>
  <c r="G1896" i="1"/>
  <c r="H1896" i="1"/>
  <c r="J1896" i="1"/>
  <c r="A1897" i="1"/>
  <c r="G1897" i="1"/>
  <c r="H1897" i="1"/>
  <c r="J1897" i="1"/>
  <c r="A1898" i="1"/>
  <c r="G1898" i="1"/>
  <c r="H1898" i="1"/>
  <c r="J1898" i="1"/>
  <c r="A1899" i="1"/>
  <c r="G1899" i="1"/>
  <c r="H1899" i="1"/>
  <c r="J1899" i="1"/>
  <c r="A1900" i="1"/>
  <c r="G1900" i="1"/>
  <c r="H1900" i="1"/>
  <c r="J1900" i="1"/>
  <c r="A1901" i="1"/>
  <c r="G1901" i="1"/>
  <c r="H1901" i="1"/>
  <c r="J1901" i="1"/>
  <c r="A1902" i="1"/>
  <c r="G1902" i="1"/>
  <c r="H1902" i="1"/>
  <c r="J1902" i="1"/>
  <c r="A1903" i="1"/>
  <c r="G1903" i="1"/>
  <c r="H1903" i="1"/>
  <c r="J1903" i="1"/>
  <c r="A1904" i="1"/>
  <c r="G1904" i="1"/>
  <c r="H1904" i="1"/>
  <c r="J1904" i="1"/>
  <c r="A1905" i="1"/>
  <c r="G1905" i="1"/>
  <c r="H1905" i="1"/>
  <c r="J1905" i="1"/>
  <c r="A1906" i="1"/>
  <c r="G1906" i="1"/>
  <c r="H1906" i="1"/>
  <c r="J1906" i="1"/>
  <c r="A1907" i="1"/>
  <c r="G1907" i="1"/>
  <c r="H1907" i="1"/>
  <c r="J1907" i="1"/>
  <c r="A1908" i="1"/>
  <c r="G1908" i="1"/>
  <c r="H1908" i="1"/>
  <c r="J1908" i="1"/>
  <c r="A1909" i="1"/>
  <c r="G1909" i="1"/>
  <c r="H1909" i="1"/>
  <c r="J1909" i="1"/>
  <c r="A1910" i="1"/>
  <c r="G1910" i="1"/>
  <c r="H1910" i="1"/>
  <c r="J1910" i="1"/>
  <c r="A1911" i="1"/>
  <c r="G1911" i="1"/>
  <c r="H1911" i="1"/>
  <c r="J1911" i="1"/>
  <c r="A1912" i="1"/>
  <c r="G1912" i="1"/>
  <c r="H1912" i="1"/>
  <c r="J1912" i="1"/>
  <c r="A1913" i="1"/>
  <c r="G1913" i="1"/>
  <c r="H1913" i="1"/>
  <c r="J1913" i="1"/>
  <c r="A1914" i="1"/>
  <c r="G1914" i="1"/>
  <c r="H1914" i="1"/>
  <c r="J1914" i="1"/>
  <c r="A1915" i="1"/>
  <c r="G1915" i="1"/>
  <c r="H1915" i="1"/>
  <c r="J1915" i="1"/>
  <c r="A1916" i="1"/>
  <c r="G1916" i="1"/>
  <c r="H1916" i="1"/>
  <c r="J1916" i="1"/>
  <c r="A1917" i="1"/>
  <c r="G1917" i="1"/>
  <c r="H1917" i="1"/>
  <c r="J1917" i="1"/>
  <c r="A1918" i="1"/>
  <c r="G1918" i="1"/>
  <c r="H1918" i="1"/>
  <c r="J1918" i="1"/>
  <c r="A1919" i="1"/>
  <c r="G1919" i="1"/>
  <c r="H1919" i="1"/>
  <c r="J1919" i="1"/>
  <c r="A1920" i="1"/>
  <c r="G1920" i="1"/>
  <c r="H1920" i="1"/>
  <c r="J1920" i="1"/>
  <c r="A1921" i="1"/>
  <c r="G1921" i="1"/>
  <c r="H1921" i="1"/>
  <c r="J1921" i="1"/>
  <c r="A1922" i="1"/>
  <c r="G1922" i="1"/>
  <c r="H1922" i="1"/>
  <c r="J1922" i="1"/>
  <c r="A1923" i="1"/>
  <c r="G1923" i="1"/>
  <c r="H1923" i="1"/>
  <c r="J1923" i="1"/>
  <c r="A1924" i="1"/>
  <c r="G1924" i="1"/>
  <c r="H1924" i="1"/>
  <c r="J1924" i="1"/>
  <c r="A1925" i="1"/>
  <c r="G1925" i="1"/>
  <c r="H1925" i="1"/>
  <c r="J1925" i="1"/>
  <c r="A1926" i="1"/>
  <c r="G1926" i="1"/>
  <c r="H1926" i="1"/>
  <c r="J1926" i="1"/>
  <c r="A1927" i="1"/>
  <c r="G1927" i="1"/>
  <c r="H1927" i="1"/>
  <c r="J1927" i="1"/>
  <c r="A1928" i="1"/>
  <c r="G1928" i="1"/>
  <c r="H1928" i="1"/>
  <c r="J1928" i="1"/>
  <c r="A1929" i="1"/>
  <c r="G1929" i="1"/>
  <c r="H1929" i="1"/>
  <c r="J1929" i="1"/>
  <c r="A1930" i="1"/>
  <c r="G1930" i="1"/>
  <c r="H1930" i="1"/>
  <c r="J1930" i="1"/>
  <c r="A1931" i="1"/>
  <c r="G1931" i="1"/>
  <c r="H1931" i="1"/>
  <c r="J1931" i="1"/>
  <c r="A1932" i="1"/>
  <c r="G1932" i="1"/>
  <c r="H1932" i="1"/>
  <c r="J1932" i="1"/>
  <c r="A1933" i="1"/>
  <c r="G1933" i="1"/>
  <c r="H1933" i="1"/>
  <c r="J1933" i="1"/>
  <c r="A1934" i="1"/>
  <c r="G1934" i="1"/>
  <c r="H1934" i="1"/>
  <c r="J1934" i="1"/>
  <c r="A1935" i="1"/>
  <c r="G1935" i="1"/>
  <c r="H1935" i="1"/>
  <c r="J1935" i="1"/>
  <c r="A1936" i="1"/>
  <c r="G1936" i="1"/>
  <c r="H1936" i="1"/>
  <c r="J1936" i="1"/>
  <c r="A1937" i="1"/>
  <c r="G1937" i="1"/>
  <c r="H1937" i="1"/>
  <c r="J1937" i="1"/>
  <c r="A1938" i="1"/>
  <c r="G1938" i="1"/>
  <c r="H1938" i="1"/>
  <c r="J1938" i="1"/>
  <c r="A1939" i="1"/>
  <c r="G1939" i="1"/>
  <c r="H1939" i="1"/>
  <c r="J1939" i="1"/>
  <c r="A1940" i="1"/>
  <c r="G1940" i="1"/>
  <c r="H1940" i="1"/>
  <c r="J1940" i="1"/>
  <c r="A1941" i="1"/>
  <c r="G1941" i="1"/>
  <c r="H1941" i="1"/>
  <c r="J1941" i="1"/>
  <c r="A1942" i="1"/>
  <c r="G1942" i="1"/>
  <c r="H1942" i="1"/>
  <c r="J1942" i="1"/>
  <c r="A1943" i="1"/>
  <c r="G1943" i="1"/>
  <c r="H1943" i="1"/>
  <c r="J1943" i="1"/>
  <c r="A1944" i="1"/>
  <c r="G1944" i="1"/>
  <c r="H1944" i="1"/>
  <c r="J1944" i="1"/>
  <c r="A1945" i="1"/>
  <c r="G1945" i="1"/>
  <c r="H1945" i="1"/>
  <c r="J1945" i="1"/>
  <c r="A1946" i="1"/>
  <c r="G1946" i="1"/>
  <c r="H1946" i="1"/>
  <c r="J1946" i="1"/>
  <c r="A1947" i="1"/>
  <c r="G1947" i="1"/>
  <c r="H1947" i="1"/>
  <c r="J1947" i="1"/>
  <c r="A1948" i="1"/>
  <c r="G1948" i="1"/>
  <c r="H1948" i="1"/>
  <c r="J1948" i="1"/>
  <c r="A1949" i="1"/>
  <c r="G1949" i="1"/>
  <c r="H1949" i="1"/>
  <c r="J1949" i="1"/>
  <c r="A1950" i="1"/>
  <c r="G1950" i="1"/>
  <c r="H1950" i="1"/>
  <c r="J1950" i="1"/>
  <c r="A1951" i="1"/>
  <c r="G1951" i="1"/>
  <c r="H1951" i="1"/>
  <c r="J1951" i="1"/>
  <c r="A1952" i="1"/>
  <c r="G1952" i="1"/>
  <c r="H1952" i="1"/>
  <c r="J1952" i="1"/>
  <c r="A1953" i="1"/>
  <c r="G1953" i="1"/>
  <c r="H1953" i="1"/>
  <c r="J1953" i="1"/>
  <c r="A1954" i="1"/>
  <c r="G1954" i="1"/>
  <c r="H1954" i="1"/>
  <c r="J1954" i="1"/>
  <c r="A1955" i="1"/>
  <c r="G1955" i="1"/>
  <c r="H1955" i="1"/>
  <c r="J1955" i="1"/>
  <c r="A1956" i="1"/>
  <c r="G1956" i="1"/>
  <c r="H1956" i="1"/>
  <c r="J1956" i="1"/>
  <c r="A1957" i="1"/>
  <c r="G1957" i="1"/>
  <c r="H1957" i="1"/>
  <c r="J1957" i="1"/>
  <c r="A1958" i="1"/>
  <c r="G1958" i="1"/>
  <c r="H1958" i="1"/>
  <c r="J1958" i="1"/>
  <c r="A1959" i="1"/>
  <c r="G1959" i="1"/>
  <c r="H1959" i="1"/>
  <c r="J1959" i="1"/>
  <c r="A1960" i="1"/>
  <c r="G1960" i="1"/>
  <c r="H1960" i="1"/>
  <c r="J1960" i="1"/>
  <c r="A1961" i="1"/>
  <c r="G1961" i="1"/>
  <c r="H1961" i="1"/>
  <c r="J1961" i="1"/>
  <c r="A1962" i="1"/>
  <c r="G1962" i="1"/>
  <c r="H1962" i="1"/>
  <c r="J1962" i="1"/>
  <c r="A1963" i="1"/>
  <c r="G1963" i="1"/>
  <c r="H1963" i="1"/>
  <c r="J1963" i="1"/>
  <c r="A1964" i="1"/>
  <c r="G1964" i="1"/>
  <c r="H1964" i="1"/>
  <c r="J1964" i="1"/>
  <c r="A1965" i="1"/>
  <c r="G1965" i="1"/>
  <c r="H1965" i="1"/>
  <c r="J1965" i="1"/>
  <c r="A1966" i="1"/>
  <c r="G1966" i="1"/>
  <c r="H1966" i="1"/>
  <c r="J1966" i="1"/>
  <c r="A1967" i="1"/>
  <c r="G1967" i="1"/>
  <c r="H1967" i="1"/>
  <c r="J1967" i="1"/>
  <c r="A1968" i="1"/>
  <c r="G1968" i="1"/>
  <c r="H1968" i="1"/>
  <c r="J1968" i="1"/>
  <c r="A1969" i="1"/>
  <c r="G1969" i="1"/>
  <c r="H1969" i="1"/>
  <c r="J1969" i="1"/>
  <c r="A1970" i="1"/>
  <c r="G1970" i="1"/>
  <c r="H1970" i="1"/>
  <c r="J1970" i="1"/>
  <c r="A1971" i="1"/>
  <c r="G1971" i="1"/>
  <c r="H1971" i="1"/>
  <c r="J1971" i="1"/>
  <c r="A1972" i="1"/>
  <c r="G1972" i="1"/>
  <c r="H1972" i="1"/>
  <c r="J1972" i="1"/>
  <c r="A1973" i="1"/>
  <c r="G1973" i="1"/>
  <c r="H1973" i="1"/>
  <c r="J1973" i="1"/>
  <c r="A1974" i="1"/>
  <c r="G1974" i="1"/>
  <c r="H1974" i="1"/>
  <c r="J1974" i="1"/>
  <c r="A1975" i="1"/>
  <c r="G1975" i="1"/>
  <c r="H1975" i="1"/>
  <c r="J1975" i="1"/>
  <c r="A1976" i="1"/>
  <c r="G1976" i="1"/>
  <c r="H1976" i="1"/>
  <c r="J1976" i="1"/>
  <c r="A1977" i="1"/>
  <c r="G1977" i="1"/>
  <c r="H1977" i="1"/>
  <c r="J1977" i="1"/>
  <c r="A1978" i="1"/>
  <c r="G1978" i="1"/>
  <c r="H1978" i="1"/>
  <c r="J1978" i="1"/>
  <c r="A1979" i="1"/>
  <c r="G1979" i="1"/>
  <c r="H1979" i="1"/>
  <c r="J1979" i="1"/>
  <c r="A1980" i="1"/>
  <c r="G1980" i="1"/>
  <c r="H1980" i="1"/>
  <c r="J1980" i="1"/>
  <c r="A1981" i="1"/>
  <c r="G1981" i="1"/>
  <c r="H1981" i="1"/>
  <c r="J1981" i="1"/>
  <c r="A1982" i="1"/>
  <c r="G1982" i="1"/>
  <c r="H1982" i="1"/>
  <c r="J1982" i="1"/>
  <c r="A1983" i="1"/>
  <c r="G1983" i="1"/>
  <c r="H1983" i="1"/>
  <c r="J1983" i="1"/>
  <c r="A1984" i="1"/>
  <c r="G1984" i="1"/>
  <c r="H1984" i="1"/>
  <c r="J1984" i="1"/>
  <c r="A1985" i="1"/>
  <c r="G1985" i="1"/>
  <c r="H1985" i="1"/>
  <c r="J1985" i="1"/>
  <c r="A1986" i="1"/>
  <c r="G1986" i="1"/>
  <c r="H1986" i="1"/>
  <c r="J1986" i="1"/>
  <c r="A1987" i="1"/>
  <c r="G1987" i="1"/>
  <c r="H1987" i="1"/>
  <c r="J1987" i="1"/>
  <c r="A1988" i="1"/>
  <c r="G1988" i="1"/>
  <c r="H1988" i="1"/>
  <c r="J1988" i="1"/>
  <c r="A1989" i="1"/>
  <c r="G1989" i="1"/>
  <c r="H1989" i="1"/>
  <c r="J1989" i="1"/>
  <c r="A1990" i="1"/>
  <c r="G1990" i="1"/>
  <c r="H1990" i="1"/>
  <c r="J1990" i="1"/>
  <c r="A1991" i="1"/>
  <c r="G1991" i="1"/>
  <c r="H1991" i="1"/>
  <c r="J1991" i="1"/>
  <c r="A1992" i="1"/>
  <c r="G1992" i="1"/>
  <c r="H1992" i="1"/>
  <c r="J1992" i="1"/>
  <c r="A1993" i="1"/>
  <c r="G1993" i="1"/>
  <c r="H1993" i="1"/>
  <c r="J1993" i="1"/>
  <c r="A1994" i="1"/>
  <c r="G1994" i="1"/>
  <c r="H1994" i="1"/>
  <c r="J1994" i="1"/>
  <c r="A1995" i="1"/>
  <c r="G1995" i="1"/>
  <c r="H1995" i="1"/>
  <c r="J1995" i="1"/>
  <c r="A1996" i="1"/>
  <c r="G1996" i="1"/>
  <c r="H1996" i="1"/>
  <c r="J1996" i="1"/>
  <c r="A1997" i="1"/>
  <c r="G1997" i="1"/>
  <c r="H1997" i="1"/>
  <c r="J1997" i="1"/>
  <c r="A1998" i="1"/>
  <c r="G1998" i="1"/>
  <c r="H1998" i="1"/>
  <c r="J1998" i="1"/>
  <c r="A1999" i="1"/>
  <c r="G1999" i="1"/>
  <c r="H1999" i="1"/>
  <c r="J1999" i="1"/>
  <c r="A2000" i="1"/>
  <c r="G2000" i="1"/>
  <c r="H2000" i="1"/>
  <c r="J2000" i="1"/>
  <c r="A2001" i="1"/>
  <c r="G2001" i="1"/>
  <c r="H2001" i="1"/>
  <c r="J2001" i="1"/>
  <c r="A2002" i="1"/>
  <c r="G2002" i="1"/>
  <c r="H2002" i="1"/>
  <c r="J2002" i="1"/>
  <c r="A2003" i="1"/>
  <c r="G2003" i="1"/>
  <c r="H2003" i="1"/>
  <c r="J2003" i="1"/>
  <c r="A2004" i="1"/>
  <c r="G2004" i="1"/>
  <c r="H2004" i="1"/>
  <c r="J2004" i="1"/>
  <c r="A2005" i="1"/>
  <c r="G2005" i="1"/>
  <c r="H2005" i="1"/>
  <c r="J2005" i="1"/>
  <c r="A2006" i="1"/>
  <c r="G2006" i="1"/>
  <c r="H2006" i="1"/>
  <c r="J2006" i="1"/>
  <c r="A2007" i="1"/>
  <c r="G2007" i="1"/>
  <c r="H2007" i="1"/>
  <c r="J2007" i="1"/>
  <c r="A2008" i="1"/>
  <c r="G2008" i="1"/>
  <c r="H2008" i="1"/>
  <c r="J2008" i="1"/>
  <c r="A2009" i="1"/>
  <c r="G2009" i="1"/>
  <c r="H2009" i="1"/>
  <c r="J2009" i="1"/>
  <c r="A2010" i="1"/>
  <c r="G2010" i="1"/>
  <c r="H2010" i="1"/>
  <c r="J2010" i="1"/>
  <c r="A2011" i="1"/>
  <c r="G2011" i="1"/>
  <c r="H2011" i="1"/>
  <c r="J2011" i="1"/>
  <c r="A2012" i="1"/>
  <c r="G2012" i="1"/>
  <c r="H2012" i="1"/>
  <c r="J2012" i="1"/>
  <c r="A2013" i="1"/>
  <c r="G2013" i="1"/>
  <c r="H2013" i="1"/>
  <c r="J2013" i="1"/>
  <c r="A2014" i="1"/>
  <c r="G2014" i="1"/>
  <c r="H2014" i="1"/>
  <c r="J2014" i="1"/>
  <c r="A2015" i="1"/>
  <c r="G2015" i="1"/>
  <c r="H2015" i="1"/>
  <c r="J2015" i="1"/>
  <c r="A2016" i="1"/>
  <c r="G2016" i="1"/>
  <c r="H2016" i="1"/>
  <c r="J2016" i="1"/>
  <c r="A2017" i="1"/>
  <c r="G2017" i="1"/>
  <c r="H2017" i="1"/>
  <c r="J2017" i="1"/>
  <c r="A2018" i="1"/>
  <c r="G2018" i="1"/>
  <c r="H2018" i="1"/>
  <c r="J2018" i="1"/>
  <c r="A2019" i="1"/>
  <c r="G2019" i="1"/>
  <c r="H2019" i="1"/>
  <c r="J2019" i="1"/>
  <c r="A2020" i="1"/>
  <c r="G2020" i="1"/>
  <c r="H2020" i="1"/>
  <c r="J2020" i="1"/>
  <c r="A2021" i="1"/>
  <c r="G2021" i="1"/>
  <c r="H2021" i="1"/>
  <c r="J2021" i="1"/>
  <c r="A2022" i="1"/>
  <c r="G2022" i="1"/>
  <c r="H2022" i="1"/>
  <c r="J2022" i="1"/>
  <c r="A2023" i="1"/>
  <c r="G2023" i="1"/>
  <c r="H2023" i="1"/>
  <c r="J2023" i="1"/>
  <c r="A2024" i="1"/>
  <c r="G2024" i="1"/>
  <c r="H2024" i="1"/>
  <c r="J2024" i="1"/>
  <c r="A2025" i="1"/>
  <c r="G2025" i="1"/>
  <c r="H2025" i="1"/>
  <c r="J2025" i="1"/>
  <c r="A2026" i="1"/>
  <c r="G2026" i="1"/>
  <c r="H2026" i="1"/>
  <c r="J2026" i="1"/>
  <c r="A2027" i="1"/>
  <c r="G2027" i="1"/>
  <c r="H2027" i="1"/>
  <c r="J2027" i="1"/>
  <c r="A2028" i="1"/>
  <c r="G2028" i="1"/>
  <c r="H2028" i="1"/>
  <c r="J2028" i="1"/>
  <c r="A2029" i="1"/>
  <c r="G2029" i="1"/>
  <c r="H2029" i="1"/>
  <c r="J2029" i="1"/>
  <c r="A2030" i="1"/>
  <c r="G2030" i="1"/>
  <c r="H2030" i="1"/>
  <c r="J2030" i="1"/>
  <c r="A2031" i="1"/>
  <c r="G2031" i="1"/>
  <c r="H2031" i="1"/>
  <c r="J2031" i="1"/>
  <c r="A2032" i="1"/>
  <c r="G2032" i="1"/>
  <c r="H2032" i="1"/>
  <c r="J2032" i="1"/>
  <c r="A2033" i="1"/>
  <c r="G2033" i="1"/>
  <c r="H2033" i="1"/>
  <c r="J2033" i="1"/>
  <c r="A2034" i="1"/>
  <c r="G2034" i="1"/>
  <c r="H2034" i="1"/>
  <c r="J2034" i="1"/>
  <c r="A2035" i="1"/>
  <c r="G2035" i="1"/>
  <c r="H2035" i="1"/>
  <c r="J2035" i="1"/>
  <c r="A2036" i="1"/>
  <c r="G2036" i="1"/>
  <c r="H2036" i="1"/>
  <c r="J2036" i="1"/>
  <c r="A2037" i="1"/>
  <c r="G2037" i="1"/>
  <c r="H2037" i="1"/>
  <c r="J2037" i="1"/>
  <c r="A2038" i="1"/>
  <c r="G2038" i="1"/>
  <c r="H2038" i="1"/>
  <c r="J2038" i="1"/>
  <c r="A2039" i="1"/>
  <c r="G2039" i="1"/>
  <c r="H2039" i="1"/>
  <c r="J2039" i="1"/>
  <c r="A2040" i="1"/>
  <c r="G2040" i="1"/>
  <c r="H2040" i="1"/>
  <c r="J2040" i="1"/>
  <c r="A2041" i="1"/>
  <c r="G2041" i="1"/>
  <c r="H2041" i="1"/>
  <c r="J2041" i="1"/>
  <c r="A2042" i="1"/>
  <c r="G2042" i="1"/>
  <c r="H2042" i="1"/>
  <c r="J2042" i="1"/>
  <c r="A2043" i="1"/>
  <c r="G2043" i="1"/>
  <c r="H2043" i="1"/>
  <c r="J2043" i="1"/>
  <c r="A2044" i="1"/>
  <c r="G2044" i="1"/>
  <c r="H2044" i="1"/>
  <c r="J2044" i="1"/>
  <c r="A2045" i="1"/>
  <c r="G2045" i="1"/>
  <c r="H2045" i="1"/>
  <c r="J2045" i="1"/>
  <c r="A2046" i="1"/>
  <c r="G2046" i="1"/>
  <c r="H2046" i="1"/>
  <c r="J2046" i="1"/>
  <c r="A2047" i="1"/>
  <c r="G2047" i="1"/>
  <c r="H2047" i="1"/>
  <c r="J2047" i="1"/>
  <c r="A2048" i="1"/>
  <c r="G2048" i="1"/>
  <c r="H2048" i="1"/>
  <c r="J2048" i="1"/>
  <c r="A2049" i="1"/>
  <c r="G2049" i="1"/>
  <c r="H2049" i="1"/>
  <c r="J2049" i="1"/>
  <c r="A2050" i="1"/>
  <c r="G2050" i="1"/>
  <c r="H2050" i="1"/>
  <c r="J2050" i="1"/>
  <c r="A2051" i="1"/>
  <c r="G2051" i="1"/>
  <c r="H2051" i="1"/>
  <c r="J2051" i="1"/>
  <c r="A2052" i="1"/>
  <c r="G2052" i="1"/>
  <c r="H2052" i="1"/>
  <c r="J2052" i="1"/>
  <c r="A2053" i="1"/>
  <c r="G2053" i="1"/>
  <c r="H2053" i="1"/>
  <c r="J2053" i="1"/>
  <c r="A2054" i="1"/>
  <c r="G2054" i="1"/>
  <c r="H2054" i="1"/>
  <c r="J2054" i="1"/>
  <c r="A2055" i="1"/>
  <c r="G2055" i="1"/>
  <c r="H2055" i="1"/>
  <c r="J2055" i="1"/>
  <c r="A2056" i="1"/>
  <c r="G2056" i="1"/>
  <c r="H2056" i="1"/>
  <c r="J2056" i="1"/>
  <c r="A2057" i="1"/>
  <c r="G2057" i="1"/>
  <c r="H2057" i="1"/>
  <c r="J2057" i="1"/>
  <c r="A2058" i="1"/>
  <c r="G2058" i="1"/>
  <c r="H2058" i="1"/>
  <c r="J2058" i="1"/>
  <c r="A2059" i="1"/>
  <c r="G2059" i="1"/>
  <c r="H2059" i="1"/>
  <c r="J2059" i="1"/>
  <c r="A2060" i="1"/>
  <c r="G2060" i="1"/>
  <c r="H2060" i="1"/>
  <c r="J2060" i="1"/>
  <c r="A2061" i="1"/>
  <c r="G2061" i="1"/>
  <c r="H2061" i="1"/>
  <c r="J2061" i="1"/>
  <c r="A2062" i="1"/>
  <c r="G2062" i="1"/>
  <c r="H2062" i="1"/>
  <c r="J2062" i="1"/>
  <c r="A2063" i="1"/>
  <c r="G2063" i="1"/>
  <c r="H2063" i="1"/>
  <c r="J2063" i="1"/>
  <c r="A2064" i="1"/>
  <c r="G2064" i="1"/>
  <c r="H2064" i="1"/>
  <c r="J2064" i="1"/>
  <c r="A2065" i="1"/>
  <c r="G2065" i="1"/>
  <c r="H2065" i="1"/>
  <c r="J2065" i="1"/>
  <c r="A2066" i="1"/>
  <c r="G2066" i="1"/>
  <c r="H2066" i="1"/>
  <c r="J2066" i="1"/>
  <c r="A2067" i="1"/>
  <c r="G2067" i="1"/>
  <c r="H2067" i="1"/>
  <c r="J2067" i="1"/>
  <c r="A2068" i="1"/>
  <c r="G2068" i="1"/>
  <c r="H2068" i="1"/>
  <c r="J2068" i="1"/>
  <c r="A2069" i="1"/>
  <c r="G2069" i="1"/>
  <c r="H2069" i="1"/>
  <c r="J2069" i="1"/>
  <c r="A2070" i="1"/>
  <c r="G2070" i="1"/>
  <c r="H2070" i="1"/>
  <c r="J2070" i="1"/>
  <c r="A2071" i="1"/>
  <c r="G2071" i="1"/>
  <c r="H2071" i="1"/>
  <c r="J2071" i="1"/>
  <c r="A2072" i="1"/>
  <c r="G2072" i="1"/>
  <c r="H2072" i="1"/>
  <c r="J2072" i="1"/>
  <c r="A2073" i="1"/>
  <c r="G2073" i="1"/>
  <c r="H2073" i="1"/>
  <c r="J2073" i="1"/>
  <c r="A2074" i="1"/>
  <c r="G2074" i="1"/>
  <c r="H2074" i="1"/>
  <c r="J2074" i="1"/>
  <c r="A2075" i="1"/>
  <c r="G2075" i="1"/>
  <c r="H2075" i="1"/>
  <c r="J2075" i="1"/>
  <c r="A2076" i="1"/>
  <c r="G2076" i="1"/>
  <c r="H2076" i="1"/>
  <c r="J2076" i="1"/>
  <c r="A2077" i="1"/>
  <c r="G2077" i="1"/>
  <c r="H2077" i="1"/>
  <c r="J2077" i="1"/>
  <c r="A2078" i="1"/>
  <c r="G2078" i="1"/>
  <c r="H2078" i="1"/>
  <c r="J2078" i="1"/>
  <c r="A2079" i="1"/>
  <c r="G2079" i="1"/>
  <c r="H2079" i="1"/>
  <c r="J2079" i="1"/>
  <c r="A2080" i="1"/>
  <c r="G2080" i="1"/>
  <c r="H2080" i="1"/>
  <c r="J2080" i="1"/>
  <c r="A2081" i="1"/>
  <c r="G2081" i="1"/>
  <c r="H2081" i="1"/>
  <c r="J2081" i="1"/>
  <c r="A2082" i="1"/>
  <c r="G2082" i="1"/>
  <c r="H2082" i="1"/>
  <c r="J2082" i="1"/>
  <c r="A2083" i="1"/>
  <c r="G2083" i="1"/>
  <c r="H2083" i="1"/>
  <c r="J2083" i="1"/>
  <c r="A2084" i="1"/>
  <c r="G2084" i="1"/>
  <c r="H2084" i="1"/>
  <c r="J2084" i="1"/>
  <c r="A2085" i="1"/>
  <c r="G2085" i="1"/>
  <c r="H2085" i="1"/>
  <c r="J2085" i="1"/>
  <c r="A2086" i="1"/>
  <c r="G2086" i="1"/>
  <c r="H2086" i="1"/>
  <c r="J2086" i="1"/>
  <c r="A2087" i="1"/>
  <c r="G2087" i="1"/>
  <c r="H2087" i="1"/>
  <c r="J2087" i="1"/>
  <c r="A2088" i="1"/>
  <c r="G2088" i="1"/>
  <c r="H2088" i="1"/>
  <c r="J2088" i="1"/>
  <c r="A2089" i="1"/>
  <c r="G2089" i="1"/>
  <c r="H2089" i="1"/>
  <c r="J2089" i="1"/>
  <c r="A2090" i="1"/>
  <c r="G2090" i="1"/>
  <c r="H2090" i="1"/>
  <c r="J2090" i="1"/>
  <c r="A2091" i="1"/>
  <c r="G2091" i="1"/>
  <c r="H2091" i="1"/>
  <c r="J2091" i="1"/>
  <c r="A2092" i="1"/>
  <c r="G2092" i="1"/>
  <c r="H2092" i="1"/>
  <c r="J2092" i="1"/>
  <c r="A2093" i="1"/>
  <c r="G2093" i="1"/>
  <c r="H2093" i="1"/>
  <c r="J2093" i="1"/>
  <c r="A2094" i="1"/>
  <c r="G2094" i="1"/>
  <c r="H2094" i="1"/>
  <c r="J2094" i="1"/>
  <c r="A2095" i="1"/>
  <c r="G2095" i="1"/>
  <c r="H2095" i="1"/>
  <c r="J2095" i="1"/>
  <c r="A2096" i="1"/>
  <c r="G2096" i="1"/>
  <c r="H2096" i="1"/>
  <c r="J2096" i="1"/>
  <c r="A2097" i="1"/>
  <c r="G2097" i="1"/>
  <c r="H2097" i="1"/>
  <c r="J2097" i="1"/>
  <c r="A2098" i="1"/>
  <c r="G2098" i="1"/>
  <c r="H2098" i="1"/>
  <c r="J2098" i="1"/>
  <c r="A2099" i="1"/>
  <c r="G2099" i="1"/>
  <c r="H2099" i="1"/>
  <c r="J2099" i="1"/>
  <c r="A2100" i="1"/>
  <c r="G2100" i="1"/>
  <c r="H2100" i="1"/>
  <c r="J2100" i="1"/>
  <c r="A2101" i="1"/>
  <c r="G2101" i="1"/>
  <c r="H2101" i="1"/>
  <c r="J2101" i="1"/>
  <c r="A2102" i="1"/>
  <c r="G2102" i="1"/>
  <c r="H2102" i="1"/>
  <c r="J2102" i="1"/>
  <c r="A2103" i="1"/>
  <c r="G2103" i="1"/>
  <c r="H2103" i="1"/>
  <c r="J2103" i="1"/>
  <c r="A2104" i="1"/>
  <c r="G2104" i="1"/>
  <c r="H2104" i="1"/>
  <c r="J2104" i="1"/>
  <c r="A2105" i="1"/>
  <c r="G2105" i="1"/>
  <c r="H2105" i="1"/>
  <c r="J2105" i="1"/>
  <c r="A2106" i="1"/>
  <c r="G2106" i="1"/>
  <c r="H2106" i="1"/>
  <c r="J2106" i="1"/>
  <c r="A2107" i="1"/>
  <c r="G2107" i="1"/>
  <c r="H2107" i="1"/>
  <c r="J2107" i="1"/>
  <c r="A2108" i="1"/>
  <c r="G2108" i="1"/>
  <c r="H2108" i="1"/>
  <c r="J2108" i="1"/>
  <c r="A2109" i="1"/>
  <c r="G2109" i="1"/>
  <c r="H2109" i="1"/>
  <c r="J2109" i="1"/>
  <c r="A2110" i="1"/>
  <c r="G2110" i="1"/>
  <c r="H2110" i="1"/>
  <c r="J2110" i="1"/>
  <c r="A2111" i="1"/>
  <c r="G2111" i="1"/>
  <c r="H2111" i="1"/>
  <c r="J2111" i="1"/>
  <c r="A2112" i="1"/>
  <c r="G2112" i="1"/>
  <c r="H2112" i="1"/>
  <c r="J2112" i="1"/>
  <c r="A2113" i="1"/>
  <c r="G2113" i="1"/>
  <c r="H2113" i="1"/>
  <c r="J2113" i="1"/>
  <c r="A2114" i="1"/>
  <c r="G2114" i="1"/>
  <c r="H2114" i="1"/>
  <c r="J2114" i="1"/>
  <c r="A2115" i="1"/>
  <c r="G2115" i="1"/>
  <c r="H2115" i="1"/>
  <c r="J2115" i="1"/>
  <c r="A2116" i="1"/>
  <c r="G2116" i="1"/>
  <c r="H2116" i="1"/>
  <c r="J2116" i="1"/>
  <c r="A2117" i="1"/>
  <c r="G2117" i="1"/>
  <c r="H2117" i="1"/>
  <c r="J2117" i="1"/>
  <c r="A2118" i="1"/>
  <c r="G2118" i="1"/>
  <c r="H2118" i="1"/>
  <c r="J2118" i="1"/>
  <c r="A2119" i="1"/>
  <c r="G2119" i="1"/>
  <c r="H2119" i="1"/>
  <c r="J2119" i="1"/>
  <c r="A2120" i="1"/>
  <c r="G2120" i="1"/>
  <c r="H2120" i="1"/>
  <c r="J2120" i="1"/>
  <c r="A2121" i="1"/>
  <c r="G2121" i="1"/>
  <c r="H2121" i="1"/>
  <c r="J2121" i="1"/>
  <c r="A2122" i="1"/>
  <c r="G2122" i="1"/>
  <c r="H2122" i="1"/>
  <c r="J2122" i="1"/>
  <c r="A2123" i="1"/>
  <c r="G2123" i="1"/>
  <c r="H2123" i="1"/>
  <c r="J2123" i="1"/>
  <c r="A2124" i="1"/>
  <c r="G2124" i="1"/>
  <c r="H2124" i="1"/>
  <c r="J2124" i="1"/>
  <c r="A2125" i="1"/>
  <c r="G2125" i="1"/>
  <c r="H2125" i="1"/>
  <c r="J2125" i="1"/>
  <c r="A2126" i="1"/>
  <c r="G2126" i="1"/>
  <c r="H2126" i="1"/>
  <c r="J2126" i="1"/>
  <c r="A2127" i="1"/>
  <c r="G2127" i="1"/>
  <c r="H2127" i="1"/>
  <c r="J2127" i="1"/>
  <c r="A2128" i="1"/>
  <c r="G2128" i="1"/>
  <c r="H2128" i="1"/>
  <c r="J2128" i="1"/>
  <c r="A2129" i="1"/>
  <c r="G2129" i="1"/>
  <c r="H2129" i="1"/>
  <c r="J2129" i="1"/>
  <c r="A2130" i="1"/>
  <c r="G2130" i="1"/>
  <c r="H2130" i="1"/>
  <c r="J2130" i="1"/>
  <c r="A2131" i="1"/>
  <c r="G2131" i="1"/>
  <c r="H2131" i="1"/>
  <c r="J2131" i="1"/>
  <c r="A2132" i="1"/>
  <c r="G2132" i="1"/>
  <c r="H2132" i="1"/>
  <c r="J2132" i="1"/>
  <c r="A2133" i="1"/>
  <c r="G2133" i="1"/>
  <c r="H2133" i="1"/>
  <c r="J2133" i="1"/>
  <c r="A2134" i="1"/>
  <c r="G2134" i="1"/>
  <c r="H2134" i="1"/>
  <c r="J2134" i="1"/>
  <c r="A2135" i="1"/>
  <c r="G2135" i="1"/>
  <c r="H2135" i="1"/>
  <c r="J2135" i="1"/>
  <c r="A2136" i="1"/>
  <c r="G2136" i="1"/>
  <c r="H2136" i="1"/>
  <c r="J2136" i="1"/>
  <c r="A2137" i="1"/>
  <c r="G2137" i="1"/>
  <c r="H2137" i="1"/>
  <c r="J2137" i="1"/>
  <c r="A2138" i="1"/>
  <c r="G2138" i="1"/>
  <c r="H2138" i="1"/>
  <c r="J2138" i="1"/>
  <c r="A2139" i="1"/>
  <c r="G2139" i="1"/>
  <c r="H2139" i="1"/>
  <c r="J2139" i="1"/>
  <c r="A2140" i="1"/>
  <c r="G2140" i="1"/>
  <c r="H2140" i="1"/>
  <c r="J2140" i="1"/>
  <c r="A2141" i="1"/>
  <c r="G2141" i="1"/>
  <c r="H2141" i="1"/>
  <c r="J2141" i="1"/>
  <c r="A2142" i="1"/>
  <c r="G2142" i="1"/>
  <c r="H2142" i="1"/>
  <c r="J2142" i="1"/>
  <c r="A2143" i="1"/>
  <c r="G2143" i="1"/>
  <c r="H2143" i="1"/>
  <c r="J2143" i="1"/>
  <c r="A2144" i="1"/>
  <c r="G2144" i="1"/>
  <c r="H2144" i="1"/>
  <c r="J2144" i="1"/>
  <c r="A2145" i="1"/>
  <c r="G2145" i="1"/>
  <c r="H2145" i="1"/>
  <c r="J2145" i="1"/>
  <c r="A2146" i="1"/>
  <c r="G2146" i="1"/>
  <c r="H2146" i="1"/>
  <c r="J2146" i="1"/>
  <c r="A2147" i="1"/>
  <c r="G2147" i="1"/>
  <c r="H2147" i="1"/>
  <c r="J2147" i="1"/>
  <c r="A2148" i="1"/>
  <c r="G2148" i="1"/>
  <c r="H2148" i="1"/>
  <c r="J2148" i="1"/>
  <c r="A2149" i="1"/>
  <c r="G2149" i="1"/>
  <c r="H2149" i="1"/>
  <c r="J2149" i="1"/>
  <c r="A2150" i="1"/>
  <c r="G2150" i="1"/>
  <c r="H2150" i="1"/>
  <c r="J2150" i="1"/>
  <c r="A2151" i="1"/>
  <c r="G2151" i="1"/>
  <c r="H2151" i="1"/>
  <c r="J2151" i="1"/>
  <c r="A2152" i="1"/>
  <c r="G2152" i="1"/>
  <c r="H2152" i="1"/>
  <c r="J2152" i="1"/>
  <c r="A2153" i="1"/>
  <c r="G2153" i="1"/>
  <c r="H2153" i="1"/>
  <c r="J2153" i="1"/>
  <c r="A2154" i="1"/>
  <c r="G2154" i="1"/>
  <c r="H2154" i="1"/>
  <c r="J2154" i="1"/>
  <c r="A2155" i="1"/>
  <c r="G2155" i="1"/>
  <c r="H2155" i="1"/>
  <c r="J2155" i="1"/>
  <c r="A2156" i="1"/>
  <c r="G2156" i="1"/>
  <c r="H2156" i="1"/>
  <c r="J2156" i="1"/>
  <c r="A2157" i="1"/>
  <c r="G2157" i="1"/>
  <c r="H2157" i="1"/>
  <c r="J2157" i="1"/>
  <c r="A2158" i="1"/>
  <c r="G2158" i="1"/>
  <c r="H2158" i="1"/>
  <c r="J2158" i="1"/>
  <c r="A2159" i="1"/>
  <c r="G2159" i="1"/>
  <c r="H2159" i="1"/>
  <c r="J2159" i="1"/>
  <c r="A2160" i="1"/>
  <c r="G2160" i="1"/>
  <c r="H2160" i="1"/>
  <c r="J2160" i="1"/>
  <c r="A2161" i="1"/>
  <c r="G2161" i="1"/>
  <c r="H2161" i="1"/>
  <c r="J2161" i="1"/>
  <c r="A2162" i="1"/>
  <c r="G2162" i="1"/>
  <c r="H2162" i="1"/>
  <c r="J2162" i="1"/>
  <c r="A2163" i="1"/>
  <c r="G2163" i="1"/>
  <c r="H2163" i="1"/>
  <c r="J2163" i="1"/>
  <c r="A2164" i="1"/>
  <c r="G2164" i="1"/>
  <c r="H2164" i="1"/>
  <c r="J2164" i="1"/>
  <c r="A2165" i="1"/>
  <c r="G2165" i="1"/>
  <c r="H2165" i="1"/>
  <c r="J2165" i="1"/>
  <c r="A2166" i="1"/>
  <c r="G2166" i="1"/>
  <c r="H2166" i="1"/>
  <c r="J2166" i="1"/>
  <c r="A2167" i="1"/>
  <c r="G2167" i="1"/>
  <c r="H2167" i="1"/>
  <c r="J2167" i="1"/>
  <c r="A2168" i="1"/>
  <c r="G2168" i="1"/>
  <c r="H2168" i="1"/>
  <c r="J2168" i="1"/>
  <c r="A2169" i="1"/>
  <c r="G2169" i="1"/>
  <c r="H2169" i="1"/>
  <c r="J2169" i="1"/>
  <c r="A2170" i="1"/>
  <c r="G2170" i="1"/>
  <c r="H2170" i="1"/>
  <c r="J2170" i="1"/>
  <c r="A2171" i="1"/>
  <c r="G2171" i="1"/>
  <c r="H2171" i="1"/>
  <c r="J2171" i="1"/>
  <c r="A2172" i="1"/>
  <c r="G2172" i="1"/>
  <c r="H2172" i="1"/>
  <c r="J2172" i="1"/>
  <c r="A2173" i="1"/>
  <c r="G2173" i="1"/>
  <c r="H2173" i="1"/>
  <c r="J2173" i="1"/>
  <c r="A2174" i="1"/>
  <c r="G2174" i="1"/>
  <c r="H2174" i="1"/>
  <c r="J2174" i="1"/>
  <c r="A2175" i="1"/>
  <c r="G2175" i="1"/>
  <c r="H2175" i="1"/>
  <c r="J2175" i="1"/>
  <c r="A2176" i="1"/>
  <c r="G2176" i="1"/>
  <c r="H2176" i="1"/>
  <c r="J2176" i="1"/>
  <c r="A2177" i="1"/>
  <c r="G2177" i="1"/>
  <c r="H2177" i="1"/>
  <c r="J2177" i="1"/>
  <c r="A2178" i="1"/>
  <c r="G2178" i="1"/>
  <c r="H2178" i="1"/>
  <c r="J2178" i="1"/>
  <c r="A2179" i="1"/>
  <c r="G2179" i="1"/>
  <c r="H2179" i="1"/>
  <c r="J2179" i="1"/>
  <c r="A2180" i="1"/>
  <c r="G2180" i="1"/>
  <c r="H2180" i="1"/>
  <c r="J2180" i="1"/>
  <c r="A2181" i="1"/>
  <c r="G2181" i="1"/>
  <c r="H2181" i="1"/>
  <c r="J2181" i="1"/>
  <c r="A2182" i="1"/>
  <c r="G2182" i="1"/>
  <c r="H2182" i="1"/>
  <c r="J2182" i="1"/>
  <c r="A2183" i="1"/>
  <c r="G2183" i="1"/>
  <c r="H2183" i="1"/>
  <c r="J2183" i="1"/>
  <c r="A2184" i="1"/>
  <c r="G2184" i="1"/>
  <c r="H2184" i="1"/>
  <c r="J2184" i="1"/>
  <c r="A2185" i="1"/>
  <c r="G2185" i="1"/>
  <c r="H2185" i="1"/>
  <c r="J2185" i="1"/>
  <c r="A2186" i="1"/>
  <c r="G2186" i="1"/>
  <c r="H2186" i="1"/>
  <c r="J2186" i="1"/>
  <c r="A2187" i="1"/>
  <c r="G2187" i="1"/>
  <c r="H2187" i="1"/>
  <c r="J2187" i="1"/>
  <c r="A2188" i="1"/>
  <c r="G2188" i="1"/>
  <c r="H2188" i="1"/>
  <c r="J2188" i="1"/>
  <c r="A2189" i="1"/>
  <c r="G2189" i="1"/>
  <c r="H2189" i="1"/>
  <c r="J2189" i="1"/>
  <c r="A2190" i="1"/>
  <c r="G2190" i="1"/>
  <c r="H2190" i="1"/>
  <c r="J2190" i="1"/>
  <c r="A2191" i="1"/>
  <c r="G2191" i="1"/>
  <c r="H2191" i="1"/>
  <c r="J2191" i="1"/>
  <c r="A2192" i="1"/>
  <c r="G2192" i="1"/>
  <c r="H2192" i="1"/>
  <c r="J2192" i="1"/>
  <c r="A2193" i="1"/>
  <c r="G2193" i="1"/>
  <c r="H2193" i="1"/>
  <c r="J2193" i="1"/>
  <c r="A2194" i="1"/>
  <c r="G2194" i="1"/>
  <c r="H2194" i="1"/>
  <c r="J2194" i="1"/>
  <c r="A2195" i="1"/>
  <c r="G2195" i="1"/>
  <c r="H2195" i="1"/>
  <c r="J2195" i="1"/>
  <c r="A2196" i="1"/>
  <c r="G2196" i="1"/>
  <c r="H2196" i="1"/>
  <c r="J2196" i="1"/>
  <c r="A2197" i="1"/>
  <c r="G2197" i="1"/>
  <c r="H2197" i="1"/>
  <c r="J2197" i="1"/>
  <c r="A2198" i="1"/>
  <c r="G2198" i="1"/>
  <c r="H2198" i="1"/>
  <c r="J2198" i="1"/>
  <c r="A2199" i="1"/>
  <c r="G2199" i="1"/>
  <c r="H2199" i="1"/>
  <c r="J2199" i="1"/>
  <c r="A2200" i="1"/>
  <c r="G2200" i="1"/>
  <c r="H2200" i="1"/>
  <c r="J2200" i="1"/>
  <c r="A2201" i="1"/>
  <c r="G2201" i="1"/>
  <c r="H2201" i="1"/>
  <c r="J2201" i="1"/>
  <c r="A2202" i="1"/>
  <c r="G2202" i="1"/>
  <c r="H2202" i="1"/>
  <c r="J2202" i="1"/>
  <c r="A2203" i="1"/>
  <c r="G2203" i="1"/>
  <c r="H2203" i="1"/>
  <c r="J2203" i="1"/>
  <c r="A2204" i="1"/>
  <c r="G2204" i="1"/>
  <c r="H2204" i="1"/>
  <c r="J2204" i="1"/>
  <c r="A2205" i="1"/>
  <c r="G2205" i="1"/>
  <c r="H2205" i="1"/>
  <c r="J2205" i="1"/>
  <c r="A2206" i="1"/>
  <c r="G2206" i="1"/>
  <c r="H2206" i="1"/>
  <c r="J2206" i="1"/>
  <c r="A2207" i="1"/>
  <c r="G2207" i="1"/>
  <c r="H2207" i="1"/>
  <c r="J2207" i="1"/>
  <c r="A2208" i="1"/>
  <c r="G2208" i="1"/>
  <c r="H2208" i="1"/>
  <c r="J2208" i="1"/>
  <c r="A2209" i="1"/>
  <c r="G2209" i="1"/>
  <c r="H2209" i="1"/>
  <c r="J2209" i="1"/>
  <c r="A2210" i="1"/>
  <c r="G2210" i="1"/>
  <c r="H2210" i="1"/>
  <c r="J2210" i="1"/>
  <c r="A2211" i="1"/>
  <c r="G2211" i="1"/>
  <c r="H2211" i="1"/>
  <c r="J2211" i="1"/>
  <c r="A2212" i="1"/>
  <c r="G2212" i="1"/>
  <c r="H2212" i="1"/>
  <c r="J2212" i="1"/>
  <c r="A2213" i="1"/>
  <c r="G2213" i="1"/>
  <c r="H2213" i="1"/>
  <c r="J2213" i="1"/>
  <c r="A2214" i="1"/>
  <c r="G2214" i="1"/>
  <c r="H2214" i="1"/>
  <c r="J2214" i="1"/>
  <c r="A2215" i="1"/>
  <c r="G2215" i="1"/>
  <c r="H2215" i="1"/>
  <c r="J2215" i="1"/>
  <c r="A2216" i="1"/>
  <c r="G2216" i="1"/>
  <c r="H2216" i="1"/>
  <c r="J2216" i="1"/>
  <c r="A2217" i="1"/>
  <c r="G2217" i="1"/>
  <c r="H2217" i="1"/>
  <c r="J2217" i="1"/>
  <c r="A2218" i="1"/>
  <c r="G2218" i="1"/>
  <c r="H2218" i="1"/>
  <c r="J2218" i="1"/>
  <c r="A2219" i="1"/>
  <c r="G2219" i="1"/>
  <c r="H2219" i="1"/>
  <c r="J2219" i="1"/>
  <c r="A2220" i="1"/>
  <c r="G2220" i="1"/>
  <c r="H2220" i="1"/>
  <c r="J2220" i="1"/>
  <c r="A2221" i="1"/>
  <c r="G2221" i="1"/>
  <c r="H2221" i="1"/>
  <c r="J2221" i="1"/>
  <c r="A2222" i="1"/>
  <c r="G2222" i="1"/>
  <c r="H2222" i="1"/>
  <c r="J2222" i="1"/>
  <c r="A2223" i="1"/>
  <c r="G2223" i="1"/>
  <c r="H2223" i="1"/>
  <c r="J2223" i="1"/>
  <c r="A2224" i="1"/>
  <c r="G2224" i="1"/>
  <c r="H2224" i="1"/>
  <c r="J2224" i="1"/>
  <c r="A2225" i="1"/>
  <c r="G2225" i="1"/>
  <c r="H2225" i="1"/>
  <c r="J2225" i="1"/>
  <c r="A2226" i="1"/>
  <c r="G2226" i="1"/>
  <c r="H2226" i="1"/>
  <c r="J2226" i="1"/>
  <c r="A2227" i="1"/>
  <c r="G2227" i="1"/>
  <c r="H2227" i="1"/>
  <c r="J2227" i="1"/>
  <c r="A2228" i="1"/>
  <c r="G2228" i="1"/>
  <c r="H2228" i="1"/>
  <c r="J2228" i="1"/>
  <c r="A2229" i="1"/>
  <c r="G2229" i="1"/>
  <c r="H2229" i="1"/>
  <c r="J2229" i="1"/>
  <c r="A2230" i="1"/>
  <c r="G2230" i="1"/>
  <c r="H2230" i="1"/>
  <c r="J2230" i="1"/>
  <c r="A2231" i="1"/>
  <c r="G2231" i="1"/>
  <c r="H2231" i="1"/>
  <c r="J2231" i="1"/>
  <c r="A2232" i="1"/>
  <c r="G2232" i="1"/>
  <c r="H2232" i="1"/>
  <c r="J2232" i="1"/>
  <c r="A2233" i="1"/>
  <c r="G2233" i="1"/>
  <c r="H2233" i="1"/>
  <c r="J2233" i="1"/>
  <c r="A2234" i="1"/>
  <c r="G2234" i="1"/>
  <c r="H2234" i="1"/>
  <c r="J2234" i="1"/>
  <c r="A2235" i="1"/>
  <c r="G2235" i="1"/>
  <c r="H2235" i="1"/>
  <c r="J2235" i="1"/>
  <c r="A2236" i="1"/>
  <c r="G2236" i="1"/>
  <c r="H2236" i="1"/>
  <c r="J2236" i="1"/>
  <c r="A2237" i="1"/>
  <c r="G2237" i="1"/>
  <c r="H2237" i="1"/>
  <c r="J2237" i="1"/>
  <c r="A2238" i="1"/>
  <c r="G2238" i="1"/>
  <c r="H2238" i="1"/>
  <c r="J2238" i="1"/>
  <c r="A2239" i="1"/>
  <c r="G2239" i="1"/>
  <c r="H2239" i="1"/>
  <c r="J2239" i="1"/>
  <c r="A2240" i="1"/>
  <c r="G2240" i="1"/>
  <c r="H2240" i="1"/>
  <c r="J2240" i="1"/>
  <c r="A2241" i="1"/>
  <c r="G2241" i="1"/>
  <c r="H2241" i="1"/>
  <c r="J2241" i="1"/>
  <c r="A2242" i="1"/>
  <c r="G2242" i="1"/>
  <c r="H2242" i="1"/>
  <c r="J2242" i="1"/>
  <c r="A2243" i="1"/>
  <c r="G2243" i="1"/>
  <c r="H2243" i="1"/>
  <c r="J2243" i="1"/>
  <c r="A2244" i="1"/>
  <c r="G2244" i="1"/>
  <c r="H2244" i="1"/>
  <c r="J2244" i="1"/>
  <c r="A2245" i="1"/>
  <c r="G2245" i="1"/>
  <c r="H2245" i="1"/>
  <c r="J2245" i="1"/>
  <c r="A2246" i="1"/>
  <c r="G2246" i="1"/>
  <c r="H2246" i="1"/>
  <c r="J2246" i="1"/>
  <c r="A2247" i="1"/>
  <c r="G2247" i="1"/>
  <c r="H2247" i="1"/>
  <c r="J2247" i="1"/>
  <c r="A2248" i="1"/>
  <c r="G2248" i="1"/>
  <c r="H2248" i="1"/>
  <c r="J2248" i="1"/>
  <c r="A2249" i="1"/>
  <c r="G2249" i="1"/>
  <c r="H2249" i="1"/>
  <c r="J2249" i="1"/>
  <c r="A2250" i="1"/>
  <c r="G2250" i="1"/>
  <c r="H2250" i="1"/>
  <c r="J2250" i="1"/>
  <c r="A2251" i="1"/>
  <c r="G2251" i="1"/>
  <c r="H2251" i="1"/>
  <c r="J2251" i="1"/>
  <c r="A2252" i="1"/>
  <c r="G2252" i="1"/>
  <c r="H2252" i="1"/>
  <c r="J2252" i="1"/>
  <c r="A2253" i="1"/>
  <c r="G2253" i="1"/>
  <c r="H2253" i="1"/>
  <c r="J2253" i="1"/>
  <c r="A2254" i="1"/>
  <c r="G2254" i="1"/>
  <c r="H2254" i="1"/>
  <c r="J2254" i="1"/>
  <c r="A2255" i="1"/>
  <c r="G2255" i="1"/>
  <c r="H2255" i="1"/>
  <c r="J2255" i="1"/>
  <c r="A2256" i="1"/>
  <c r="G2256" i="1"/>
  <c r="H2256" i="1"/>
  <c r="J2256" i="1"/>
  <c r="A2257" i="1"/>
  <c r="G2257" i="1"/>
  <c r="H2257" i="1"/>
  <c r="J2257" i="1"/>
  <c r="A2258" i="1"/>
  <c r="G2258" i="1"/>
  <c r="H2258" i="1"/>
  <c r="J2258" i="1"/>
  <c r="A2259" i="1"/>
  <c r="G2259" i="1"/>
  <c r="H2259" i="1"/>
  <c r="J2259" i="1"/>
  <c r="A2260" i="1"/>
  <c r="G2260" i="1"/>
  <c r="H2260" i="1"/>
  <c r="J2260" i="1"/>
  <c r="A2261" i="1"/>
  <c r="G2261" i="1"/>
  <c r="H2261" i="1"/>
  <c r="J2261" i="1"/>
  <c r="A2262" i="1"/>
  <c r="G2262" i="1"/>
  <c r="H2262" i="1"/>
  <c r="J2262" i="1"/>
  <c r="A2263" i="1"/>
  <c r="G2263" i="1"/>
  <c r="H2263" i="1"/>
  <c r="J2263" i="1"/>
  <c r="A2264" i="1"/>
  <c r="G2264" i="1"/>
  <c r="H2264" i="1"/>
  <c r="J2264" i="1"/>
  <c r="A2265" i="1"/>
  <c r="G2265" i="1"/>
  <c r="H2265" i="1"/>
  <c r="J2265" i="1"/>
  <c r="A2266" i="1"/>
  <c r="G2266" i="1"/>
  <c r="H2266" i="1"/>
  <c r="J2266" i="1"/>
  <c r="A2267" i="1"/>
  <c r="G2267" i="1"/>
  <c r="H2267" i="1"/>
  <c r="J2267" i="1"/>
  <c r="A2268" i="1"/>
  <c r="G2268" i="1"/>
  <c r="H2268" i="1"/>
  <c r="J2268" i="1"/>
  <c r="A2269" i="1"/>
  <c r="G2269" i="1"/>
  <c r="H2269" i="1"/>
  <c r="J2269" i="1"/>
  <c r="A2270" i="1"/>
  <c r="G2270" i="1"/>
  <c r="H2270" i="1"/>
  <c r="J2270" i="1"/>
  <c r="A2271" i="1"/>
  <c r="G2271" i="1"/>
  <c r="H2271" i="1"/>
  <c r="J2271" i="1"/>
  <c r="A2272" i="1"/>
  <c r="G2272" i="1"/>
  <c r="H2272" i="1"/>
  <c r="J2272" i="1"/>
  <c r="A2273" i="1"/>
  <c r="G2273" i="1"/>
  <c r="H2273" i="1"/>
  <c r="J2273" i="1"/>
  <c r="A2274" i="1"/>
  <c r="G2274" i="1"/>
  <c r="H2274" i="1"/>
  <c r="J2274" i="1"/>
  <c r="A2275" i="1"/>
  <c r="G2275" i="1"/>
  <c r="H2275" i="1"/>
  <c r="J2275" i="1"/>
  <c r="A2276" i="1"/>
  <c r="G2276" i="1"/>
  <c r="H2276" i="1"/>
  <c r="J2276" i="1"/>
  <c r="A2277" i="1"/>
  <c r="G2277" i="1"/>
  <c r="H2277" i="1"/>
  <c r="J2277" i="1"/>
  <c r="A2278" i="1"/>
  <c r="G2278" i="1"/>
  <c r="H2278" i="1"/>
  <c r="J2278" i="1"/>
  <c r="A2279" i="1"/>
  <c r="G2279" i="1"/>
  <c r="H2279" i="1"/>
  <c r="J2279" i="1"/>
  <c r="A2280" i="1"/>
  <c r="G2280" i="1"/>
  <c r="H2280" i="1"/>
  <c r="J2280" i="1"/>
  <c r="A2281" i="1"/>
  <c r="G2281" i="1"/>
  <c r="H2281" i="1"/>
  <c r="J2281" i="1"/>
  <c r="A2282" i="1"/>
  <c r="G2282" i="1"/>
  <c r="H2282" i="1"/>
  <c r="J2282" i="1"/>
  <c r="A2283" i="1"/>
  <c r="G2283" i="1"/>
  <c r="H2283" i="1"/>
  <c r="J2283" i="1"/>
  <c r="A2284" i="1"/>
  <c r="G2284" i="1"/>
  <c r="H2284" i="1"/>
  <c r="J2284" i="1"/>
  <c r="A2285" i="1"/>
  <c r="G2285" i="1"/>
  <c r="H2285" i="1"/>
  <c r="J2285" i="1"/>
  <c r="A2286" i="1"/>
  <c r="G2286" i="1"/>
  <c r="H2286" i="1"/>
  <c r="J2286" i="1"/>
  <c r="A2287" i="1"/>
  <c r="G2287" i="1"/>
  <c r="H2287" i="1"/>
  <c r="J2287" i="1"/>
  <c r="A2288" i="1"/>
  <c r="G2288" i="1"/>
  <c r="H2288" i="1"/>
  <c r="J2288" i="1"/>
  <c r="A2289" i="1"/>
  <c r="G2289" i="1"/>
  <c r="H2289" i="1"/>
  <c r="J2289" i="1"/>
  <c r="A2290" i="1"/>
  <c r="G2290" i="1"/>
  <c r="H2290" i="1"/>
  <c r="J2290" i="1"/>
  <c r="A2291" i="1"/>
  <c r="G2291" i="1"/>
  <c r="H2291" i="1"/>
  <c r="J2291" i="1"/>
  <c r="A2292" i="1"/>
  <c r="G2292" i="1"/>
  <c r="H2292" i="1"/>
  <c r="J2292" i="1"/>
  <c r="A2293" i="1"/>
  <c r="G2293" i="1"/>
  <c r="H2293" i="1"/>
  <c r="J2293" i="1"/>
  <c r="A2294" i="1"/>
  <c r="G2294" i="1"/>
  <c r="H2294" i="1"/>
  <c r="J2294" i="1"/>
  <c r="A2295" i="1"/>
  <c r="G2295" i="1"/>
  <c r="H2295" i="1"/>
  <c r="J2295" i="1"/>
  <c r="A2296" i="1"/>
  <c r="G2296" i="1"/>
  <c r="H2296" i="1"/>
  <c r="J2296" i="1"/>
  <c r="A2297" i="1"/>
  <c r="G2297" i="1"/>
  <c r="H2297" i="1"/>
  <c r="J2297" i="1"/>
  <c r="A2298" i="1"/>
  <c r="G2298" i="1"/>
  <c r="H2298" i="1"/>
  <c r="J2298" i="1"/>
  <c r="A2299" i="1"/>
  <c r="G2299" i="1"/>
  <c r="H2299" i="1"/>
  <c r="J2299" i="1"/>
  <c r="A2300" i="1"/>
  <c r="G2300" i="1"/>
  <c r="H2300" i="1"/>
  <c r="J2300" i="1"/>
  <c r="A2301" i="1"/>
  <c r="G2301" i="1"/>
  <c r="H2301" i="1"/>
  <c r="J2301" i="1"/>
  <c r="A2302" i="1"/>
  <c r="G2302" i="1"/>
  <c r="H2302" i="1"/>
  <c r="J2302" i="1"/>
  <c r="A2303" i="1"/>
  <c r="G2303" i="1"/>
  <c r="H2303" i="1"/>
  <c r="J2303" i="1"/>
  <c r="A2304" i="1"/>
  <c r="G2304" i="1"/>
  <c r="H2304" i="1"/>
  <c r="J2304" i="1"/>
  <c r="A2305" i="1"/>
  <c r="G2305" i="1"/>
  <c r="H2305" i="1"/>
  <c r="J2305" i="1"/>
  <c r="A2306" i="1"/>
  <c r="G2306" i="1"/>
  <c r="H2306" i="1"/>
  <c r="J2306" i="1"/>
  <c r="A2307" i="1"/>
  <c r="G2307" i="1"/>
  <c r="H2307" i="1"/>
  <c r="J2307" i="1"/>
  <c r="A2308" i="1"/>
  <c r="G2308" i="1"/>
  <c r="H2308" i="1"/>
  <c r="J2308" i="1"/>
  <c r="A2309" i="1"/>
  <c r="G2309" i="1"/>
  <c r="H2309" i="1"/>
  <c r="J2309" i="1"/>
  <c r="A2310" i="1"/>
  <c r="G2310" i="1"/>
  <c r="H2310" i="1"/>
  <c r="J2310" i="1"/>
  <c r="A2311" i="1"/>
  <c r="G2311" i="1"/>
  <c r="H2311" i="1"/>
  <c r="J2311" i="1"/>
  <c r="A2312" i="1"/>
  <c r="G2312" i="1"/>
  <c r="H2312" i="1"/>
  <c r="J2312" i="1"/>
  <c r="A2313" i="1"/>
  <c r="G2313" i="1"/>
  <c r="H2313" i="1"/>
  <c r="J2313" i="1"/>
  <c r="A2314" i="1"/>
  <c r="G2314" i="1"/>
  <c r="H2314" i="1"/>
  <c r="J2314" i="1"/>
  <c r="A2315" i="1"/>
  <c r="G2315" i="1"/>
  <c r="H2315" i="1"/>
  <c r="J2315" i="1"/>
  <c r="A2316" i="1"/>
  <c r="G2316" i="1"/>
  <c r="H2316" i="1"/>
  <c r="J2316" i="1"/>
  <c r="A2317" i="1"/>
  <c r="G2317" i="1"/>
  <c r="H2317" i="1"/>
  <c r="J2317" i="1"/>
  <c r="A2318" i="1"/>
  <c r="G2318" i="1"/>
  <c r="H2318" i="1"/>
  <c r="J2318" i="1"/>
  <c r="A2319" i="1"/>
  <c r="G2319" i="1"/>
  <c r="H2319" i="1"/>
  <c r="J2319" i="1"/>
  <c r="A2320" i="1"/>
  <c r="G2320" i="1"/>
  <c r="H2320" i="1"/>
  <c r="J2320" i="1"/>
  <c r="A2321" i="1"/>
  <c r="G2321" i="1"/>
  <c r="H2321" i="1"/>
  <c r="J2321" i="1"/>
  <c r="A2322" i="1"/>
  <c r="G2322" i="1"/>
  <c r="H2322" i="1"/>
  <c r="J2322" i="1"/>
  <c r="A2323" i="1"/>
  <c r="G2323" i="1"/>
  <c r="H2323" i="1"/>
  <c r="J2323" i="1"/>
  <c r="A2324" i="1"/>
  <c r="G2324" i="1"/>
  <c r="H2324" i="1"/>
  <c r="J2324" i="1"/>
  <c r="A2325" i="1"/>
  <c r="G2325" i="1"/>
  <c r="H2325" i="1"/>
  <c r="J2325" i="1"/>
  <c r="A2326" i="1"/>
  <c r="G2326" i="1"/>
  <c r="H2326" i="1"/>
  <c r="J2326" i="1"/>
  <c r="A2327" i="1"/>
  <c r="G2327" i="1"/>
  <c r="H2327" i="1"/>
  <c r="J2327" i="1"/>
  <c r="A2328" i="1"/>
  <c r="G2328" i="1"/>
  <c r="H2328" i="1"/>
  <c r="J2328" i="1"/>
  <c r="A2329" i="1"/>
  <c r="G2329" i="1"/>
  <c r="H2329" i="1"/>
  <c r="J2329" i="1"/>
  <c r="A2330" i="1"/>
  <c r="G2330" i="1"/>
  <c r="H2330" i="1"/>
  <c r="J2330" i="1"/>
  <c r="A2331" i="1"/>
  <c r="G2331" i="1"/>
  <c r="H2331" i="1"/>
  <c r="J2331" i="1"/>
  <c r="A2332" i="1"/>
  <c r="G2332" i="1"/>
  <c r="H2332" i="1"/>
  <c r="J2332" i="1"/>
  <c r="A2333" i="1"/>
  <c r="G2333" i="1"/>
  <c r="H2333" i="1"/>
  <c r="J2333" i="1"/>
  <c r="A2334" i="1"/>
  <c r="G2334" i="1"/>
  <c r="H2334" i="1"/>
  <c r="J2334" i="1"/>
  <c r="A2335" i="1"/>
  <c r="G2335" i="1"/>
  <c r="H2335" i="1"/>
  <c r="J2335" i="1"/>
  <c r="A2336" i="1"/>
  <c r="G2336" i="1"/>
  <c r="H2336" i="1"/>
  <c r="J2336" i="1"/>
  <c r="A2337" i="1"/>
  <c r="G2337" i="1"/>
  <c r="H2337" i="1"/>
  <c r="J2337" i="1"/>
  <c r="A2338" i="1"/>
  <c r="G2338" i="1"/>
  <c r="H2338" i="1"/>
  <c r="J2338" i="1"/>
  <c r="A2339" i="1"/>
  <c r="G2339" i="1"/>
  <c r="H2339" i="1"/>
  <c r="J2339" i="1"/>
  <c r="A2340" i="1"/>
  <c r="G2340" i="1"/>
  <c r="H2340" i="1"/>
  <c r="J2340" i="1"/>
  <c r="A2341" i="1"/>
  <c r="G2341" i="1"/>
  <c r="H2341" i="1"/>
  <c r="J2341" i="1"/>
  <c r="A2342" i="1"/>
  <c r="G2342" i="1"/>
  <c r="H2342" i="1"/>
  <c r="J2342" i="1"/>
  <c r="A2343" i="1"/>
  <c r="G2343" i="1"/>
  <c r="H2343" i="1"/>
  <c r="J2343" i="1"/>
  <c r="A2344" i="1"/>
  <c r="G2344" i="1"/>
  <c r="H2344" i="1"/>
  <c r="J2344" i="1"/>
  <c r="A2345" i="1"/>
  <c r="G2345" i="1"/>
  <c r="H2345" i="1"/>
  <c r="J2345" i="1"/>
  <c r="A2346" i="1"/>
  <c r="G2346" i="1"/>
  <c r="H2346" i="1"/>
  <c r="J2346" i="1"/>
  <c r="A2347" i="1"/>
  <c r="G2347" i="1"/>
  <c r="H2347" i="1"/>
  <c r="J2347" i="1"/>
  <c r="A2348" i="1"/>
  <c r="G2348" i="1"/>
  <c r="H2348" i="1"/>
  <c r="J2348" i="1"/>
  <c r="A2349" i="1"/>
  <c r="G2349" i="1"/>
  <c r="H2349" i="1"/>
  <c r="J2349" i="1"/>
  <c r="A2350" i="1"/>
  <c r="G2350" i="1"/>
  <c r="H2350" i="1"/>
  <c r="J2350" i="1"/>
  <c r="A2351" i="1"/>
  <c r="G2351" i="1"/>
  <c r="H2351" i="1"/>
  <c r="J2351" i="1"/>
  <c r="A2352" i="1"/>
  <c r="G2352" i="1"/>
  <c r="H2352" i="1"/>
  <c r="J2352" i="1"/>
  <c r="A2353" i="1"/>
  <c r="G2353" i="1"/>
  <c r="H2353" i="1"/>
  <c r="J2353" i="1"/>
  <c r="A2354" i="1"/>
  <c r="G2354" i="1"/>
  <c r="H2354" i="1"/>
  <c r="J2354" i="1"/>
  <c r="A2355" i="1"/>
  <c r="G2355" i="1"/>
  <c r="H2355" i="1"/>
  <c r="J2355" i="1"/>
  <c r="A2356" i="1"/>
  <c r="G2356" i="1"/>
  <c r="H2356" i="1"/>
  <c r="J2356" i="1"/>
  <c r="A2357" i="1"/>
  <c r="G2357" i="1"/>
  <c r="H2357" i="1"/>
  <c r="J2357" i="1"/>
  <c r="A2358" i="1"/>
  <c r="G2358" i="1"/>
  <c r="H2358" i="1"/>
  <c r="J2358" i="1"/>
  <c r="A2359" i="1"/>
  <c r="G2359" i="1"/>
  <c r="H2359" i="1"/>
  <c r="J2359" i="1"/>
  <c r="A2360" i="1"/>
  <c r="G2360" i="1"/>
  <c r="H2360" i="1"/>
  <c r="J2360" i="1"/>
  <c r="A2361" i="1"/>
  <c r="G2361" i="1"/>
  <c r="H2361" i="1"/>
  <c r="J2361" i="1"/>
  <c r="A2362" i="1"/>
  <c r="G2362" i="1"/>
  <c r="H2362" i="1"/>
  <c r="J2362" i="1"/>
  <c r="A2363" i="1"/>
  <c r="G2363" i="1"/>
  <c r="H2363" i="1"/>
  <c r="J2363" i="1"/>
  <c r="A2364" i="1"/>
  <c r="G2364" i="1"/>
  <c r="H2364" i="1"/>
  <c r="J2364" i="1"/>
  <c r="A2365" i="1"/>
  <c r="G2365" i="1"/>
  <c r="H2365" i="1"/>
  <c r="J2365" i="1"/>
  <c r="A2366" i="1"/>
  <c r="G2366" i="1"/>
  <c r="H2366" i="1"/>
  <c r="J2366" i="1"/>
  <c r="A2367" i="1"/>
  <c r="G2367" i="1"/>
  <c r="H2367" i="1"/>
  <c r="J2367" i="1"/>
  <c r="A2368" i="1"/>
  <c r="G2368" i="1"/>
  <c r="H2368" i="1"/>
  <c r="J2368" i="1"/>
  <c r="A2369" i="1"/>
  <c r="G2369" i="1"/>
  <c r="H2369" i="1"/>
  <c r="J2369" i="1"/>
  <c r="A2370" i="1"/>
  <c r="G2370" i="1"/>
  <c r="H2370" i="1"/>
  <c r="J2370" i="1"/>
  <c r="A2371" i="1"/>
  <c r="G2371" i="1"/>
  <c r="H2371" i="1"/>
  <c r="J2371" i="1"/>
  <c r="A2372" i="1"/>
  <c r="G2372" i="1"/>
  <c r="H2372" i="1"/>
  <c r="J2372" i="1"/>
  <c r="A2373" i="1"/>
  <c r="G2373" i="1"/>
  <c r="H2373" i="1"/>
  <c r="J2373" i="1"/>
  <c r="A2374" i="1"/>
  <c r="G2374" i="1"/>
  <c r="H2374" i="1"/>
  <c r="J2374" i="1"/>
  <c r="A2375" i="1"/>
  <c r="G2375" i="1"/>
  <c r="H2375" i="1"/>
  <c r="J2375" i="1"/>
  <c r="A2376" i="1"/>
  <c r="G2376" i="1"/>
  <c r="H2376" i="1"/>
  <c r="J2376" i="1"/>
  <c r="A2377" i="1"/>
  <c r="G2377" i="1"/>
  <c r="H2377" i="1"/>
  <c r="J2377" i="1"/>
  <c r="A2378" i="1"/>
  <c r="G2378" i="1"/>
  <c r="H2378" i="1"/>
  <c r="J2378" i="1"/>
  <c r="A2379" i="1"/>
  <c r="G2379" i="1"/>
  <c r="H2379" i="1"/>
  <c r="J2379" i="1"/>
  <c r="A2380" i="1"/>
  <c r="G2380" i="1"/>
  <c r="H2380" i="1"/>
  <c r="J2380" i="1"/>
  <c r="A2381" i="1"/>
  <c r="G2381" i="1"/>
  <c r="H2381" i="1"/>
  <c r="J2381" i="1"/>
  <c r="A2382" i="1"/>
  <c r="G2382" i="1"/>
  <c r="H2382" i="1"/>
  <c r="J2382" i="1"/>
  <c r="A2383" i="1"/>
  <c r="G2383" i="1"/>
  <c r="H2383" i="1"/>
  <c r="J2383" i="1"/>
  <c r="A2384" i="1"/>
  <c r="G2384" i="1"/>
  <c r="H2384" i="1"/>
  <c r="J2384" i="1"/>
  <c r="A2385" i="1"/>
  <c r="G2385" i="1"/>
  <c r="H2385" i="1"/>
  <c r="J2385" i="1"/>
  <c r="A2386" i="1"/>
  <c r="G2386" i="1"/>
  <c r="H2386" i="1"/>
  <c r="J2386" i="1"/>
  <c r="A2387" i="1"/>
  <c r="G2387" i="1"/>
  <c r="H2387" i="1"/>
  <c r="J2387" i="1"/>
  <c r="A2388" i="1"/>
  <c r="G2388" i="1"/>
  <c r="H2388" i="1"/>
  <c r="J2388" i="1"/>
  <c r="A2389" i="1"/>
  <c r="G2389" i="1"/>
  <c r="H2389" i="1"/>
  <c r="J2389" i="1"/>
  <c r="A2390" i="1"/>
  <c r="G2390" i="1"/>
  <c r="H2390" i="1"/>
  <c r="J2390" i="1"/>
  <c r="A2391" i="1"/>
  <c r="G2391" i="1"/>
  <c r="H2391" i="1"/>
  <c r="J2391" i="1"/>
  <c r="A2392" i="1"/>
  <c r="G2392" i="1"/>
  <c r="H2392" i="1"/>
  <c r="J2392" i="1"/>
  <c r="A2393" i="1"/>
  <c r="G2393" i="1"/>
  <c r="H2393" i="1"/>
  <c r="J2393" i="1"/>
  <c r="A2394" i="1"/>
  <c r="G2394" i="1"/>
  <c r="H2394" i="1"/>
  <c r="J2394" i="1"/>
  <c r="A2395" i="1"/>
  <c r="G2395" i="1"/>
  <c r="H2395" i="1"/>
  <c r="J2395" i="1"/>
  <c r="A2396" i="1"/>
  <c r="G2396" i="1"/>
  <c r="H2396" i="1"/>
  <c r="J2396" i="1"/>
  <c r="A2397" i="1"/>
  <c r="G2397" i="1"/>
  <c r="H2397" i="1"/>
  <c r="J2397" i="1"/>
  <c r="A2398" i="1"/>
  <c r="G2398" i="1"/>
  <c r="H2398" i="1"/>
  <c r="J2398" i="1"/>
  <c r="A2399" i="1"/>
  <c r="G2399" i="1"/>
  <c r="H2399" i="1"/>
  <c r="J2399" i="1"/>
  <c r="A2400" i="1"/>
  <c r="G2400" i="1"/>
  <c r="H2400" i="1"/>
  <c r="J2400" i="1"/>
  <c r="A2401" i="1"/>
  <c r="G2401" i="1"/>
  <c r="H2401" i="1"/>
  <c r="J2401" i="1"/>
  <c r="A2402" i="1"/>
  <c r="G2402" i="1"/>
  <c r="H2402" i="1"/>
  <c r="J2402" i="1"/>
  <c r="A2403" i="1"/>
  <c r="G2403" i="1"/>
  <c r="H2403" i="1"/>
  <c r="J2403" i="1"/>
  <c r="A2404" i="1"/>
  <c r="G2404" i="1"/>
  <c r="H2404" i="1"/>
  <c r="J2404" i="1"/>
  <c r="A2405" i="1"/>
  <c r="G2405" i="1"/>
  <c r="H2405" i="1"/>
  <c r="J2405" i="1"/>
  <c r="A2406" i="1"/>
  <c r="G2406" i="1"/>
  <c r="H2406" i="1"/>
  <c r="J2406" i="1"/>
  <c r="A2407" i="1"/>
  <c r="G2407" i="1"/>
  <c r="H2407" i="1"/>
  <c r="J2407" i="1"/>
  <c r="A2408" i="1"/>
  <c r="G2408" i="1"/>
  <c r="H2408" i="1"/>
  <c r="J2408" i="1"/>
  <c r="A2409" i="1"/>
  <c r="G2409" i="1"/>
  <c r="H2409" i="1"/>
  <c r="J2409" i="1"/>
  <c r="A2410" i="1"/>
  <c r="G2410" i="1"/>
  <c r="H2410" i="1"/>
  <c r="J2410" i="1"/>
  <c r="A2411" i="1"/>
  <c r="G2411" i="1"/>
  <c r="H2411" i="1"/>
  <c r="J2411" i="1"/>
  <c r="A2412" i="1"/>
  <c r="G2412" i="1"/>
  <c r="H2412" i="1"/>
  <c r="J2412" i="1"/>
  <c r="A2413" i="1"/>
  <c r="G2413" i="1"/>
  <c r="H2413" i="1"/>
  <c r="J2413" i="1"/>
  <c r="A2414" i="1"/>
  <c r="G2414" i="1"/>
  <c r="H2414" i="1"/>
  <c r="J2414" i="1"/>
  <c r="A2415" i="1"/>
  <c r="G2415" i="1"/>
  <c r="H2415" i="1"/>
  <c r="J2415" i="1"/>
  <c r="A2416" i="1"/>
  <c r="G2416" i="1"/>
  <c r="H2416" i="1"/>
  <c r="J2416" i="1"/>
  <c r="A2417" i="1"/>
  <c r="G2417" i="1"/>
  <c r="H2417" i="1"/>
  <c r="J2417" i="1"/>
  <c r="A2418" i="1"/>
  <c r="G2418" i="1"/>
  <c r="H2418" i="1"/>
  <c r="J2418" i="1"/>
  <c r="A2419" i="1"/>
  <c r="G2419" i="1"/>
  <c r="H2419" i="1"/>
  <c r="J2419" i="1"/>
  <c r="A2420" i="1"/>
  <c r="G2420" i="1"/>
  <c r="H2420" i="1"/>
  <c r="J2420" i="1"/>
  <c r="A2421" i="1"/>
  <c r="G2421" i="1"/>
  <c r="H2421" i="1"/>
  <c r="J2421" i="1"/>
  <c r="A2422" i="1"/>
  <c r="G2422" i="1"/>
  <c r="H2422" i="1"/>
  <c r="J2422" i="1"/>
  <c r="A2423" i="1"/>
  <c r="G2423" i="1"/>
  <c r="H2423" i="1"/>
  <c r="J2423" i="1"/>
  <c r="A2424" i="1"/>
  <c r="G2424" i="1"/>
  <c r="H2424" i="1"/>
  <c r="J2424" i="1"/>
  <c r="A2425" i="1"/>
  <c r="G2425" i="1"/>
  <c r="H2425" i="1"/>
  <c r="J2425" i="1"/>
  <c r="A2426" i="1"/>
  <c r="G2426" i="1"/>
  <c r="H2426" i="1"/>
  <c r="J2426" i="1"/>
  <c r="A2427" i="1"/>
  <c r="G2427" i="1"/>
  <c r="H2427" i="1"/>
  <c r="J2427" i="1"/>
  <c r="A2428" i="1"/>
  <c r="G2428" i="1"/>
  <c r="H2428" i="1"/>
  <c r="J2428" i="1"/>
  <c r="A2429" i="1"/>
  <c r="G2429" i="1"/>
  <c r="H2429" i="1"/>
  <c r="J2429" i="1"/>
  <c r="A2430" i="1"/>
  <c r="G2430" i="1"/>
  <c r="H2430" i="1"/>
  <c r="J2430" i="1"/>
  <c r="A2431" i="1"/>
  <c r="G2431" i="1"/>
  <c r="H2431" i="1"/>
  <c r="J2431" i="1"/>
  <c r="A2432" i="1"/>
  <c r="G2432" i="1"/>
  <c r="H2432" i="1"/>
  <c r="J2432" i="1"/>
  <c r="A2433" i="1"/>
  <c r="G2433" i="1"/>
  <c r="H2433" i="1"/>
  <c r="J2433" i="1"/>
  <c r="A2434" i="1"/>
  <c r="G2434" i="1"/>
  <c r="H2434" i="1"/>
  <c r="J2434" i="1"/>
  <c r="A2435" i="1"/>
  <c r="G2435" i="1"/>
  <c r="H2435" i="1"/>
  <c r="J2435" i="1"/>
  <c r="A2436" i="1"/>
  <c r="G2436" i="1"/>
  <c r="H2436" i="1"/>
  <c r="J2436" i="1"/>
  <c r="A2437" i="1"/>
  <c r="G2437" i="1"/>
  <c r="H2437" i="1"/>
  <c r="J2437" i="1"/>
  <c r="A2438" i="1"/>
  <c r="G2438" i="1"/>
  <c r="H2438" i="1"/>
  <c r="J2438" i="1"/>
  <c r="A2439" i="1"/>
  <c r="G2439" i="1"/>
  <c r="H2439" i="1"/>
  <c r="J2439" i="1"/>
  <c r="A2440" i="1"/>
  <c r="G2440" i="1"/>
  <c r="H2440" i="1"/>
  <c r="J2440" i="1"/>
  <c r="A2441" i="1"/>
  <c r="G2441" i="1"/>
  <c r="H2441" i="1"/>
  <c r="J2441" i="1"/>
  <c r="A2442" i="1"/>
  <c r="G2442" i="1"/>
  <c r="H2442" i="1"/>
  <c r="J2442" i="1"/>
  <c r="A2443" i="1"/>
  <c r="G2443" i="1"/>
  <c r="H2443" i="1"/>
  <c r="J2443" i="1"/>
  <c r="A2444" i="1"/>
  <c r="G2444" i="1"/>
  <c r="H2444" i="1"/>
  <c r="J2444" i="1"/>
  <c r="A2445" i="1"/>
  <c r="G2445" i="1"/>
  <c r="H2445" i="1"/>
  <c r="J2445" i="1"/>
  <c r="A2446" i="1"/>
  <c r="G2446" i="1"/>
  <c r="H2446" i="1"/>
  <c r="J2446" i="1"/>
  <c r="A2447" i="1"/>
  <c r="G2447" i="1"/>
  <c r="H2447" i="1"/>
  <c r="J2447" i="1"/>
  <c r="A2448" i="1"/>
  <c r="G2448" i="1"/>
  <c r="H2448" i="1"/>
  <c r="J2448" i="1"/>
  <c r="A2449" i="1"/>
  <c r="G2449" i="1"/>
  <c r="H2449" i="1"/>
  <c r="J2449" i="1"/>
  <c r="A2450" i="1"/>
  <c r="G2450" i="1"/>
  <c r="H2450" i="1"/>
  <c r="J2450" i="1"/>
  <c r="A2451" i="1"/>
  <c r="G2451" i="1"/>
  <c r="H2451" i="1"/>
  <c r="J2451" i="1"/>
  <c r="A2452" i="1"/>
  <c r="G2452" i="1"/>
  <c r="H2452" i="1"/>
  <c r="J2452" i="1"/>
  <c r="A2453" i="1"/>
  <c r="G2453" i="1"/>
  <c r="H2453" i="1"/>
  <c r="J2453" i="1"/>
  <c r="A2454" i="1"/>
  <c r="G2454" i="1"/>
  <c r="H2454" i="1"/>
  <c r="J2454" i="1"/>
  <c r="A2455" i="1"/>
  <c r="G2455" i="1"/>
  <c r="H2455" i="1"/>
  <c r="J2455" i="1"/>
  <c r="A2456" i="1"/>
  <c r="G2456" i="1"/>
  <c r="H2456" i="1"/>
  <c r="J2456" i="1"/>
  <c r="A2457" i="1"/>
  <c r="G2457" i="1"/>
  <c r="H2457" i="1"/>
  <c r="J2457" i="1"/>
  <c r="A2458" i="1"/>
  <c r="G2458" i="1"/>
  <c r="H2458" i="1"/>
  <c r="J2458" i="1"/>
  <c r="A2459" i="1"/>
  <c r="G2459" i="1"/>
  <c r="H2459" i="1"/>
  <c r="J2459" i="1"/>
  <c r="A2460" i="1"/>
  <c r="G2460" i="1"/>
  <c r="H2460" i="1"/>
  <c r="J2460" i="1"/>
  <c r="A2461" i="1"/>
  <c r="G2461" i="1"/>
  <c r="H2461" i="1"/>
  <c r="J2461" i="1"/>
  <c r="A2462" i="1"/>
  <c r="G2462" i="1"/>
  <c r="H2462" i="1"/>
  <c r="J2462" i="1"/>
  <c r="A2463" i="1"/>
  <c r="G2463" i="1"/>
  <c r="H2463" i="1"/>
  <c r="J2463" i="1"/>
  <c r="A2464" i="1"/>
  <c r="G2464" i="1"/>
  <c r="H2464" i="1"/>
  <c r="J2464" i="1"/>
  <c r="A2465" i="1"/>
  <c r="G2465" i="1"/>
  <c r="H2465" i="1"/>
  <c r="J2465" i="1"/>
  <c r="A2466" i="1"/>
  <c r="G2466" i="1"/>
  <c r="H2466" i="1"/>
  <c r="J2466" i="1"/>
  <c r="A2467" i="1"/>
  <c r="G2467" i="1"/>
  <c r="H2467" i="1"/>
  <c r="J2467" i="1"/>
  <c r="A2468" i="1"/>
  <c r="G2468" i="1"/>
  <c r="H2468" i="1"/>
  <c r="J2468" i="1"/>
  <c r="A2469" i="1"/>
  <c r="G2469" i="1"/>
  <c r="H2469" i="1"/>
  <c r="J2469" i="1"/>
  <c r="A2470" i="1"/>
  <c r="G2470" i="1"/>
  <c r="H2470" i="1"/>
  <c r="J2470" i="1"/>
  <c r="A2471" i="1"/>
  <c r="G2471" i="1"/>
  <c r="H2471" i="1"/>
  <c r="J2471" i="1"/>
  <c r="A2472" i="1"/>
  <c r="G2472" i="1"/>
  <c r="H2472" i="1"/>
  <c r="J2472" i="1"/>
  <c r="A2473" i="1"/>
  <c r="G2473" i="1"/>
  <c r="H2473" i="1"/>
  <c r="J2473" i="1"/>
  <c r="A2474" i="1"/>
  <c r="G2474" i="1"/>
  <c r="H2474" i="1"/>
  <c r="J2474" i="1"/>
  <c r="A2475" i="1"/>
  <c r="G2475" i="1"/>
  <c r="H2475" i="1"/>
  <c r="J2475" i="1"/>
  <c r="A2476" i="1"/>
  <c r="G2476" i="1"/>
  <c r="H2476" i="1"/>
  <c r="J2476" i="1"/>
  <c r="A2477" i="1"/>
  <c r="G2477" i="1"/>
  <c r="H2477" i="1"/>
  <c r="J2477" i="1"/>
  <c r="A2478" i="1"/>
  <c r="G2478" i="1"/>
  <c r="H2478" i="1"/>
  <c r="J2478" i="1"/>
  <c r="A2479" i="1"/>
  <c r="G2479" i="1"/>
  <c r="H2479" i="1"/>
  <c r="J2479" i="1"/>
  <c r="A2480" i="1"/>
  <c r="G2480" i="1"/>
  <c r="H2480" i="1"/>
  <c r="J2480" i="1"/>
  <c r="A2481" i="1"/>
  <c r="G2481" i="1"/>
  <c r="H2481" i="1"/>
  <c r="J2481" i="1"/>
  <c r="A2482" i="1"/>
  <c r="G2482" i="1"/>
  <c r="H2482" i="1"/>
  <c r="J2482" i="1"/>
  <c r="A2483" i="1"/>
  <c r="G2483" i="1"/>
  <c r="H2483" i="1"/>
  <c r="J2483" i="1"/>
  <c r="A2484" i="1"/>
  <c r="G2484" i="1"/>
  <c r="H2484" i="1"/>
  <c r="J2484" i="1"/>
  <c r="A2485" i="1"/>
  <c r="G2485" i="1"/>
  <c r="H2485" i="1"/>
  <c r="J2485" i="1"/>
  <c r="A2486" i="1"/>
  <c r="G2486" i="1"/>
  <c r="H2486" i="1"/>
  <c r="J2486" i="1"/>
  <c r="A2487" i="1"/>
  <c r="G2487" i="1"/>
  <c r="H2487" i="1"/>
  <c r="J2487" i="1"/>
  <c r="A2488" i="1"/>
  <c r="G2488" i="1"/>
  <c r="H2488" i="1"/>
  <c r="J2488" i="1"/>
  <c r="A2489" i="1"/>
  <c r="G2489" i="1"/>
  <c r="H2489" i="1"/>
  <c r="J2489" i="1"/>
  <c r="A2490" i="1"/>
  <c r="G2490" i="1"/>
  <c r="H2490" i="1"/>
  <c r="J2490" i="1"/>
  <c r="A2491" i="1"/>
  <c r="G2491" i="1"/>
  <c r="H2491" i="1"/>
  <c r="J2491" i="1"/>
  <c r="A2492" i="1"/>
  <c r="G2492" i="1"/>
  <c r="H2492" i="1"/>
  <c r="J2492" i="1"/>
  <c r="A2493" i="1"/>
  <c r="G2493" i="1"/>
  <c r="H2493" i="1"/>
  <c r="J2493" i="1"/>
  <c r="A2494" i="1"/>
  <c r="G2494" i="1"/>
  <c r="H2494" i="1"/>
  <c r="J2494" i="1"/>
  <c r="A2495" i="1"/>
  <c r="G2495" i="1"/>
  <c r="H2495" i="1"/>
  <c r="J2495" i="1"/>
  <c r="A2496" i="1"/>
  <c r="G2496" i="1"/>
  <c r="H2496" i="1"/>
  <c r="J2496" i="1"/>
  <c r="A2497" i="1"/>
  <c r="G2497" i="1"/>
  <c r="H2497" i="1"/>
  <c r="J2497" i="1"/>
  <c r="A2498" i="1"/>
  <c r="G2498" i="1"/>
  <c r="H2498" i="1"/>
  <c r="J2498" i="1"/>
  <c r="A2499" i="1"/>
  <c r="G2499" i="1"/>
  <c r="H2499" i="1"/>
  <c r="J2499" i="1"/>
  <c r="A2500" i="1"/>
  <c r="G2500" i="1"/>
  <c r="H2500" i="1"/>
  <c r="J2500" i="1"/>
  <c r="A2501" i="1"/>
  <c r="G2501" i="1"/>
  <c r="H2501" i="1"/>
  <c r="J2501" i="1"/>
  <c r="A2502" i="1"/>
  <c r="G2502" i="1"/>
  <c r="H2502" i="1"/>
  <c r="J2502" i="1"/>
  <c r="A2503" i="1"/>
  <c r="G2503" i="1"/>
  <c r="H2503" i="1"/>
  <c r="J2503" i="1"/>
  <c r="A2504" i="1"/>
  <c r="G2504" i="1"/>
  <c r="H2504" i="1"/>
  <c r="J2504" i="1"/>
  <c r="A2505" i="1"/>
  <c r="G2505" i="1"/>
  <c r="H2505" i="1"/>
  <c r="J2505" i="1"/>
  <c r="A2506" i="1"/>
  <c r="G2506" i="1"/>
  <c r="H2506" i="1"/>
  <c r="J2506" i="1"/>
  <c r="A2507" i="1"/>
  <c r="G2507" i="1"/>
  <c r="H2507" i="1"/>
  <c r="J2507" i="1"/>
  <c r="A2508" i="1"/>
  <c r="G2508" i="1"/>
  <c r="H2508" i="1"/>
  <c r="J2508" i="1"/>
  <c r="A2509" i="1"/>
  <c r="G2509" i="1"/>
  <c r="H2509" i="1"/>
  <c r="J2509" i="1"/>
  <c r="A2510" i="1"/>
  <c r="G2510" i="1"/>
  <c r="H2510" i="1"/>
  <c r="J2510" i="1"/>
  <c r="A2511" i="1"/>
  <c r="G2511" i="1"/>
  <c r="H2511" i="1"/>
  <c r="J2511" i="1"/>
  <c r="A2512" i="1"/>
  <c r="G2512" i="1"/>
  <c r="H2512" i="1"/>
  <c r="J2512" i="1"/>
  <c r="A2513" i="1"/>
  <c r="G2513" i="1"/>
  <c r="H2513" i="1"/>
  <c r="J2513" i="1"/>
  <c r="A2514" i="1"/>
  <c r="G2514" i="1"/>
  <c r="H2514" i="1"/>
  <c r="J2514" i="1"/>
  <c r="A2515" i="1"/>
  <c r="G2515" i="1"/>
  <c r="H2515" i="1"/>
  <c r="J2515" i="1"/>
  <c r="A2516" i="1"/>
  <c r="G2516" i="1"/>
  <c r="H2516" i="1"/>
  <c r="J2516" i="1"/>
  <c r="A2517" i="1"/>
  <c r="G2517" i="1"/>
  <c r="H2517" i="1"/>
  <c r="J2517" i="1"/>
  <c r="A2518" i="1"/>
  <c r="G2518" i="1"/>
  <c r="H2518" i="1"/>
  <c r="J2518" i="1"/>
  <c r="A2519" i="1"/>
  <c r="G2519" i="1"/>
  <c r="H2519" i="1"/>
  <c r="J2519" i="1"/>
  <c r="A2520" i="1"/>
  <c r="G2520" i="1"/>
  <c r="H2520" i="1"/>
  <c r="J2520" i="1"/>
  <c r="A2521" i="1"/>
  <c r="G2521" i="1"/>
  <c r="H2521" i="1"/>
  <c r="J2521" i="1"/>
  <c r="A2522" i="1"/>
  <c r="G2522" i="1"/>
  <c r="H2522" i="1"/>
  <c r="J2522" i="1"/>
  <c r="A2523" i="1"/>
  <c r="G2523" i="1"/>
  <c r="H2523" i="1"/>
  <c r="J2523" i="1"/>
  <c r="A2524" i="1"/>
  <c r="G2524" i="1"/>
  <c r="H2524" i="1"/>
  <c r="J2524" i="1"/>
  <c r="A2525" i="1"/>
  <c r="G2525" i="1"/>
  <c r="H2525" i="1"/>
  <c r="J2525" i="1"/>
  <c r="A2526" i="1"/>
  <c r="G2526" i="1"/>
  <c r="H2526" i="1"/>
  <c r="J2526" i="1"/>
  <c r="A2527" i="1"/>
  <c r="G2527" i="1"/>
  <c r="H2527" i="1"/>
  <c r="J2527" i="1"/>
  <c r="A2528" i="1"/>
  <c r="G2528" i="1"/>
  <c r="H2528" i="1"/>
  <c r="J2528" i="1"/>
  <c r="A2529" i="1"/>
  <c r="G2529" i="1"/>
  <c r="H2529" i="1"/>
  <c r="J2529" i="1"/>
  <c r="A2530" i="1"/>
  <c r="G2530" i="1"/>
  <c r="H2530" i="1"/>
  <c r="J2530" i="1"/>
  <c r="A2531" i="1"/>
  <c r="G2531" i="1"/>
  <c r="H2531" i="1"/>
  <c r="J2531" i="1"/>
  <c r="A2532" i="1"/>
  <c r="G2532" i="1"/>
  <c r="H2532" i="1"/>
  <c r="J2532" i="1"/>
  <c r="A2533" i="1"/>
  <c r="G2533" i="1"/>
  <c r="H2533" i="1"/>
  <c r="J2533" i="1"/>
  <c r="A2534" i="1"/>
  <c r="G2534" i="1"/>
  <c r="H2534" i="1"/>
  <c r="J2534" i="1"/>
  <c r="A2535" i="1"/>
  <c r="G2535" i="1"/>
  <c r="H2535" i="1"/>
  <c r="J2535" i="1"/>
  <c r="A2536" i="1"/>
  <c r="G2536" i="1"/>
  <c r="H2536" i="1"/>
  <c r="J2536" i="1"/>
  <c r="A2537" i="1"/>
  <c r="G2537" i="1"/>
  <c r="H2537" i="1"/>
  <c r="J2537" i="1"/>
  <c r="A2538" i="1"/>
  <c r="G2538" i="1"/>
  <c r="H2538" i="1"/>
  <c r="J2538" i="1"/>
  <c r="A2539" i="1"/>
  <c r="G2539" i="1"/>
  <c r="H2539" i="1"/>
  <c r="J2539" i="1"/>
  <c r="A2540" i="1"/>
  <c r="G2540" i="1"/>
  <c r="H2540" i="1"/>
  <c r="J2540" i="1"/>
  <c r="A2541" i="1"/>
  <c r="G2541" i="1"/>
  <c r="H2541" i="1"/>
  <c r="J2541" i="1"/>
  <c r="A2542" i="1"/>
  <c r="G2542" i="1"/>
  <c r="H2542" i="1"/>
  <c r="J2542" i="1"/>
  <c r="A2543" i="1"/>
  <c r="G2543" i="1"/>
  <c r="H2543" i="1"/>
  <c r="J2543" i="1"/>
  <c r="A2544" i="1"/>
  <c r="G2544" i="1"/>
  <c r="H2544" i="1"/>
  <c r="J2544" i="1"/>
  <c r="A2545" i="1"/>
  <c r="G2545" i="1"/>
  <c r="H2545" i="1"/>
  <c r="J2545" i="1"/>
  <c r="A2546" i="1"/>
  <c r="G2546" i="1"/>
  <c r="H2546" i="1"/>
  <c r="J2546" i="1"/>
  <c r="A2547" i="1"/>
  <c r="G2547" i="1"/>
  <c r="H2547" i="1"/>
  <c r="J2547" i="1"/>
  <c r="A2548" i="1"/>
  <c r="G2548" i="1"/>
  <c r="H2548" i="1"/>
  <c r="J2548" i="1"/>
  <c r="A2549" i="1"/>
  <c r="G2549" i="1"/>
  <c r="H2549" i="1"/>
  <c r="J2549" i="1"/>
  <c r="A2550" i="1"/>
  <c r="G2550" i="1"/>
  <c r="H2550" i="1"/>
  <c r="J2550" i="1"/>
  <c r="A2551" i="1"/>
  <c r="G2551" i="1"/>
  <c r="H2551" i="1"/>
  <c r="J2551" i="1"/>
  <c r="A2552" i="1"/>
  <c r="G2552" i="1"/>
  <c r="H2552" i="1"/>
  <c r="J2552" i="1"/>
  <c r="A2553" i="1"/>
  <c r="G2553" i="1"/>
  <c r="H2553" i="1"/>
  <c r="J2553" i="1"/>
  <c r="A2554" i="1"/>
  <c r="G2554" i="1"/>
  <c r="H2554" i="1"/>
  <c r="J2554" i="1"/>
  <c r="A2555" i="1"/>
  <c r="G2555" i="1"/>
  <c r="H2555" i="1"/>
  <c r="J2555" i="1"/>
  <c r="A2556" i="1"/>
  <c r="G2556" i="1"/>
  <c r="H2556" i="1"/>
  <c r="J2556" i="1"/>
  <c r="A2557" i="1"/>
  <c r="G2557" i="1"/>
  <c r="H2557" i="1"/>
  <c r="J2557" i="1"/>
  <c r="A2558" i="1"/>
  <c r="G2558" i="1"/>
  <c r="H2558" i="1"/>
  <c r="J2558" i="1"/>
  <c r="A2559" i="1"/>
  <c r="G2559" i="1"/>
  <c r="H2559" i="1"/>
  <c r="J2559" i="1"/>
  <c r="A2560" i="1"/>
  <c r="G2560" i="1"/>
  <c r="H2560" i="1"/>
  <c r="J2560" i="1"/>
  <c r="A2561" i="1"/>
  <c r="G2561" i="1"/>
  <c r="H2561" i="1"/>
  <c r="J2561" i="1"/>
  <c r="A2562" i="1"/>
  <c r="G2562" i="1"/>
  <c r="H2562" i="1"/>
  <c r="J2562" i="1"/>
  <c r="A2563" i="1"/>
  <c r="G2563" i="1"/>
  <c r="H2563" i="1"/>
  <c r="J2563" i="1"/>
  <c r="A2564" i="1"/>
  <c r="G2564" i="1"/>
  <c r="H2564" i="1"/>
  <c r="J2564" i="1"/>
  <c r="A2565" i="1"/>
  <c r="G2565" i="1"/>
  <c r="H2565" i="1"/>
  <c r="J2565" i="1"/>
  <c r="A2566" i="1"/>
  <c r="G2566" i="1"/>
  <c r="H2566" i="1"/>
  <c r="J2566" i="1"/>
  <c r="A2567" i="1"/>
  <c r="G2567" i="1"/>
  <c r="H2567" i="1"/>
  <c r="J2567" i="1"/>
  <c r="A2568" i="1"/>
  <c r="G2568" i="1"/>
  <c r="H2568" i="1"/>
  <c r="J2568" i="1"/>
  <c r="A2569" i="1"/>
  <c r="G2569" i="1"/>
  <c r="H2569" i="1"/>
  <c r="J2569" i="1"/>
  <c r="A2570" i="1"/>
  <c r="G2570" i="1"/>
  <c r="H2570" i="1"/>
  <c r="J2570" i="1"/>
  <c r="A2571" i="1"/>
  <c r="G2571" i="1"/>
  <c r="H2571" i="1"/>
  <c r="J2571" i="1"/>
  <c r="A2572" i="1"/>
  <c r="G2572" i="1"/>
  <c r="H2572" i="1"/>
  <c r="J2572" i="1"/>
  <c r="A2573" i="1"/>
  <c r="G2573" i="1"/>
  <c r="H2573" i="1"/>
  <c r="J2573" i="1"/>
  <c r="A2574" i="1"/>
  <c r="G2574" i="1"/>
  <c r="H2574" i="1"/>
  <c r="J2574" i="1"/>
  <c r="A2575" i="1"/>
  <c r="G2575" i="1"/>
  <c r="H2575" i="1"/>
  <c r="J2575" i="1"/>
  <c r="A2576" i="1"/>
  <c r="G2576" i="1"/>
  <c r="H2576" i="1"/>
  <c r="J2576" i="1"/>
  <c r="A2577" i="1"/>
  <c r="G2577" i="1"/>
  <c r="H2577" i="1"/>
  <c r="J2577" i="1"/>
  <c r="A2578" i="1"/>
  <c r="G2578" i="1"/>
  <c r="H2578" i="1"/>
  <c r="J2578" i="1"/>
  <c r="A2579" i="1"/>
  <c r="G2579" i="1"/>
  <c r="H2579" i="1"/>
  <c r="J2579" i="1"/>
  <c r="A2580" i="1"/>
  <c r="G2580" i="1"/>
  <c r="H2580" i="1"/>
  <c r="J2580" i="1"/>
  <c r="A2581" i="1"/>
  <c r="G2581" i="1"/>
  <c r="H2581" i="1"/>
  <c r="J2581" i="1"/>
  <c r="A2582" i="1"/>
  <c r="G2582" i="1"/>
  <c r="H2582" i="1"/>
  <c r="J2582" i="1"/>
  <c r="A2583" i="1"/>
  <c r="G2583" i="1"/>
  <c r="H2583" i="1"/>
  <c r="J2583" i="1"/>
  <c r="A2584" i="1"/>
  <c r="G2584" i="1"/>
  <c r="H2584" i="1"/>
  <c r="J2584" i="1"/>
  <c r="A2585" i="1"/>
  <c r="G2585" i="1"/>
  <c r="H2585" i="1"/>
  <c r="J2585" i="1"/>
  <c r="A2586" i="1"/>
  <c r="G2586" i="1"/>
  <c r="H2586" i="1"/>
  <c r="J2586" i="1"/>
  <c r="A2587" i="1"/>
  <c r="G2587" i="1"/>
  <c r="H2587" i="1"/>
  <c r="J2587" i="1"/>
  <c r="A2588" i="1"/>
  <c r="G2588" i="1"/>
  <c r="H2588" i="1"/>
  <c r="J2588" i="1"/>
  <c r="A2589" i="1"/>
  <c r="G2589" i="1"/>
  <c r="H2589" i="1"/>
  <c r="J2589" i="1"/>
  <c r="A2590" i="1"/>
  <c r="G2590" i="1"/>
  <c r="H2590" i="1"/>
  <c r="J2590" i="1"/>
  <c r="A2591" i="1"/>
  <c r="G2591" i="1"/>
  <c r="H2591" i="1"/>
  <c r="J2591" i="1"/>
  <c r="A2592" i="1"/>
  <c r="G2592" i="1"/>
  <c r="H2592" i="1"/>
  <c r="J2592" i="1"/>
  <c r="A2593" i="1"/>
  <c r="G2593" i="1"/>
  <c r="H2593" i="1"/>
  <c r="J2593" i="1"/>
  <c r="A2594" i="1"/>
  <c r="G2594" i="1"/>
  <c r="H2594" i="1"/>
  <c r="J2594" i="1"/>
  <c r="A2595" i="1"/>
  <c r="G2595" i="1"/>
  <c r="H2595" i="1"/>
  <c r="J2595" i="1"/>
  <c r="A2596" i="1"/>
  <c r="G2596" i="1"/>
  <c r="H2596" i="1"/>
  <c r="J2596" i="1"/>
  <c r="A2597" i="1"/>
  <c r="G2597" i="1"/>
  <c r="H2597" i="1"/>
  <c r="J2597" i="1"/>
  <c r="A2598" i="1"/>
  <c r="G2598" i="1"/>
  <c r="H2598" i="1"/>
  <c r="J2598" i="1"/>
  <c r="A2599" i="1"/>
  <c r="G2599" i="1"/>
  <c r="H2599" i="1"/>
  <c r="J2599" i="1"/>
  <c r="A2600" i="1"/>
  <c r="G2600" i="1"/>
  <c r="H2600" i="1"/>
  <c r="J2600" i="1"/>
  <c r="A2601" i="1"/>
  <c r="G2601" i="1"/>
  <c r="H2601" i="1"/>
  <c r="J2601" i="1"/>
  <c r="A2602" i="1"/>
  <c r="G2602" i="1"/>
  <c r="H2602" i="1"/>
  <c r="J2602" i="1"/>
  <c r="A2603" i="1"/>
  <c r="G2603" i="1"/>
  <c r="H2603" i="1"/>
  <c r="J2603" i="1"/>
  <c r="A2604" i="1"/>
  <c r="G2604" i="1"/>
  <c r="H2604" i="1"/>
  <c r="J2604" i="1"/>
  <c r="A2605" i="1"/>
  <c r="G2605" i="1"/>
  <c r="H2605" i="1"/>
  <c r="J2605" i="1"/>
  <c r="A2606" i="1"/>
  <c r="G2606" i="1"/>
  <c r="H2606" i="1"/>
  <c r="J2606" i="1"/>
  <c r="A2607" i="1"/>
  <c r="G2607" i="1"/>
  <c r="H2607" i="1"/>
  <c r="J2607" i="1"/>
  <c r="A2608" i="1"/>
  <c r="G2608" i="1"/>
  <c r="H2608" i="1"/>
  <c r="J2608" i="1"/>
  <c r="A2609" i="1"/>
  <c r="G2609" i="1"/>
  <c r="H2609" i="1"/>
  <c r="J2609" i="1"/>
  <c r="A2610" i="1"/>
  <c r="G2610" i="1"/>
  <c r="H2610" i="1"/>
  <c r="J2610" i="1"/>
  <c r="A2611" i="1"/>
  <c r="G2611" i="1"/>
  <c r="H2611" i="1"/>
  <c r="J2611" i="1"/>
  <c r="A2612" i="1"/>
  <c r="G2612" i="1"/>
  <c r="H2612" i="1"/>
  <c r="J2612" i="1"/>
  <c r="A2613" i="1"/>
  <c r="G2613" i="1"/>
  <c r="H2613" i="1"/>
  <c r="J2613" i="1"/>
  <c r="A2614" i="1"/>
  <c r="G2614" i="1"/>
  <c r="H2614" i="1"/>
  <c r="J2614" i="1"/>
  <c r="A2615" i="1"/>
  <c r="G2615" i="1"/>
  <c r="H2615" i="1"/>
  <c r="J2615" i="1"/>
  <c r="A2616" i="1"/>
  <c r="G2616" i="1"/>
  <c r="H2616" i="1"/>
  <c r="J2616" i="1"/>
  <c r="A2617" i="1"/>
  <c r="G2617" i="1"/>
  <c r="H2617" i="1"/>
  <c r="J2617" i="1"/>
  <c r="A2618" i="1"/>
  <c r="G2618" i="1"/>
  <c r="H2618" i="1"/>
  <c r="J2618" i="1"/>
  <c r="A2619" i="1"/>
  <c r="G2619" i="1"/>
  <c r="H2619" i="1"/>
  <c r="J2619" i="1"/>
  <c r="A2620" i="1"/>
  <c r="G2620" i="1"/>
  <c r="H2620" i="1"/>
  <c r="J2620" i="1"/>
  <c r="A2621" i="1"/>
  <c r="G2621" i="1"/>
  <c r="H2621" i="1"/>
  <c r="J2621" i="1"/>
  <c r="A2622" i="1"/>
  <c r="G2622" i="1"/>
  <c r="H2622" i="1"/>
  <c r="J2622" i="1"/>
  <c r="A2623" i="1"/>
  <c r="G2623" i="1"/>
  <c r="H2623" i="1"/>
  <c r="J2623" i="1"/>
  <c r="A2624" i="1"/>
  <c r="G2624" i="1"/>
  <c r="H2624" i="1"/>
  <c r="J2624" i="1"/>
  <c r="A2625" i="1"/>
  <c r="G2625" i="1"/>
  <c r="H2625" i="1"/>
  <c r="J2625" i="1"/>
  <c r="A2626" i="1"/>
  <c r="G2626" i="1"/>
  <c r="H2626" i="1"/>
  <c r="J2626" i="1"/>
  <c r="A2627" i="1"/>
  <c r="G2627" i="1"/>
  <c r="H2627" i="1"/>
  <c r="J2627" i="1"/>
  <c r="A2628" i="1"/>
  <c r="G2628" i="1"/>
  <c r="H2628" i="1"/>
  <c r="J2628" i="1"/>
  <c r="A2629" i="1"/>
  <c r="G2629" i="1"/>
  <c r="H2629" i="1"/>
  <c r="J2629" i="1"/>
  <c r="A2630" i="1"/>
  <c r="G2630" i="1"/>
  <c r="H2630" i="1"/>
  <c r="J2630" i="1"/>
  <c r="A2631" i="1"/>
  <c r="G2631" i="1"/>
  <c r="H2631" i="1"/>
  <c r="J2631" i="1"/>
  <c r="A2632" i="1"/>
  <c r="G2632" i="1"/>
  <c r="H2632" i="1"/>
  <c r="J2632" i="1"/>
  <c r="A2633" i="1"/>
  <c r="G2633" i="1"/>
  <c r="H2633" i="1"/>
  <c r="J2633" i="1"/>
  <c r="A2634" i="1"/>
  <c r="G2634" i="1"/>
  <c r="H2634" i="1"/>
  <c r="J2634" i="1"/>
  <c r="A2635" i="1"/>
  <c r="G2635" i="1"/>
  <c r="H2635" i="1"/>
  <c r="J2635" i="1"/>
  <c r="A2636" i="1"/>
  <c r="G2636" i="1"/>
  <c r="H2636" i="1"/>
  <c r="J2636" i="1"/>
  <c r="A2637" i="1"/>
  <c r="G2637" i="1"/>
  <c r="H2637" i="1"/>
  <c r="J2637" i="1"/>
  <c r="A2638" i="1"/>
  <c r="G2638" i="1"/>
  <c r="H2638" i="1"/>
  <c r="J2638" i="1"/>
  <c r="A2639" i="1"/>
  <c r="G2639" i="1"/>
  <c r="H2639" i="1"/>
  <c r="J2639" i="1"/>
  <c r="A2640" i="1"/>
  <c r="G2640" i="1"/>
  <c r="H2640" i="1"/>
  <c r="J2640" i="1"/>
  <c r="A2641" i="1"/>
  <c r="G2641" i="1"/>
  <c r="H2641" i="1"/>
  <c r="J2641" i="1"/>
  <c r="A2642" i="1"/>
  <c r="G2642" i="1"/>
  <c r="H2642" i="1"/>
  <c r="J2642" i="1"/>
  <c r="A2643" i="1"/>
  <c r="G2643" i="1"/>
  <c r="H2643" i="1"/>
  <c r="J2643" i="1"/>
  <c r="A2644" i="1"/>
  <c r="G2644" i="1"/>
  <c r="H2644" i="1"/>
  <c r="J2644" i="1"/>
  <c r="A2645" i="1"/>
  <c r="G2645" i="1"/>
  <c r="H2645" i="1"/>
  <c r="J2645" i="1"/>
  <c r="A2646" i="1"/>
  <c r="G2646" i="1"/>
  <c r="H2646" i="1"/>
  <c r="J2646" i="1"/>
  <c r="A2647" i="1"/>
  <c r="G2647" i="1"/>
  <c r="H2647" i="1"/>
  <c r="J2647" i="1"/>
  <c r="A2648" i="1"/>
  <c r="G2648" i="1"/>
  <c r="H2648" i="1"/>
  <c r="J2648" i="1"/>
  <c r="A2649" i="1"/>
  <c r="G2649" i="1"/>
  <c r="H2649" i="1"/>
  <c r="J2649" i="1"/>
  <c r="A2650" i="1"/>
  <c r="G2650" i="1"/>
  <c r="H2650" i="1"/>
  <c r="J2650" i="1"/>
  <c r="A2651" i="1"/>
  <c r="G2651" i="1"/>
  <c r="H2651" i="1"/>
  <c r="J2651" i="1"/>
  <c r="A2652" i="1"/>
  <c r="G2652" i="1"/>
  <c r="H2652" i="1"/>
  <c r="J2652" i="1"/>
  <c r="A2653" i="1"/>
  <c r="G2653" i="1"/>
  <c r="H2653" i="1"/>
  <c r="J2653" i="1"/>
  <c r="A2654" i="1"/>
  <c r="G2654" i="1"/>
  <c r="H2654" i="1"/>
  <c r="J2654" i="1"/>
  <c r="A2655" i="1"/>
  <c r="G2655" i="1"/>
  <c r="H2655" i="1"/>
  <c r="J2655" i="1"/>
  <c r="A2656" i="1"/>
  <c r="G2656" i="1"/>
  <c r="H2656" i="1"/>
  <c r="J2656" i="1"/>
  <c r="A2657" i="1"/>
  <c r="G2657" i="1"/>
  <c r="H2657" i="1"/>
  <c r="J2657" i="1"/>
  <c r="A2658" i="1"/>
  <c r="G2658" i="1"/>
  <c r="H2658" i="1"/>
  <c r="J2658" i="1"/>
  <c r="A2659" i="1"/>
  <c r="G2659" i="1"/>
  <c r="H2659" i="1"/>
  <c r="J2659" i="1"/>
  <c r="A2660" i="1"/>
  <c r="G2660" i="1"/>
  <c r="H2660" i="1"/>
  <c r="J2660" i="1"/>
  <c r="A2661" i="1"/>
  <c r="G2661" i="1"/>
  <c r="H2661" i="1"/>
  <c r="J2661" i="1"/>
  <c r="A2662" i="1"/>
  <c r="G2662" i="1"/>
  <c r="H2662" i="1"/>
  <c r="J2662" i="1"/>
  <c r="A2663" i="1"/>
  <c r="G2663" i="1"/>
  <c r="H2663" i="1"/>
  <c r="J2663" i="1"/>
  <c r="A2664" i="1"/>
  <c r="G2664" i="1"/>
  <c r="H2664" i="1"/>
  <c r="J2664" i="1"/>
  <c r="A2665" i="1"/>
  <c r="G2665" i="1"/>
  <c r="H2665" i="1"/>
  <c r="J2665" i="1"/>
  <c r="A2666" i="1"/>
  <c r="G2666" i="1"/>
  <c r="H2666" i="1"/>
  <c r="J2666" i="1"/>
  <c r="A2667" i="1"/>
  <c r="G2667" i="1"/>
  <c r="H2667" i="1"/>
  <c r="J2667" i="1"/>
  <c r="A2668" i="1"/>
  <c r="G2668" i="1"/>
  <c r="H2668" i="1"/>
  <c r="J2668" i="1"/>
  <c r="A2669" i="1"/>
  <c r="G2669" i="1"/>
  <c r="H2669" i="1"/>
  <c r="J2669" i="1"/>
  <c r="A2670" i="1"/>
  <c r="G2670" i="1"/>
  <c r="H2670" i="1"/>
  <c r="J2670" i="1"/>
  <c r="A2671" i="1"/>
  <c r="G2671" i="1"/>
  <c r="H2671" i="1"/>
  <c r="J2671" i="1"/>
  <c r="A2672" i="1"/>
  <c r="G2672" i="1"/>
  <c r="H2672" i="1"/>
  <c r="J2672" i="1"/>
  <c r="A2673" i="1"/>
  <c r="G2673" i="1"/>
  <c r="H2673" i="1"/>
  <c r="J2673" i="1"/>
  <c r="A2674" i="1"/>
  <c r="G2674" i="1"/>
  <c r="H2674" i="1"/>
  <c r="J2674" i="1"/>
  <c r="A2675" i="1"/>
  <c r="G2675" i="1"/>
  <c r="H2675" i="1"/>
  <c r="J2675" i="1"/>
  <c r="A2676" i="1"/>
  <c r="G2676" i="1"/>
  <c r="H2676" i="1"/>
  <c r="J2676" i="1"/>
  <c r="A2677" i="1"/>
  <c r="G2677" i="1"/>
  <c r="H2677" i="1"/>
  <c r="J2677" i="1"/>
  <c r="A2678" i="1"/>
  <c r="G2678" i="1"/>
  <c r="H2678" i="1"/>
  <c r="J2678" i="1"/>
  <c r="A2679" i="1"/>
  <c r="G2679" i="1"/>
  <c r="H2679" i="1"/>
  <c r="J2679" i="1"/>
  <c r="A2680" i="1"/>
  <c r="G2680" i="1"/>
  <c r="H2680" i="1"/>
  <c r="J2680" i="1"/>
  <c r="A2681" i="1"/>
  <c r="G2681" i="1"/>
  <c r="H2681" i="1"/>
  <c r="J2681" i="1"/>
  <c r="A2682" i="1"/>
  <c r="G2682" i="1"/>
  <c r="H2682" i="1"/>
  <c r="J2682" i="1"/>
  <c r="A2683" i="1"/>
  <c r="G2683" i="1"/>
  <c r="H2683" i="1"/>
  <c r="J2683" i="1"/>
  <c r="A2684" i="1"/>
  <c r="G2684" i="1"/>
  <c r="H2684" i="1"/>
  <c r="J2684" i="1"/>
  <c r="A2685" i="1"/>
  <c r="G2685" i="1"/>
  <c r="H2685" i="1"/>
  <c r="J2685" i="1"/>
  <c r="A2686" i="1"/>
  <c r="G2686" i="1"/>
  <c r="H2686" i="1"/>
  <c r="J2686" i="1"/>
  <c r="A2687" i="1"/>
  <c r="G2687" i="1"/>
  <c r="H2687" i="1"/>
  <c r="J2687" i="1"/>
  <c r="A2688" i="1"/>
  <c r="G2688" i="1"/>
  <c r="H2688" i="1"/>
  <c r="J2688" i="1"/>
  <c r="A2689" i="1"/>
  <c r="G2689" i="1"/>
  <c r="H2689" i="1"/>
  <c r="J2689" i="1"/>
  <c r="A2690" i="1"/>
  <c r="G2690" i="1"/>
  <c r="H2690" i="1"/>
  <c r="J2690" i="1"/>
  <c r="A2691" i="1"/>
  <c r="G2691" i="1"/>
  <c r="H2691" i="1"/>
  <c r="J2691" i="1"/>
  <c r="A2692" i="1"/>
  <c r="G2692" i="1"/>
  <c r="H2692" i="1"/>
  <c r="J2692" i="1"/>
  <c r="A2693" i="1"/>
  <c r="G2693" i="1"/>
  <c r="H2693" i="1"/>
  <c r="J2693" i="1"/>
  <c r="A2694" i="1"/>
  <c r="G2694" i="1"/>
  <c r="H2694" i="1"/>
  <c r="J2694" i="1"/>
  <c r="A2695" i="1"/>
  <c r="G2695" i="1"/>
  <c r="H2695" i="1"/>
  <c r="J2695" i="1"/>
  <c r="A2696" i="1"/>
  <c r="G2696" i="1"/>
  <c r="H2696" i="1"/>
  <c r="J2696" i="1"/>
  <c r="A2697" i="1"/>
  <c r="G2697" i="1"/>
  <c r="H2697" i="1"/>
  <c r="J2697" i="1"/>
  <c r="A2698" i="1"/>
  <c r="G2698" i="1"/>
  <c r="H2698" i="1"/>
  <c r="J2698" i="1"/>
  <c r="A2699" i="1"/>
  <c r="G2699" i="1"/>
  <c r="H2699" i="1"/>
  <c r="J2699" i="1"/>
  <c r="A2700" i="1"/>
  <c r="G2700" i="1"/>
  <c r="H2700" i="1"/>
  <c r="J2700" i="1"/>
  <c r="A2701" i="1"/>
  <c r="G2701" i="1"/>
  <c r="H2701" i="1"/>
  <c r="J2701" i="1"/>
  <c r="A2702" i="1"/>
  <c r="G2702" i="1"/>
  <c r="H2702" i="1"/>
  <c r="J2702" i="1"/>
  <c r="A2703" i="1"/>
  <c r="G2703" i="1"/>
  <c r="H2703" i="1"/>
  <c r="J2703" i="1"/>
  <c r="A2704" i="1"/>
  <c r="G2704" i="1"/>
  <c r="H2704" i="1"/>
  <c r="J2704" i="1"/>
  <c r="A2705" i="1"/>
  <c r="G2705" i="1"/>
  <c r="H2705" i="1"/>
  <c r="J2705" i="1"/>
  <c r="A2706" i="1"/>
  <c r="G2706" i="1"/>
  <c r="H2706" i="1"/>
  <c r="J2706" i="1"/>
  <c r="A2707" i="1"/>
  <c r="G2707" i="1"/>
  <c r="H2707" i="1"/>
  <c r="J2707" i="1"/>
  <c r="A2708" i="1"/>
  <c r="G2708" i="1"/>
  <c r="H2708" i="1"/>
  <c r="J2708" i="1"/>
  <c r="A2709" i="1"/>
  <c r="G2709" i="1"/>
  <c r="H2709" i="1"/>
  <c r="J2709" i="1"/>
  <c r="A2710" i="1"/>
  <c r="G2710" i="1"/>
  <c r="H2710" i="1"/>
  <c r="J2710" i="1"/>
  <c r="A2711" i="1"/>
  <c r="G2711" i="1"/>
  <c r="H2711" i="1"/>
  <c r="J2711" i="1"/>
  <c r="A2712" i="1"/>
  <c r="G2712" i="1"/>
  <c r="H2712" i="1"/>
  <c r="J2712" i="1"/>
  <c r="A2713" i="1"/>
  <c r="G2713" i="1"/>
  <c r="H2713" i="1"/>
  <c r="J2713" i="1"/>
  <c r="A2714" i="1"/>
  <c r="G2714" i="1"/>
  <c r="H2714" i="1"/>
  <c r="J2714" i="1"/>
  <c r="A2715" i="1"/>
  <c r="G2715" i="1"/>
  <c r="H2715" i="1"/>
  <c r="J2715" i="1"/>
  <c r="A2716" i="1"/>
  <c r="G2716" i="1"/>
  <c r="H2716" i="1"/>
  <c r="J2716" i="1"/>
  <c r="A2717" i="1"/>
  <c r="G2717" i="1"/>
  <c r="H2717" i="1"/>
  <c r="J2717" i="1"/>
  <c r="A2718" i="1"/>
  <c r="G2718" i="1"/>
  <c r="H2718" i="1"/>
  <c r="J2718" i="1"/>
  <c r="A2719" i="1"/>
  <c r="G2719" i="1"/>
  <c r="H2719" i="1"/>
  <c r="J2719" i="1"/>
  <c r="A2720" i="1"/>
  <c r="G2720" i="1"/>
  <c r="H2720" i="1"/>
  <c r="J2720" i="1"/>
  <c r="A2721" i="1"/>
  <c r="G2721" i="1"/>
  <c r="H2721" i="1"/>
  <c r="J2721" i="1"/>
  <c r="A2722" i="1"/>
  <c r="G2722" i="1"/>
  <c r="H2722" i="1"/>
  <c r="J2722" i="1"/>
  <c r="A2723" i="1"/>
  <c r="G2723" i="1"/>
  <c r="H2723" i="1"/>
  <c r="J2723" i="1"/>
  <c r="A2724" i="1"/>
  <c r="G2724" i="1"/>
  <c r="H2724" i="1"/>
  <c r="J2724" i="1"/>
  <c r="A2725" i="1"/>
  <c r="G2725" i="1"/>
  <c r="H2725" i="1"/>
  <c r="J2725" i="1"/>
  <c r="A2726" i="1"/>
  <c r="G2726" i="1"/>
  <c r="H2726" i="1"/>
  <c r="J2726" i="1"/>
  <c r="A2727" i="1"/>
  <c r="G2727" i="1"/>
  <c r="H2727" i="1"/>
  <c r="J2727" i="1"/>
  <c r="A2728" i="1"/>
  <c r="G2728" i="1"/>
  <c r="H2728" i="1"/>
  <c r="J2728" i="1"/>
  <c r="A2729" i="1"/>
  <c r="G2729" i="1"/>
  <c r="H2729" i="1"/>
  <c r="J2729" i="1"/>
  <c r="A2730" i="1"/>
  <c r="G2730" i="1"/>
  <c r="H2730" i="1"/>
  <c r="J2730" i="1"/>
  <c r="A2731" i="1"/>
  <c r="G2731" i="1"/>
  <c r="H2731" i="1"/>
  <c r="J2731" i="1"/>
  <c r="A2732" i="1"/>
  <c r="G2732" i="1"/>
  <c r="H2732" i="1"/>
  <c r="J2732" i="1"/>
  <c r="A2733" i="1"/>
  <c r="G2733" i="1"/>
  <c r="H2733" i="1"/>
  <c r="J2733" i="1"/>
  <c r="A2734" i="1"/>
  <c r="G2734" i="1"/>
  <c r="H2734" i="1"/>
  <c r="J2734" i="1"/>
  <c r="A2735" i="1"/>
  <c r="G2735" i="1"/>
  <c r="H2735" i="1"/>
  <c r="J2735" i="1"/>
  <c r="A2736" i="1"/>
  <c r="G2736" i="1"/>
  <c r="H2736" i="1"/>
  <c r="J2736" i="1"/>
  <c r="A2737" i="1"/>
  <c r="G2737" i="1"/>
  <c r="H2737" i="1"/>
  <c r="J2737" i="1"/>
  <c r="A2738" i="1"/>
  <c r="G2738" i="1"/>
  <c r="H2738" i="1"/>
  <c r="J2738" i="1"/>
  <c r="A2739" i="1"/>
  <c r="G2739" i="1"/>
  <c r="H2739" i="1"/>
  <c r="J2739" i="1"/>
  <c r="A2740" i="1"/>
  <c r="G2740" i="1"/>
  <c r="H2740" i="1"/>
  <c r="J2740" i="1"/>
  <c r="A2741" i="1"/>
  <c r="G2741" i="1"/>
  <c r="H2741" i="1"/>
  <c r="J2741" i="1"/>
  <c r="A2742" i="1"/>
  <c r="G2742" i="1"/>
  <c r="H2742" i="1"/>
  <c r="J2742" i="1"/>
  <c r="A2743" i="1"/>
  <c r="G2743" i="1"/>
  <c r="H2743" i="1"/>
  <c r="J2743" i="1"/>
  <c r="A2744" i="1"/>
  <c r="G2744" i="1"/>
  <c r="H2744" i="1"/>
  <c r="J2744" i="1"/>
  <c r="A2745" i="1"/>
  <c r="G2745" i="1"/>
  <c r="H2745" i="1"/>
  <c r="J2745" i="1"/>
  <c r="A2746" i="1"/>
  <c r="G2746" i="1"/>
  <c r="H2746" i="1"/>
  <c r="J2746" i="1"/>
  <c r="A2747" i="1"/>
  <c r="G2747" i="1"/>
  <c r="H2747" i="1"/>
  <c r="J2747" i="1"/>
  <c r="A2748" i="1"/>
  <c r="G2748" i="1"/>
  <c r="H2748" i="1"/>
  <c r="J2748" i="1"/>
  <c r="A2749" i="1"/>
  <c r="G2749" i="1"/>
  <c r="H2749" i="1"/>
  <c r="J2749" i="1"/>
  <c r="A2750" i="1"/>
  <c r="G2750" i="1"/>
  <c r="H2750" i="1"/>
  <c r="J2750" i="1"/>
  <c r="A2751" i="1"/>
  <c r="G2751" i="1"/>
  <c r="H2751" i="1"/>
  <c r="J2751" i="1"/>
  <c r="A2752" i="1"/>
  <c r="G2752" i="1"/>
  <c r="H2752" i="1"/>
  <c r="J2752" i="1"/>
  <c r="A2753" i="1"/>
  <c r="G2753" i="1"/>
  <c r="H2753" i="1"/>
  <c r="J2753" i="1"/>
  <c r="A2754" i="1"/>
  <c r="G2754" i="1"/>
  <c r="H2754" i="1"/>
  <c r="J2754" i="1"/>
  <c r="A2755" i="1"/>
  <c r="G2755" i="1"/>
  <c r="H2755" i="1"/>
  <c r="J2755" i="1"/>
  <c r="A2756" i="1"/>
  <c r="G2756" i="1"/>
  <c r="H2756" i="1"/>
  <c r="J2756" i="1"/>
  <c r="A2757" i="1"/>
  <c r="G2757" i="1"/>
  <c r="H2757" i="1"/>
  <c r="J2757" i="1"/>
  <c r="A2758" i="1"/>
  <c r="G2758" i="1"/>
  <c r="H2758" i="1"/>
  <c r="J2758" i="1"/>
  <c r="A2759" i="1"/>
  <c r="G2759" i="1"/>
  <c r="H2759" i="1"/>
  <c r="J2759" i="1"/>
  <c r="A2760" i="1"/>
  <c r="G2760" i="1"/>
  <c r="H2760" i="1"/>
  <c r="J2760" i="1"/>
  <c r="A2761" i="1"/>
  <c r="G2761" i="1"/>
  <c r="H2761" i="1"/>
  <c r="J2761" i="1"/>
  <c r="A2762" i="1"/>
  <c r="G2762" i="1"/>
  <c r="H2762" i="1"/>
  <c r="J2762" i="1"/>
  <c r="A2763" i="1"/>
  <c r="G2763" i="1"/>
  <c r="H2763" i="1"/>
  <c r="J2763" i="1"/>
  <c r="A2764" i="1"/>
  <c r="G2764" i="1"/>
  <c r="H2764" i="1"/>
  <c r="J2764" i="1"/>
  <c r="A2765" i="1"/>
  <c r="G2765" i="1"/>
  <c r="H2765" i="1"/>
  <c r="J2765" i="1"/>
  <c r="A2766" i="1"/>
  <c r="G2766" i="1"/>
  <c r="H2766" i="1"/>
  <c r="J2766" i="1"/>
  <c r="A2767" i="1"/>
  <c r="G2767" i="1"/>
  <c r="H2767" i="1"/>
  <c r="J2767" i="1"/>
  <c r="A2768" i="1"/>
  <c r="G2768" i="1"/>
  <c r="H2768" i="1"/>
  <c r="J2768" i="1"/>
  <c r="A2769" i="1"/>
  <c r="G2769" i="1"/>
  <c r="H2769" i="1"/>
  <c r="J2769" i="1"/>
  <c r="A2770" i="1"/>
  <c r="G2770" i="1"/>
  <c r="H2770" i="1"/>
  <c r="J2770" i="1"/>
  <c r="A2771" i="1"/>
  <c r="G2771" i="1"/>
  <c r="H2771" i="1"/>
  <c r="J2771" i="1"/>
  <c r="A2772" i="1"/>
  <c r="G2772" i="1"/>
  <c r="H2772" i="1"/>
  <c r="J2772" i="1"/>
  <c r="A2773" i="1"/>
  <c r="G2773" i="1"/>
  <c r="H2773" i="1"/>
  <c r="J2773" i="1"/>
  <c r="A2774" i="1"/>
  <c r="G2774" i="1"/>
  <c r="H2774" i="1"/>
  <c r="J2774" i="1"/>
  <c r="A2775" i="1"/>
  <c r="G2775" i="1"/>
  <c r="H2775" i="1"/>
  <c r="J2775" i="1"/>
  <c r="A2776" i="1"/>
  <c r="G2776" i="1"/>
  <c r="H2776" i="1"/>
  <c r="J2776" i="1"/>
  <c r="A2777" i="1"/>
  <c r="G2777" i="1"/>
  <c r="H2777" i="1"/>
  <c r="J2777" i="1"/>
  <c r="A2778" i="1"/>
  <c r="G2778" i="1"/>
  <c r="H2778" i="1"/>
  <c r="J2778" i="1"/>
  <c r="A2779" i="1"/>
  <c r="G2779" i="1"/>
  <c r="H2779" i="1"/>
  <c r="J2779" i="1"/>
  <c r="A2780" i="1"/>
  <c r="G2780" i="1"/>
  <c r="H2780" i="1"/>
  <c r="J2780" i="1"/>
  <c r="A2781" i="1"/>
  <c r="G2781" i="1"/>
  <c r="H2781" i="1"/>
  <c r="J2781" i="1"/>
  <c r="A2782" i="1"/>
  <c r="G2782" i="1"/>
  <c r="H2782" i="1"/>
  <c r="J2782" i="1"/>
  <c r="A2783" i="1"/>
  <c r="G2783" i="1"/>
  <c r="H2783" i="1"/>
  <c r="J2783" i="1"/>
  <c r="A2784" i="1"/>
  <c r="G2784" i="1"/>
  <c r="H2784" i="1"/>
  <c r="J2784" i="1"/>
  <c r="A2785" i="1"/>
  <c r="G2785" i="1"/>
  <c r="H2785" i="1"/>
  <c r="J2785" i="1"/>
  <c r="A2786" i="1"/>
  <c r="G2786" i="1"/>
  <c r="H2786" i="1"/>
  <c r="J2786" i="1"/>
  <c r="A2787" i="1"/>
  <c r="G2787" i="1"/>
  <c r="H2787" i="1"/>
  <c r="J2787" i="1"/>
  <c r="A2788" i="1"/>
  <c r="G2788" i="1"/>
  <c r="H2788" i="1"/>
  <c r="J2788" i="1"/>
  <c r="A2789" i="1"/>
  <c r="G2789" i="1"/>
  <c r="H2789" i="1"/>
  <c r="J2789" i="1"/>
  <c r="A2790" i="1"/>
  <c r="G2790" i="1"/>
  <c r="H2790" i="1"/>
  <c r="J2790" i="1"/>
  <c r="A2791" i="1"/>
  <c r="G2791" i="1"/>
  <c r="H2791" i="1"/>
  <c r="J2791" i="1"/>
  <c r="A2792" i="1"/>
  <c r="G2792" i="1"/>
  <c r="H2792" i="1"/>
  <c r="J2792" i="1"/>
  <c r="A2793" i="1"/>
  <c r="G2793" i="1"/>
  <c r="H2793" i="1"/>
  <c r="J2793" i="1"/>
  <c r="A2794" i="1"/>
  <c r="G2794" i="1"/>
  <c r="H2794" i="1"/>
  <c r="J2794" i="1"/>
  <c r="A2795" i="1"/>
  <c r="G2795" i="1"/>
  <c r="H2795" i="1"/>
  <c r="J2795" i="1"/>
  <c r="A2796" i="1"/>
  <c r="G2796" i="1"/>
  <c r="H2796" i="1"/>
  <c r="J2796" i="1"/>
  <c r="A2797" i="1"/>
  <c r="G2797" i="1"/>
  <c r="H2797" i="1"/>
  <c r="J2797" i="1"/>
  <c r="A2798" i="1"/>
  <c r="G2798" i="1"/>
  <c r="H2798" i="1"/>
  <c r="J2798" i="1"/>
  <c r="A2799" i="1"/>
  <c r="G2799" i="1"/>
  <c r="H2799" i="1"/>
  <c r="J2799" i="1"/>
  <c r="A2800" i="1"/>
  <c r="G2800" i="1"/>
  <c r="H2800" i="1"/>
  <c r="J2800" i="1"/>
  <c r="A2801" i="1"/>
  <c r="G2801" i="1"/>
  <c r="H2801" i="1"/>
  <c r="J2801" i="1"/>
  <c r="A2802" i="1"/>
  <c r="G2802" i="1"/>
  <c r="H2802" i="1"/>
  <c r="J2802" i="1"/>
  <c r="A2803" i="1"/>
  <c r="G2803" i="1"/>
  <c r="H2803" i="1"/>
  <c r="J2803" i="1"/>
  <c r="A2804" i="1"/>
  <c r="G2804" i="1"/>
  <c r="H2804" i="1"/>
  <c r="J2804" i="1"/>
  <c r="A2805" i="1"/>
  <c r="G2805" i="1"/>
  <c r="H2805" i="1"/>
  <c r="J2805" i="1"/>
  <c r="A2806" i="1"/>
  <c r="G2806" i="1"/>
  <c r="H2806" i="1"/>
  <c r="J2806" i="1"/>
  <c r="A2807" i="1"/>
  <c r="G2807" i="1"/>
  <c r="H2807" i="1"/>
  <c r="J2807" i="1"/>
  <c r="A2808" i="1"/>
  <c r="G2808" i="1"/>
  <c r="H2808" i="1"/>
  <c r="J2808" i="1"/>
  <c r="A2809" i="1"/>
  <c r="G2809" i="1"/>
  <c r="H2809" i="1"/>
  <c r="J2809" i="1"/>
  <c r="A2810" i="1"/>
  <c r="G2810" i="1"/>
  <c r="H2810" i="1"/>
  <c r="J2810" i="1"/>
  <c r="A2811" i="1"/>
  <c r="G2811" i="1"/>
  <c r="H2811" i="1"/>
  <c r="J2811" i="1"/>
  <c r="A2812" i="1"/>
  <c r="G2812" i="1"/>
  <c r="H2812" i="1"/>
  <c r="J2812" i="1"/>
  <c r="A2813" i="1"/>
  <c r="G2813" i="1"/>
  <c r="H2813" i="1"/>
  <c r="J2813" i="1"/>
  <c r="A2814" i="1"/>
  <c r="G2814" i="1"/>
  <c r="H2814" i="1"/>
  <c r="J2814" i="1"/>
  <c r="A2815" i="1"/>
  <c r="G2815" i="1"/>
  <c r="H2815" i="1"/>
  <c r="J2815" i="1"/>
  <c r="A2816" i="1"/>
  <c r="G2816" i="1"/>
  <c r="H2816" i="1"/>
  <c r="J2816" i="1"/>
  <c r="A2817" i="1"/>
  <c r="G2817" i="1"/>
  <c r="H2817" i="1"/>
  <c r="J2817" i="1"/>
  <c r="A2818" i="1"/>
  <c r="G2818" i="1"/>
  <c r="H2818" i="1"/>
  <c r="J2818" i="1"/>
  <c r="A2819" i="1"/>
  <c r="G2819" i="1"/>
  <c r="H2819" i="1"/>
  <c r="J2819" i="1"/>
  <c r="A2820" i="1"/>
  <c r="G2820" i="1"/>
  <c r="H2820" i="1"/>
  <c r="J2820" i="1"/>
  <c r="A2821" i="1"/>
  <c r="G2821" i="1"/>
  <c r="H2821" i="1"/>
  <c r="J2821" i="1"/>
  <c r="A2822" i="1"/>
  <c r="G2822" i="1"/>
  <c r="H2822" i="1"/>
  <c r="J2822" i="1"/>
  <c r="A2823" i="1"/>
  <c r="G2823" i="1"/>
  <c r="H2823" i="1"/>
  <c r="J2823" i="1"/>
  <c r="A2824" i="1"/>
  <c r="G2824" i="1"/>
  <c r="H2824" i="1"/>
  <c r="J2824" i="1"/>
  <c r="A2825" i="1"/>
  <c r="G2825" i="1"/>
  <c r="H2825" i="1"/>
  <c r="J2825" i="1"/>
  <c r="A2826" i="1"/>
  <c r="G2826" i="1"/>
  <c r="H2826" i="1"/>
  <c r="J2826" i="1"/>
  <c r="A2827" i="1"/>
  <c r="G2827" i="1"/>
  <c r="H2827" i="1"/>
  <c r="J2827" i="1"/>
  <c r="A2828" i="1"/>
  <c r="G2828" i="1"/>
  <c r="H2828" i="1"/>
  <c r="J2828" i="1"/>
  <c r="A2829" i="1"/>
  <c r="G2829" i="1"/>
  <c r="H2829" i="1"/>
  <c r="J2829" i="1"/>
  <c r="A2830" i="1"/>
  <c r="G2830" i="1"/>
  <c r="H2830" i="1"/>
  <c r="J2830" i="1"/>
  <c r="A2831" i="1"/>
  <c r="G2831" i="1"/>
  <c r="H2831" i="1"/>
  <c r="J2831" i="1"/>
  <c r="A2832" i="1"/>
  <c r="G2832" i="1"/>
  <c r="H2832" i="1"/>
  <c r="J2832" i="1"/>
  <c r="A2833" i="1"/>
  <c r="G2833" i="1"/>
  <c r="H2833" i="1"/>
  <c r="J2833" i="1"/>
  <c r="A2834" i="1"/>
  <c r="G2834" i="1"/>
  <c r="H2834" i="1"/>
  <c r="J2834" i="1"/>
  <c r="A2835" i="1"/>
  <c r="G2835" i="1"/>
  <c r="H2835" i="1"/>
  <c r="J2835" i="1"/>
  <c r="A2836" i="1"/>
  <c r="G2836" i="1"/>
  <c r="H2836" i="1"/>
  <c r="J2836" i="1"/>
  <c r="A2837" i="1"/>
  <c r="G2837" i="1"/>
  <c r="H2837" i="1"/>
  <c r="J2837" i="1"/>
  <c r="A2838" i="1"/>
  <c r="G2838" i="1"/>
  <c r="H2838" i="1"/>
  <c r="J2838" i="1"/>
  <c r="A2839" i="1"/>
  <c r="G2839" i="1"/>
  <c r="H2839" i="1"/>
  <c r="J2839" i="1"/>
  <c r="A2840" i="1"/>
  <c r="G2840" i="1"/>
  <c r="H2840" i="1"/>
  <c r="J2840" i="1"/>
  <c r="A2841" i="1"/>
  <c r="G2841" i="1"/>
  <c r="H2841" i="1"/>
  <c r="J2841" i="1"/>
  <c r="A2842" i="1"/>
  <c r="G2842" i="1"/>
  <c r="H2842" i="1"/>
  <c r="J2842" i="1"/>
  <c r="A2843" i="1"/>
  <c r="G2843" i="1"/>
  <c r="H2843" i="1"/>
  <c r="J2843" i="1"/>
  <c r="A2844" i="1"/>
  <c r="G2844" i="1"/>
  <c r="H2844" i="1"/>
  <c r="J2844" i="1"/>
  <c r="A2845" i="1"/>
  <c r="G2845" i="1"/>
  <c r="H2845" i="1"/>
  <c r="J2845" i="1"/>
  <c r="A2846" i="1"/>
  <c r="G2846" i="1"/>
  <c r="H2846" i="1"/>
  <c r="J2846" i="1"/>
  <c r="A2847" i="1"/>
  <c r="G2847" i="1"/>
  <c r="H2847" i="1"/>
  <c r="J2847" i="1"/>
  <c r="A2848" i="1"/>
  <c r="G2848" i="1"/>
  <c r="H2848" i="1"/>
  <c r="J2848" i="1"/>
  <c r="A2849" i="1"/>
  <c r="G2849" i="1"/>
  <c r="H2849" i="1"/>
  <c r="J2849" i="1"/>
  <c r="A2850" i="1"/>
  <c r="G2850" i="1"/>
  <c r="H2850" i="1"/>
  <c r="J2850" i="1"/>
  <c r="A2851" i="1"/>
  <c r="G2851" i="1"/>
  <c r="H2851" i="1"/>
  <c r="J2851" i="1"/>
  <c r="A2852" i="1"/>
  <c r="G2852" i="1"/>
  <c r="H2852" i="1"/>
  <c r="J2852" i="1"/>
  <c r="A2853" i="1"/>
  <c r="G2853" i="1"/>
  <c r="H2853" i="1"/>
  <c r="J2853" i="1"/>
  <c r="A2854" i="1"/>
  <c r="G2854" i="1"/>
  <c r="H2854" i="1"/>
  <c r="J2854" i="1"/>
  <c r="A2855" i="1"/>
  <c r="G2855" i="1"/>
  <c r="H2855" i="1"/>
  <c r="J2855" i="1"/>
  <c r="A2856" i="1"/>
  <c r="G2856" i="1"/>
  <c r="H2856" i="1"/>
  <c r="J2856" i="1"/>
  <c r="A2857" i="1"/>
  <c r="G2857" i="1"/>
  <c r="H2857" i="1"/>
  <c r="J2857" i="1"/>
  <c r="A2858" i="1"/>
  <c r="G2858" i="1"/>
  <c r="H2858" i="1"/>
  <c r="J2858" i="1"/>
  <c r="A2859" i="1"/>
  <c r="G2859" i="1"/>
  <c r="H2859" i="1"/>
  <c r="J2859" i="1"/>
  <c r="A2860" i="1"/>
  <c r="G2860" i="1"/>
  <c r="H2860" i="1"/>
  <c r="J2860" i="1"/>
  <c r="A2861" i="1"/>
  <c r="G2861" i="1"/>
  <c r="H2861" i="1"/>
  <c r="J2861" i="1"/>
  <c r="A2862" i="1"/>
  <c r="G2862" i="1"/>
  <c r="H2862" i="1"/>
  <c r="J2862" i="1"/>
  <c r="A2863" i="1"/>
  <c r="G2863" i="1"/>
  <c r="H2863" i="1"/>
  <c r="J2863" i="1"/>
  <c r="A2864" i="1"/>
  <c r="G2864" i="1"/>
  <c r="H2864" i="1"/>
  <c r="J2864" i="1"/>
  <c r="A2865" i="1"/>
  <c r="G2865" i="1"/>
  <c r="H2865" i="1"/>
  <c r="J2865" i="1"/>
  <c r="A2866" i="1"/>
  <c r="G2866" i="1"/>
  <c r="H2866" i="1"/>
  <c r="J2866" i="1"/>
  <c r="A2867" i="1"/>
  <c r="G2867" i="1"/>
  <c r="H2867" i="1"/>
  <c r="J2867" i="1"/>
  <c r="A2868" i="1"/>
  <c r="G2868" i="1"/>
  <c r="H2868" i="1"/>
  <c r="J2868" i="1"/>
  <c r="A2869" i="1"/>
  <c r="G2869" i="1"/>
  <c r="H2869" i="1"/>
  <c r="J2869" i="1"/>
  <c r="A2870" i="1"/>
  <c r="G2870" i="1"/>
  <c r="H2870" i="1"/>
  <c r="J2870" i="1"/>
  <c r="A2871" i="1"/>
  <c r="G2871" i="1"/>
  <c r="H2871" i="1"/>
  <c r="J2871" i="1"/>
  <c r="A2872" i="1"/>
  <c r="G2872" i="1"/>
  <c r="H2872" i="1"/>
  <c r="J2872" i="1"/>
  <c r="A2873" i="1"/>
  <c r="G2873" i="1"/>
  <c r="H2873" i="1"/>
  <c r="J2873" i="1"/>
  <c r="A2874" i="1"/>
  <c r="G2874" i="1"/>
  <c r="H2874" i="1"/>
  <c r="J2874" i="1"/>
  <c r="A2875" i="1"/>
  <c r="G2875" i="1"/>
  <c r="H2875" i="1"/>
  <c r="J2875" i="1"/>
  <c r="A2876" i="1"/>
  <c r="G2876" i="1"/>
  <c r="H2876" i="1"/>
  <c r="J2876" i="1"/>
  <c r="A2877" i="1"/>
  <c r="G2877" i="1"/>
  <c r="H2877" i="1"/>
  <c r="J2877" i="1"/>
  <c r="A2878" i="1"/>
  <c r="G2878" i="1"/>
  <c r="H2878" i="1"/>
  <c r="J2878" i="1"/>
  <c r="A2879" i="1"/>
  <c r="G2879" i="1"/>
  <c r="H2879" i="1"/>
  <c r="J2879" i="1"/>
  <c r="A2880" i="1"/>
  <c r="G2880" i="1"/>
  <c r="H2880" i="1"/>
  <c r="J2880" i="1"/>
  <c r="A2881" i="1"/>
  <c r="G2881" i="1"/>
  <c r="H2881" i="1"/>
  <c r="J2881" i="1"/>
  <c r="A2882" i="1"/>
  <c r="G2882" i="1"/>
  <c r="H2882" i="1"/>
  <c r="J2882" i="1"/>
  <c r="A2883" i="1"/>
  <c r="G2883" i="1"/>
  <c r="H2883" i="1"/>
  <c r="J2883" i="1"/>
  <c r="A2884" i="1"/>
  <c r="G2884" i="1"/>
  <c r="H2884" i="1"/>
  <c r="J2884" i="1"/>
  <c r="A2885" i="1"/>
  <c r="G2885" i="1"/>
  <c r="H2885" i="1"/>
  <c r="J2885" i="1"/>
  <c r="A2886" i="1"/>
  <c r="G2886" i="1"/>
  <c r="H2886" i="1"/>
  <c r="J2886" i="1"/>
  <c r="A2887" i="1"/>
  <c r="G2887" i="1"/>
  <c r="H2887" i="1"/>
  <c r="J2887" i="1"/>
  <c r="A2888" i="1"/>
  <c r="G2888" i="1"/>
  <c r="H2888" i="1"/>
  <c r="J2888" i="1"/>
  <c r="A2889" i="1"/>
  <c r="G2889" i="1"/>
  <c r="H2889" i="1"/>
  <c r="J2889" i="1"/>
  <c r="A2890" i="1"/>
  <c r="G2890" i="1"/>
  <c r="H2890" i="1"/>
  <c r="J2890" i="1"/>
  <c r="A2891" i="1"/>
  <c r="G2891" i="1"/>
  <c r="H2891" i="1"/>
  <c r="J2891" i="1"/>
  <c r="A2892" i="1"/>
  <c r="G2892" i="1"/>
  <c r="H2892" i="1"/>
  <c r="J2892" i="1"/>
  <c r="A2893" i="1"/>
  <c r="G2893" i="1"/>
  <c r="H2893" i="1"/>
  <c r="J2893" i="1"/>
  <c r="A2894" i="1"/>
  <c r="G2894" i="1"/>
  <c r="H2894" i="1"/>
  <c r="J2894" i="1"/>
  <c r="A2895" i="1"/>
  <c r="G2895" i="1"/>
  <c r="H2895" i="1"/>
  <c r="J2895" i="1"/>
  <c r="A2896" i="1"/>
  <c r="G2896" i="1"/>
  <c r="H2896" i="1"/>
  <c r="J2896" i="1"/>
  <c r="A2897" i="1"/>
  <c r="G2897" i="1"/>
  <c r="H2897" i="1"/>
  <c r="J2897" i="1"/>
  <c r="A2898" i="1"/>
  <c r="G2898" i="1"/>
  <c r="H2898" i="1"/>
  <c r="J2898" i="1"/>
  <c r="A2899" i="1"/>
  <c r="G2899" i="1"/>
  <c r="H2899" i="1"/>
  <c r="J2899" i="1"/>
  <c r="A2900" i="1"/>
  <c r="G2900" i="1"/>
  <c r="H2900" i="1"/>
  <c r="J2900" i="1"/>
  <c r="A2901" i="1"/>
  <c r="G2901" i="1"/>
  <c r="H2901" i="1"/>
  <c r="J2901" i="1"/>
  <c r="A2902" i="1"/>
  <c r="G2902" i="1"/>
  <c r="H2902" i="1"/>
  <c r="J2902" i="1"/>
  <c r="A2903" i="1"/>
  <c r="G2903" i="1"/>
  <c r="H2903" i="1"/>
  <c r="J2903" i="1"/>
  <c r="A2904" i="1"/>
  <c r="G2904" i="1"/>
  <c r="H2904" i="1"/>
  <c r="J2904" i="1"/>
  <c r="A2905" i="1"/>
  <c r="G2905" i="1"/>
  <c r="H2905" i="1"/>
  <c r="J2905" i="1"/>
  <c r="A2906" i="1"/>
  <c r="G2906" i="1"/>
  <c r="H2906" i="1"/>
  <c r="J2906" i="1"/>
  <c r="A2907" i="1"/>
  <c r="G2907" i="1"/>
  <c r="H2907" i="1"/>
  <c r="J2907" i="1"/>
  <c r="A2908" i="1"/>
  <c r="G2908" i="1"/>
  <c r="H2908" i="1"/>
  <c r="J2908" i="1"/>
  <c r="A2909" i="1"/>
  <c r="G2909" i="1"/>
  <c r="H2909" i="1"/>
  <c r="J2909" i="1"/>
  <c r="A2910" i="1"/>
  <c r="G2910" i="1"/>
  <c r="H2910" i="1"/>
  <c r="J2910" i="1"/>
  <c r="A2911" i="1"/>
  <c r="G2911" i="1"/>
  <c r="H2911" i="1"/>
  <c r="J2911" i="1"/>
  <c r="A2912" i="1"/>
  <c r="G2912" i="1"/>
  <c r="H2912" i="1"/>
  <c r="J2912" i="1"/>
  <c r="A2913" i="1"/>
  <c r="G2913" i="1"/>
  <c r="H2913" i="1"/>
  <c r="J2913" i="1"/>
  <c r="A2914" i="1"/>
  <c r="G2914" i="1"/>
  <c r="H2914" i="1"/>
  <c r="J2914" i="1"/>
  <c r="A2915" i="1"/>
  <c r="G2915" i="1"/>
  <c r="H2915" i="1"/>
  <c r="J2915" i="1"/>
  <c r="A2916" i="1"/>
  <c r="G2916" i="1"/>
  <c r="H2916" i="1"/>
  <c r="J2916" i="1"/>
  <c r="A2917" i="1"/>
  <c r="G2917" i="1"/>
  <c r="H2917" i="1"/>
  <c r="J2917" i="1"/>
  <c r="A2918" i="1"/>
  <c r="G2918" i="1"/>
  <c r="H2918" i="1"/>
  <c r="J2918" i="1"/>
  <c r="A2919" i="1"/>
  <c r="G2919" i="1"/>
  <c r="H2919" i="1"/>
  <c r="J2919" i="1"/>
  <c r="A2920" i="1"/>
  <c r="G2920" i="1"/>
  <c r="H2920" i="1"/>
  <c r="J2920" i="1"/>
  <c r="A2921" i="1"/>
  <c r="G2921" i="1"/>
  <c r="H2921" i="1"/>
  <c r="J2921" i="1"/>
  <c r="A2922" i="1"/>
  <c r="G2922" i="1"/>
  <c r="H2922" i="1"/>
  <c r="J2922" i="1"/>
  <c r="A2923" i="1"/>
  <c r="G2923" i="1"/>
  <c r="H2923" i="1"/>
  <c r="J2923" i="1"/>
  <c r="A2924" i="1"/>
  <c r="G2924" i="1"/>
  <c r="H2924" i="1"/>
  <c r="J2924" i="1"/>
  <c r="A2925" i="1"/>
  <c r="G2925" i="1"/>
  <c r="H2925" i="1"/>
  <c r="J2925" i="1"/>
  <c r="A2926" i="1"/>
  <c r="G2926" i="1"/>
  <c r="H2926" i="1"/>
  <c r="J2926" i="1"/>
  <c r="A2927" i="1"/>
  <c r="G2927" i="1"/>
  <c r="H2927" i="1"/>
  <c r="J2927" i="1"/>
  <c r="A2928" i="1"/>
  <c r="G2928" i="1"/>
  <c r="H2928" i="1"/>
  <c r="J2928" i="1"/>
  <c r="A2929" i="1"/>
  <c r="G2929" i="1"/>
  <c r="H2929" i="1"/>
  <c r="J2929" i="1"/>
  <c r="A2930" i="1"/>
  <c r="G2930" i="1"/>
  <c r="H2930" i="1"/>
  <c r="J2930" i="1"/>
  <c r="A2931" i="1"/>
  <c r="G2931" i="1"/>
  <c r="H2931" i="1"/>
  <c r="J2931" i="1"/>
  <c r="A2932" i="1"/>
  <c r="G2932" i="1"/>
  <c r="H2932" i="1"/>
  <c r="J2932" i="1"/>
  <c r="A2933" i="1"/>
  <c r="G2933" i="1"/>
  <c r="H2933" i="1"/>
  <c r="J2933" i="1"/>
  <c r="A2934" i="1"/>
  <c r="G2934" i="1"/>
  <c r="H2934" i="1"/>
  <c r="J2934" i="1"/>
  <c r="A2935" i="1"/>
  <c r="G2935" i="1"/>
  <c r="H2935" i="1"/>
  <c r="J2935" i="1"/>
  <c r="A2936" i="1"/>
  <c r="G2936" i="1"/>
  <c r="H2936" i="1"/>
  <c r="J2936" i="1"/>
  <c r="A2937" i="1"/>
  <c r="G2937" i="1"/>
  <c r="H2937" i="1"/>
  <c r="J2937" i="1"/>
  <c r="A2938" i="1"/>
  <c r="G2938" i="1"/>
  <c r="H2938" i="1"/>
  <c r="J2938" i="1"/>
  <c r="A2939" i="1"/>
  <c r="G2939" i="1"/>
  <c r="H2939" i="1"/>
  <c r="J2939" i="1"/>
  <c r="A2940" i="1"/>
  <c r="G2940" i="1"/>
  <c r="H2940" i="1"/>
  <c r="J2940" i="1"/>
  <c r="A2941" i="1"/>
  <c r="G2941" i="1"/>
  <c r="H2941" i="1"/>
  <c r="A2942" i="1"/>
  <c r="G2942" i="1"/>
  <c r="H2942" i="1"/>
  <c r="J2942" i="1"/>
  <c r="A2943" i="1"/>
  <c r="G2943" i="1"/>
  <c r="H2943" i="1"/>
  <c r="J2943" i="1"/>
  <c r="A2944" i="1"/>
  <c r="G2944" i="1"/>
  <c r="H2944" i="1"/>
  <c r="J2944" i="1"/>
  <c r="A2945" i="1"/>
  <c r="G2945" i="1"/>
  <c r="H2945" i="1"/>
  <c r="J2945" i="1"/>
  <c r="A2946" i="1"/>
  <c r="G2946" i="1"/>
  <c r="H2946" i="1"/>
  <c r="J2946" i="1"/>
  <c r="A2947" i="1"/>
  <c r="G2947" i="1"/>
  <c r="H2947" i="1"/>
  <c r="J2947" i="1"/>
  <c r="A2948" i="1"/>
  <c r="G2948" i="1"/>
  <c r="H2948" i="1"/>
  <c r="J2948" i="1"/>
  <c r="A2949" i="1"/>
  <c r="G2949" i="1"/>
  <c r="H2949" i="1"/>
  <c r="J2949" i="1"/>
  <c r="A2950" i="1"/>
  <c r="G2950" i="1"/>
  <c r="H2950" i="1"/>
  <c r="J2950" i="1"/>
  <c r="A2951" i="1"/>
  <c r="G2951" i="1"/>
  <c r="H2951" i="1"/>
  <c r="J2951" i="1"/>
  <c r="A2952" i="1"/>
  <c r="G2952" i="1"/>
  <c r="H2952" i="1"/>
  <c r="J2952" i="1"/>
  <c r="A2953" i="1"/>
  <c r="G2953" i="1"/>
  <c r="H2953" i="1"/>
  <c r="J2953" i="1"/>
  <c r="A2954" i="1"/>
  <c r="G2954" i="1"/>
  <c r="H2954" i="1"/>
  <c r="J2954" i="1"/>
  <c r="A2955" i="1"/>
  <c r="G2955" i="1"/>
  <c r="H2955" i="1"/>
  <c r="J2955" i="1"/>
  <c r="A2956" i="1"/>
  <c r="G2956" i="1"/>
  <c r="H2956" i="1"/>
  <c r="J2956" i="1"/>
  <c r="A2957" i="1"/>
  <c r="G2957" i="1"/>
  <c r="H2957" i="1"/>
  <c r="J2957" i="1"/>
  <c r="A2958" i="1"/>
  <c r="G2958" i="1"/>
  <c r="H2958" i="1"/>
  <c r="J2958" i="1"/>
  <c r="A2959" i="1"/>
  <c r="G2959" i="1"/>
  <c r="H2959" i="1"/>
  <c r="J2959" i="1"/>
  <c r="A2960" i="1"/>
  <c r="G2960" i="1"/>
  <c r="H2960" i="1"/>
  <c r="J2960" i="1"/>
  <c r="A2961" i="1"/>
  <c r="G2961" i="1"/>
  <c r="H2961" i="1"/>
  <c r="J2961" i="1"/>
  <c r="A2962" i="1"/>
  <c r="G2962" i="1"/>
  <c r="H2962" i="1"/>
  <c r="J2962" i="1"/>
  <c r="A2963" i="1"/>
  <c r="G2963" i="1"/>
  <c r="H2963" i="1"/>
  <c r="J2963" i="1"/>
  <c r="A2964" i="1"/>
  <c r="G2964" i="1"/>
  <c r="H2964" i="1"/>
  <c r="J2964" i="1"/>
  <c r="A2965" i="1"/>
  <c r="G2965" i="1"/>
  <c r="H2965" i="1"/>
  <c r="J2965" i="1"/>
  <c r="A2966" i="1"/>
  <c r="G2966" i="1"/>
  <c r="H2966" i="1"/>
  <c r="J2966" i="1"/>
  <c r="A2967" i="1"/>
  <c r="G2967" i="1"/>
  <c r="H2967" i="1"/>
  <c r="J2967" i="1"/>
  <c r="A2968" i="1"/>
  <c r="G2968" i="1"/>
  <c r="H2968" i="1"/>
  <c r="J2968" i="1"/>
  <c r="A2969" i="1"/>
  <c r="G2969" i="1"/>
  <c r="H2969" i="1"/>
  <c r="J2969" i="1"/>
  <c r="A2970" i="1"/>
  <c r="G2970" i="1"/>
  <c r="H2970" i="1"/>
  <c r="J2970" i="1"/>
  <c r="A2971" i="1"/>
  <c r="G2971" i="1"/>
  <c r="H2971" i="1"/>
  <c r="J2971" i="1"/>
  <c r="A2972" i="1"/>
  <c r="G2972" i="1"/>
  <c r="H2972" i="1"/>
  <c r="J2972" i="1"/>
  <c r="A2973" i="1"/>
  <c r="G2973" i="1"/>
  <c r="H2973" i="1"/>
  <c r="J2973" i="1"/>
  <c r="A2974" i="1"/>
  <c r="G2974" i="1"/>
  <c r="H2974" i="1"/>
  <c r="J2974" i="1"/>
  <c r="A2975" i="1"/>
  <c r="G2975" i="1"/>
  <c r="H2975" i="1"/>
  <c r="J2975" i="1"/>
  <c r="A2976" i="1"/>
  <c r="G2976" i="1"/>
  <c r="H2976" i="1"/>
  <c r="J2976" i="1"/>
  <c r="A2977" i="1"/>
  <c r="G2977" i="1"/>
  <c r="H2977" i="1"/>
  <c r="J2977" i="1"/>
  <c r="A2978" i="1"/>
  <c r="G2978" i="1"/>
  <c r="H2978" i="1"/>
  <c r="J2978" i="1"/>
  <c r="A2979" i="1"/>
  <c r="G2979" i="1"/>
  <c r="H2979" i="1"/>
  <c r="J2979" i="1"/>
  <c r="A2980" i="1"/>
  <c r="G2980" i="1"/>
  <c r="H2980" i="1"/>
  <c r="J2980" i="1"/>
  <c r="A2981" i="1"/>
  <c r="G2981" i="1"/>
  <c r="H2981" i="1"/>
  <c r="J2981" i="1"/>
  <c r="A2982" i="1"/>
  <c r="G2982" i="1"/>
  <c r="H2982" i="1"/>
  <c r="J2982" i="1"/>
  <c r="A2983" i="1"/>
  <c r="G2983" i="1"/>
  <c r="H2983" i="1"/>
  <c r="J2983" i="1"/>
  <c r="A2984" i="1"/>
  <c r="G2984" i="1"/>
  <c r="H2984" i="1"/>
  <c r="J2984" i="1"/>
  <c r="A2985" i="1"/>
  <c r="G2985" i="1"/>
  <c r="H2985" i="1"/>
  <c r="J2985" i="1"/>
  <c r="A2986" i="1"/>
  <c r="G2986" i="1"/>
  <c r="H2986" i="1"/>
  <c r="J2986" i="1"/>
  <c r="A2987" i="1"/>
  <c r="G2987" i="1"/>
  <c r="H2987" i="1"/>
  <c r="J2987" i="1"/>
  <c r="A2988" i="1"/>
  <c r="G2988" i="1"/>
  <c r="H2988" i="1"/>
  <c r="J2988" i="1"/>
  <c r="A2989" i="1"/>
  <c r="G2989" i="1"/>
  <c r="H2989" i="1"/>
  <c r="J2989" i="1"/>
  <c r="A2990" i="1"/>
  <c r="G2990" i="1"/>
  <c r="H2990" i="1"/>
  <c r="J2990" i="1"/>
  <c r="A2991" i="1"/>
  <c r="G2991" i="1"/>
  <c r="H2991" i="1"/>
  <c r="J2991" i="1"/>
  <c r="A2992" i="1"/>
  <c r="G2992" i="1"/>
  <c r="H2992" i="1"/>
  <c r="J2992" i="1"/>
  <c r="A2993" i="1"/>
  <c r="G2993" i="1"/>
  <c r="H2993" i="1"/>
  <c r="J2993" i="1"/>
  <c r="A2994" i="1"/>
  <c r="G2994" i="1"/>
  <c r="H2994" i="1"/>
  <c r="J2994" i="1"/>
  <c r="A2995" i="1"/>
  <c r="G2995" i="1"/>
  <c r="H2995" i="1"/>
  <c r="J2995" i="1"/>
</calcChain>
</file>

<file path=xl/sharedStrings.xml><?xml version="1.0" encoding="utf-8"?>
<sst xmlns="http://schemas.openxmlformats.org/spreadsheetml/2006/main" count="1389" uniqueCount="563">
  <si>
    <t xml:space="preserve">Vendor # </t>
  </si>
  <si>
    <t>Name</t>
  </si>
  <si>
    <t>Check #</t>
  </si>
  <si>
    <t>Check Amount</t>
  </si>
  <si>
    <t>Check Date</t>
  </si>
  <si>
    <t>Check Type</t>
  </si>
  <si>
    <t>Invoice ID</t>
  </si>
  <si>
    <t>Invoice Desc</t>
  </si>
  <si>
    <t>Invoice Payment</t>
  </si>
  <si>
    <t>GL Description</t>
  </si>
  <si>
    <t>ALLSHRED INC</t>
  </si>
  <si>
    <t>REGULAR</t>
  </si>
  <si>
    <t>ARNOLD OIL COMPANY OF AUSTIN LP</t>
  </si>
  <si>
    <t>TIMOTHY HALL</t>
  </si>
  <si>
    <t>ABLE ELECTRIC  INC.</t>
  </si>
  <si>
    <t>ABREO &amp; CARTER</t>
  </si>
  <si>
    <t>ABS RECYCLING</t>
  </si>
  <si>
    <t>="15</t>
  </si>
  <si>
    <t>119"</t>
  </si>
  <si>
    <t>ACE MART RESTAURANT SUPPLY</t>
  </si>
  <si>
    <t>ADAM ROWINS</t>
  </si>
  <si>
    <t>ADENA LEWIS</t>
  </si>
  <si>
    <t>MBR INC</t>
  </si>
  <si>
    <t>AIA CORPORATION</t>
  </si>
  <si>
    <t>ALAMO  GROUP (TX)  INC</t>
  </si>
  <si>
    <t>ALBERT NEAL PFEIFFER</t>
  </si>
  <si>
    <t>S &amp; D PLUMBING-GIDDINGS LLC</t>
  </si>
  <si>
    <t>AMERICAN ASSN OF NOTARIES</t>
  </si>
  <si>
    <t>AMERICAN TIRE DISTRIBUTORS INC</t>
  </si>
  <si>
    <t>AMERISOURCEBERGEN</t>
  </si>
  <si>
    <t>ANDERSON &amp; ANDERSON LAW FIRM PC</t>
  </si>
  <si>
    <t>C APPLEMAN ENT INC</t>
  </si>
  <si>
    <t>APRIL KUCK</t>
  </si>
  <si>
    <t>AQUA BEVERAGE COMPANY/OZARKA</t>
  </si>
  <si>
    <t>AQUA WATER SUPPLY</t>
  </si>
  <si>
    <t>DRAFT</t>
  </si>
  <si>
    <t>AT &amp; T</t>
  </si>
  <si>
    <t>AT&amp;T</t>
  </si>
  <si>
    <t>AT&amp;T MOBILITY</t>
  </si>
  <si>
    <t>GRAND JUNCTION NEWSPAPERS  INC</t>
  </si>
  <si>
    <t>AUSTIN PUMP &amp; SUPPLY CO</t>
  </si>
  <si>
    <t>="REPAIR 2" PRV INV545038"</t>
  </si>
  <si>
    <t>AUSTIN RADIOLOGICAL ASSOC</t>
  </si>
  <si>
    <t>JIM ATTRA INC</t>
  </si>
  <si>
    <t>BALCONES DERMATOLOGY ASSOC.</t>
  </si>
  <si>
    <t>EDUARDO BARRIENTOS</t>
  </si>
  <si>
    <t>BASTROP AIR CONDITIONING &amp; HEATING</t>
  </si>
  <si>
    <t>BASTROP CNTY SHERIFF'S DEPT</t>
  </si>
  <si>
    <t>="11</t>
  </si>
  <si>
    <t>084"</t>
  </si>
  <si>
    <t>465 4/28/17"</t>
  </si>
  <si>
    <t>="12</t>
  </si>
  <si>
    <t>554"</t>
  </si>
  <si>
    <t>630"</t>
  </si>
  <si>
    <t>DANIEL L HEPKER</t>
  </si>
  <si>
    <t>BASTROP COUNTY PROBATION DEPT</t>
  </si>
  <si>
    <t>BASTROP INDEPENDENT SCHOOL DISTRICT</t>
  </si>
  <si>
    <t>BASTROP MEDICAL CLINIC</t>
  </si>
  <si>
    <t>BASTROP OUTDOOR</t>
  </si>
  <si>
    <t>BASTROP PROVIDENCE FUNERAL HOME</t>
  </si>
  <si>
    <t>BASTROP SIGNS &amp; BANNERS</t>
  </si>
  <si>
    <t>DAVID H OUTON</t>
  </si>
  <si>
    <t>BEN E KEITH CO.</t>
  </si>
  <si>
    <t>BENJAMIN FOODS  LLC</t>
  </si>
  <si>
    <t>MULTI SERVICE CORP</t>
  </si>
  <si>
    <t>BEXAR COUNTY SHERIFF</t>
  </si>
  <si>
    <t>BICKERSTAFF HEATH DELGADO ACOSTA LL</t>
  </si>
  <si>
    <t>BIG WRENCH ROAD SERVICE INC</t>
  </si>
  <si>
    <t>MAURINE MC LEAN</t>
  </si>
  <si>
    <t>BIMBO FOODS INC</t>
  </si>
  <si>
    <t>BLAS J COY JR</t>
  </si>
  <si>
    <t>BLUEBONNET AREA CRIME STOPPERS PROGRAM</t>
  </si>
  <si>
    <t>BLUEBONNET ELECTRIC COOP</t>
  </si>
  <si>
    <t>BLUEBONNET ELECTRIC</t>
  </si>
  <si>
    <t>915"</t>
  </si>
  <si>
    <t>BLUEBONNET TRAILS MHMR</t>
  </si>
  <si>
    <t>BOB BARKER COMPANY  INC.</t>
  </si>
  <si>
    <t>BOBBY BROWN</t>
  </si>
  <si>
    <t>BOTACH INC.</t>
  </si>
  <si>
    <t>BROOKS-JEFFREY MARKETING  INC.</t>
  </si>
  <si>
    <t>BUCKEYE INTERNATIONAL INC</t>
  </si>
  <si>
    <t>BUREAU OF VITAL STATISTICS</t>
  </si>
  <si>
    <t>CAPCOG</t>
  </si>
  <si>
    <t>CAPITAL AREA COUNCIL OF GOVERNMENTS</t>
  </si>
  <si>
    <t>VOID CHECK</t>
  </si>
  <si>
    <t>OTHER</t>
  </si>
  <si>
    <t>MARION G &amp; LINDA K RAINS</t>
  </si>
  <si>
    <t>CAPITOL BEARING OF AUSTIN</t>
  </si>
  <si>
    <t>DAVID &amp; SUSAN MC ADAMS</t>
  </si>
  <si>
    <t>TIB-THE INDEPENDENT BANKERS BANK</t>
  </si>
  <si>
    <t>CDCAT</t>
  </si>
  <si>
    <t>CDW GOVERNMENT INC</t>
  </si>
  <si>
    <t>NON-CHECK</t>
  </si>
  <si>
    <t>CEN-TEX MARINE FABRICATORS INC</t>
  </si>
  <si>
    <t>CENTERPOINT ENERGY</t>
  </si>
  <si>
    <t>CENTEX MATERIALS LLC</t>
  </si>
  <si>
    <t>CENTEX MECHANICAL INC</t>
  </si>
  <si>
    <t>CHARLES W CARVER</t>
  </si>
  <si>
    <t>CHARM-TEX</t>
  </si>
  <si>
    <t>ROBERT J SALDIVAR</t>
  </si>
  <si>
    <t>CHRIS MATT DILLON</t>
  </si>
  <si>
    <t>CHRISTINA BLUE</t>
  </si>
  <si>
    <t>CHRISTINE P FILES</t>
  </si>
  <si>
    <t>CINDYE WOLFORD</t>
  </si>
  <si>
    <t>CINTAS</t>
  </si>
  <si>
    <t>CINTAS CORPORATION</t>
  </si>
  <si>
    <t>CINTAS CORPORATION #86</t>
  </si>
  <si>
    <t>CITY OF BASTROP</t>
  </si>
  <si>
    <t>CITY OF ELGIN</t>
  </si>
  <si>
    <t>CITY OF SMITHVILLE</t>
  </si>
  <si>
    <t>CLARA BECKETT</t>
  </si>
  <si>
    <t>CLINICAL PATHOLOGY LABORATORIES INC</t>
  </si>
  <si>
    <t>CNA SURETY</t>
  </si>
  <si>
    <t>COMMERCIAL ELECTRONICS CORP</t>
  </si>
  <si>
    <t>CONNIE CAMERON RABEL</t>
  </si>
  <si>
    <t>CONTECH ENGINEERED SOLUTIONS INC</t>
  </si>
  <si>
    <t>CONVERGENCE CABLING INC</t>
  </si>
  <si>
    <t>OSCAR MENDEZ ARTEAGA</t>
  </si>
  <si>
    <t>COUFAL-PRATER EQUIPMENT LTD</t>
  </si>
  <si>
    <t>CROSSROADS ANIMAL HOSPITAL</t>
  </si>
  <si>
    <t>CRYSTAL DEAR</t>
  </si>
  <si>
    <t>CUSTOM PRODUCTS CORPORATION</t>
  </si>
  <si>
    <t>DAHILL INDUSTRIES  INC</t>
  </si>
  <si>
    <t>DALLAS COUNTY CONSTABLE PCT 1</t>
  </si>
  <si>
    <t>="10</t>
  </si>
  <si>
    <t>699"</t>
  </si>
  <si>
    <t>DANIEL GUTIERREZ</t>
  </si>
  <si>
    <t>DANNY WOFFORD</t>
  </si>
  <si>
    <t>DATA PROJECTIONS  INC.</t>
  </si>
  <si>
    <t>DAVID B BROOKS</t>
  </si>
  <si>
    <t>DAVID M COLLINS</t>
  </si>
  <si>
    <t>DAVID MICHAEL RYAN</t>
  </si>
  <si>
    <t>DELL</t>
  </si>
  <si>
    <t>DELL FINANCIAL SERVICES LLC</t>
  </si>
  <si>
    <t>DENTRUST DENTAL TX PC</t>
  </si>
  <si>
    <t>DICKENS LOCKSMITH INC</t>
  </si>
  <si>
    <t>DISCOUNT DOOR &amp; METAL  LLC</t>
  </si>
  <si>
    <t>DOLLAR GENERAL</t>
  </si>
  <si>
    <t>442"</t>
  </si>
  <si>
    <t>442 6/1/17"</t>
  </si>
  <si>
    <t>DONNIE STARK</t>
  </si>
  <si>
    <t>DOUBLE TUFF TRUCK TARPS INC</t>
  </si>
  <si>
    <t>DUNNE &amp; JUAREZ L.L.C.</t>
  </si>
  <si>
    <t>ECOLAB INC</t>
  </si>
  <si>
    <t>ELGIN FUNERAL HOME</t>
  </si>
  <si>
    <t>RALPH DAVID GLASS</t>
  </si>
  <si>
    <t>ELLIOTT ELECTRIC SUPPLY INC</t>
  </si>
  <si>
    <t>ERGON ASPHALT &amp; EMULSIONS INC</t>
  </si>
  <si>
    <t>ERNEST E HOWERTON JR MD</t>
  </si>
  <si>
    <t>ADVANTAGE WAYPOINT LLC</t>
  </si>
  <si>
    <t>FEDERAL EXPRESS</t>
  </si>
  <si>
    <t>FIRST NATIONAL BANK BASTROP</t>
  </si>
  <si>
    <t>659"</t>
  </si>
  <si>
    <t>="13</t>
  </si>
  <si>
    <t>507"</t>
  </si>
  <si>
    <t>FIRST SPEAR LLC</t>
  </si>
  <si>
    <t>FLEET COR TECHNOLOGIES INC</t>
  </si>
  <si>
    <t>FLEETPRIDE</t>
  </si>
  <si>
    <t>FORREST L. SANDERSON</t>
  </si>
  <si>
    <t>FORT BEND CNTY CONSTABLE 4</t>
  </si>
  <si>
    <t>FPC FINANCIAL f.s.b.</t>
  </si>
  <si>
    <t>FRED PRYOR SEMINARS</t>
  </si>
  <si>
    <t>AUSTIN TRUCK &amp; EQUIP LTD</t>
  </si>
  <si>
    <t>EUGENE W BRIGGS JR</t>
  </si>
  <si>
    <t>G &amp; K SERVICES</t>
  </si>
  <si>
    <t>GARLAND T MURLEY</t>
  </si>
  <si>
    <t>BRIDGESTONE AMERICAS INC</t>
  </si>
  <si>
    <t>GERMANIA INSURANCE</t>
  </si>
  <si>
    <t>085 6/19/17"</t>
  </si>
  <si>
    <t>GOVERNMENT FINANCE OFFICERS ASSN</t>
  </si>
  <si>
    <t>GRAINGER INC</t>
  </si>
  <si>
    <t>GABRIEL ROEDER SMITH &amp; CO</t>
  </si>
  <si>
    <t>GRUENE ENVIRONMENTAL COMPANIES LLP</t>
  </si>
  <si>
    <t>GULF COAST PAPER CO. INC.</t>
  </si>
  <si>
    <t>HAN PHAM HULEN  MD PA</t>
  </si>
  <si>
    <t>HAROLD R TOWSLEE</t>
  </si>
  <si>
    <t>HARRIS COUNTY CONSTABLE PCT 1</t>
  </si>
  <si>
    <t>HAYS COUNTY SHERIFF'S ACADEMY</t>
  </si>
  <si>
    <t>HEADSETS DIRECT INC.</t>
  </si>
  <si>
    <t>HERSHCAP BACKHOE &amp; DITCHING INC</t>
  </si>
  <si>
    <t>658 6/12/17"</t>
  </si>
  <si>
    <t>HILLARY LONG</t>
  </si>
  <si>
    <t>BASCOM L HODGES JR</t>
  </si>
  <si>
    <t>HODGSON G ECKEL</t>
  </si>
  <si>
    <t>HOLLY SCHULZ  CSR  RPR</t>
  </si>
  <si>
    <t>BD HOLT CO</t>
  </si>
  <si>
    <t>CITIBANK (SOUTH DAKOTA)N.A./THE HOME DEPOT</t>
  </si>
  <si>
    <t>HOSPITAL INTERNISTS OF AUSTIN</t>
  </si>
  <si>
    <t>HOWERTON EYE CLINIC  PLLC</t>
  </si>
  <si>
    <t>HUDSON ENERGY CORP</t>
  </si>
  <si>
    <t>HYDRAULIC HOUSE INC</t>
  </si>
  <si>
    <t>INDIGENT HEALTHCARE SOLUTIONS</t>
  </si>
  <si>
    <t>IRON MOUNTAIN RECORDS MGMT INC</t>
  </si>
  <si>
    <t>TRIPLE J JACKPOT</t>
  </si>
  <si>
    <t>JAMES D.SQUIER</t>
  </si>
  <si>
    <t>JAMES O. BURKE</t>
  </si>
  <si>
    <t>JENKINS &amp; JENKINS LLP</t>
  </si>
  <si>
    <t>JERRY HOFROCK</t>
  </si>
  <si>
    <t>="14</t>
  </si>
  <si>
    <t>505 1/18/17"</t>
  </si>
  <si>
    <t>505 12/2/16"</t>
  </si>
  <si>
    <t>505 2/16/17"</t>
  </si>
  <si>
    <t>JOHN C KUHN</t>
  </si>
  <si>
    <t>DEERE &amp; COMPANY</t>
  </si>
  <si>
    <t>JOSEPHINE MORALES</t>
  </si>
  <si>
    <t>204 6/19/17"</t>
  </si>
  <si>
    <t>BILLY JOSH GILL</t>
  </si>
  <si>
    <t>JUSTIN MATTHEW FOHN</t>
  </si>
  <si>
    <t>KAREN STARKS</t>
  </si>
  <si>
    <t>="8</t>
  </si>
  <si>
    <t>898 6/29/17"</t>
  </si>
  <si>
    <t>KATHY REEVES</t>
  </si>
  <si>
    <t>393 6/15/17"</t>
  </si>
  <si>
    <t>KELLY-MOORE PAINT COMPANY  INC</t>
  </si>
  <si>
    <t>KENNETH LIMUEL</t>
  </si>
  <si>
    <t>KENT BROUSSARD TOWER RENTAL INC</t>
  </si>
  <si>
    <t>KLEIBER FORD TRACTOR  INC.</t>
  </si>
  <si>
    <t>KOETTER FIRE PROTECTION</t>
  </si>
  <si>
    <t>KRISTIN BURNS</t>
  </si>
  <si>
    <t>LA GRANGE FORD</t>
  </si>
  <si>
    <t>POWER J INVESTMENTS CO. INC</t>
  </si>
  <si>
    <t>LABATT INSTITUTIONAL SUPPLY CO</t>
  </si>
  <si>
    <t>LAUREN CONCRETE INC</t>
  </si>
  <si>
    <t>LEE COUNTY WATER SUPPLY CORP</t>
  </si>
  <si>
    <t>LEIGH ANN LEWIS</t>
  </si>
  <si>
    <t>LELAND WILLIAMS</t>
  </si>
  <si>
    <t>LEON SCAIFE</t>
  </si>
  <si>
    <t>LEXISNEXIS RISK DATA MGMT INC</t>
  </si>
  <si>
    <t>LIBERTY TIRE RECYCLING</t>
  </si>
  <si>
    <t>LINDA HARMON-TAX ASSESSOR</t>
  </si>
  <si>
    <t>LISA M. MIMS</t>
  </si>
  <si>
    <t>LISA SMITH</t>
  </si>
  <si>
    <t>UNITED KWB COLLABORATIONS LLC</t>
  </si>
  <si>
    <t>LONGHORN INTERNATIONAL TRUCKS LTD</t>
  </si>
  <si>
    <t>SCOTT BRYANT</t>
  </si>
  <si>
    <t>LOWE'S</t>
  </si>
  <si>
    <t>LYNN PEAVEY CO.</t>
  </si>
  <si>
    <t>MAGIC TOUCH CLEANING SYSTEMS LLC</t>
  </si>
  <si>
    <t>MAIL &amp; SIGNS</t>
  </si>
  <si>
    <t>MANAC TRAILERS USA  INC</t>
  </si>
  <si>
    <t>MARIA CELESTE COSTLEY</t>
  </si>
  <si>
    <t>MARK A RUMPLE</t>
  </si>
  <si>
    <t>MARK MEUTH</t>
  </si>
  <si>
    <t>MARK T MALONE M.D. P.A</t>
  </si>
  <si>
    <t>JOHN W GASPARINI INC</t>
  </si>
  <si>
    <t>SCI TEXAS FUNERAL SERVICES INC</t>
  </si>
  <si>
    <t>MARY ANGELA FREEMAN</t>
  </si>
  <si>
    <t>MARY BETH SCOTT</t>
  </si>
  <si>
    <t>MATHESON TRI-GAS INC</t>
  </si>
  <si>
    <t>McCOY'S BUILDING SUPPLY CENTER</t>
  </si>
  <si>
    <t>McCREARY  VESELKA  BRAGG &amp; ALLEN P</t>
  </si>
  <si>
    <t>699-5/1/2017"</t>
  </si>
  <si>
    <t>589"</t>
  </si>
  <si>
    <t>593"</t>
  </si>
  <si>
    <t>MEDIMPACT HEALTHCARE SYSTEMS INC</t>
  </si>
  <si>
    <t>MELISSA A MEADOR</t>
  </si>
  <si>
    <t>MICHAEL LAWSON BALCH</t>
  </si>
  <si>
    <t>MILLER UNIFORMS &amp; EMBLEMS</t>
  </si>
  <si>
    <t>ALLEN MORRIS RANE KIEKE</t>
  </si>
  <si>
    <t>JOSHUA ALLEN ADDIS</t>
  </si>
  <si>
    <t>JIMMY EARL GWINN</t>
  </si>
  <si>
    <t>CONNIE WILHELM HOLMSLEY</t>
  </si>
  <si>
    <t>RICHARD BRENT CARLISLE</t>
  </si>
  <si>
    <t>MARIA ISABEL TORRES</t>
  </si>
  <si>
    <t>JACK RANDEL SANDEFUR</t>
  </si>
  <si>
    <t>GAIL TAYLOR HENNEKE</t>
  </si>
  <si>
    <t>EILEEN ALISON MCDILDA</t>
  </si>
  <si>
    <t>EDWARD ARNOLD KULIGOWSKI</t>
  </si>
  <si>
    <t>KARYN LYNNE MORGAN</t>
  </si>
  <si>
    <t>JERRE GAYLE STROTHER</t>
  </si>
  <si>
    <t>KATHLEEN MARJORIE SHEA</t>
  </si>
  <si>
    <t>ROBBIE SCOTT COOK</t>
  </si>
  <si>
    <t>ALBANS HUGH BENCHOFF</t>
  </si>
  <si>
    <t>SARAH KATHRYN WADLOW</t>
  </si>
  <si>
    <t>FRANCES ELISA KISNER</t>
  </si>
  <si>
    <t>SANDRA KAY ZACHARY</t>
  </si>
  <si>
    <t>LACEY GRAVES</t>
  </si>
  <si>
    <t>ROBERT EDWARD FRANKLIN</t>
  </si>
  <si>
    <t>ROSARIO RAMIREZ RAMOS</t>
  </si>
  <si>
    <t>AURELIA LAWHON SAMPSON</t>
  </si>
  <si>
    <t>JASON PHILIP MYERS</t>
  </si>
  <si>
    <t>JENNIFER MARIE KRAUSE</t>
  </si>
  <si>
    <t>JOHN ROSS TRISLER</t>
  </si>
  <si>
    <t>GOVINDA STEVENS HOUGH</t>
  </si>
  <si>
    <t>PATRICK ERNEST CHEEK</t>
  </si>
  <si>
    <t>JOSHUA DEAN NIXON</t>
  </si>
  <si>
    <t>CHARLES WALTER FERS</t>
  </si>
  <si>
    <t>NORA EASTERWOOD SCHLUETER</t>
  </si>
  <si>
    <t>RANDY DALE GELTMEIER</t>
  </si>
  <si>
    <t>AMANDA LEANN CARLISLE</t>
  </si>
  <si>
    <t>JEFFREY DONALD HARRIS</t>
  </si>
  <si>
    <t>DEBORAH W HENEISE</t>
  </si>
  <si>
    <t>JOHN THOMAS ZINKER</t>
  </si>
  <si>
    <t>HAROLD DEE FLOYD</t>
  </si>
  <si>
    <t>LORENE HELEN JOHNSON</t>
  </si>
  <si>
    <t>SHERRY ANN DUNBAR</t>
  </si>
  <si>
    <t>POLLYE ANITA HOFSTEDT</t>
  </si>
  <si>
    <t>KATHLEEN P GERAGHTY-ACOSTA</t>
  </si>
  <si>
    <t>JORGE ROBERTO VARGAS</t>
  </si>
  <si>
    <t>DUSTIN ALLAN ZINSMEYER</t>
  </si>
  <si>
    <t>DAVID BRYAN ONEY</t>
  </si>
  <si>
    <t>JUSTIN MARK GERHARDT</t>
  </si>
  <si>
    <t>STEPHANIE REBER GOERTZ</t>
  </si>
  <si>
    <t>AARON TYLER STRADLING</t>
  </si>
  <si>
    <t>MELISSA MARIE MISSELHORN</t>
  </si>
  <si>
    <t>SOLEDAD SIERRA</t>
  </si>
  <si>
    <t>GINA THERESE SWEENY</t>
  </si>
  <si>
    <t>MOISES OR CAROLINE GUERRERO</t>
  </si>
  <si>
    <t>851"</t>
  </si>
  <si>
    <t>MOORE MEDICAL LLC</t>
  </si>
  <si>
    <t>LCR-M LIMITED PARTNERSHIP</t>
  </si>
  <si>
    <t>MORSCO SUPPLY  LLC</t>
  </si>
  <si>
    <t>="2" PRV REPAIR S102271728."</t>
  </si>
  <si>
    <t>MOTOROLA INC</t>
  </si>
  <si>
    <t>MOTOROLA SOLUTIONS INC</t>
  </si>
  <si>
    <t>NALCO COMPANY LLC</t>
  </si>
  <si>
    <t>NATIONAL FOOD GROUP INC</t>
  </si>
  <si>
    <t>JOHN NIXON</t>
  </si>
  <si>
    <t>NSTS LLC</t>
  </si>
  <si>
    <t>="5 1/4" Blade Holder"</t>
  </si>
  <si>
    <t>NUECES COUNTY SHERIFF</t>
  </si>
  <si>
    <t>O'REILLY AUTOMOTIVE  INC.</t>
  </si>
  <si>
    <t>SOUTHERN FOODS GROUP LP</t>
  </si>
  <si>
    <t>OFFICE DEPOT</t>
  </si>
  <si>
    <t>OMNI DISTRIBUTION INC</t>
  </si>
  <si>
    <t>OMNIBASE SERVICES OF TEXAS LP</t>
  </si>
  <si>
    <t>ROGER C OSBORN</t>
  </si>
  <si>
    <t>TACSERV LLC</t>
  </si>
  <si>
    <t>PACESETTER K9 LLC</t>
  </si>
  <si>
    <t>PAIGE TRACTORS INC</t>
  </si>
  <si>
    <t>SL PARKER PARTNERSHIP LLC</t>
  </si>
  <si>
    <t>PATHMARK TRAFFIC PRODUCTS</t>
  </si>
  <si>
    <t>PATRICIA L. SCHULZ</t>
  </si>
  <si>
    <t>PATRICK ELECTRIC SERVICE</t>
  </si>
  <si>
    <t>PATTERSON  VETERINARY SUPPLY INC</t>
  </si>
  <si>
    <t>PAUL GRANADO</t>
  </si>
  <si>
    <t>PETHEALTH SERVICES(USA) INC.</t>
  </si>
  <si>
    <t>PHILIP R DUCLOUX</t>
  </si>
  <si>
    <t>PINEY CREEK AUTO SERVICE</t>
  </si>
  <si>
    <t>PB PROFESSIONAL SERVICES INC</t>
  </si>
  <si>
    <t>PITNEY BOWES GLOBAL FINANCIAL SERVICES</t>
  </si>
  <si>
    <t>PM WILSON &amp; ASSOCIATES PLLC</t>
  </si>
  <si>
    <t>POPE PRO ENTERPRISES INC</t>
  </si>
  <si>
    <t>PROPATH SERVICES LLP</t>
  </si>
  <si>
    <t>AEGEAN LLC</t>
  </si>
  <si>
    <t>QUILL CORPORATION</t>
  </si>
  <si>
    <t>R.R. BRINK LOCKING SYSTEMS INC</t>
  </si>
  <si>
    <t>RAMTECH BUILDING SYSTEMS  INC</t>
  </si>
  <si>
    <t>RANDY WILHELM</t>
  </si>
  <si>
    <t>MADTEX  INC.</t>
  </si>
  <si>
    <t>NESTLE WATERS N AMERICA INC</t>
  </si>
  <si>
    <t>REPUBLIC SERVICES INC BFI WASTE SERVICE</t>
  </si>
  <si>
    <t>REPUBLIC TRUCK SALES   PARTS  &amp; REPAIRS</t>
  </si>
  <si>
    <t>PAULINE SPURLOCK</t>
  </si>
  <si>
    <t>RESERVE ACCOUNT</t>
  </si>
  <si>
    <t>REYNOLDS &amp; KEINARTH</t>
  </si>
  <si>
    <t>RIATA FORD</t>
  </si>
  <si>
    <t>RICHARD M HUTCHINS</t>
  </si>
  <si>
    <t>RICOH</t>
  </si>
  <si>
    <t>RICOH USA INC</t>
  </si>
  <si>
    <t>RICOH AMERICAS CORP</t>
  </si>
  <si>
    <t>JOEL RIVERA -PEDRAZA</t>
  </si>
  <si>
    <t>RUNKLE ENTERPRISES</t>
  </si>
  <si>
    <t>ROBERT BARRON</t>
  </si>
  <si>
    <t>ROBERT MADDEN INDUSTRIES LTD</t>
  </si>
  <si>
    <t>ROBERT MORGAN</t>
  </si>
  <si>
    <t>ROGERS CUSTOM AUTOMOTIVE</t>
  </si>
  <si>
    <t>ROMCO EQUIPMENT CO.</t>
  </si>
  <si>
    <t>ROSA WARREN</t>
  </si>
  <si>
    <t>ROSE PIETSCH COUNTY CLERK</t>
  </si>
  <si>
    <t>ROUND ROCK SURGERY CENTER LLC</t>
  </si>
  <si>
    <t>SAMMY LERMA III MD</t>
  </si>
  <si>
    <t>SCOTT &amp; WHITE CLINIC</t>
  </si>
  <si>
    <t>SECURUS TECHNOLOGIES INC</t>
  </si>
  <si>
    <t>SETON FAMILY OF HOSPITALS</t>
  </si>
  <si>
    <t>SHANE RAWLINGS</t>
  </si>
  <si>
    <t>SHARON HANCOCK</t>
  </si>
  <si>
    <t>962 6/12/17"</t>
  </si>
  <si>
    <t>FERRELLGAS  LP</t>
  </si>
  <si>
    <t>SIRCHIE FINGER PRINT LABORATORIES</t>
  </si>
  <si>
    <t>ROBERT M SMITH JR</t>
  </si>
  <si>
    <t>SMITHVILLE AUTO PARTS  INC</t>
  </si>
  <si>
    <t>SOUTHERN TIRE MART LLC</t>
  </si>
  <si>
    <t>DS WATERS OF AMERICA INC</t>
  </si>
  <si>
    <t>SPARKLETTS &amp; SIERRA SPRINGS</t>
  </si>
  <si>
    <t>SPOK INC</t>
  </si>
  <si>
    <t>SRIDHAR P REDDY MD PA</t>
  </si>
  <si>
    <t>ST.DAVID'S CARDIOLOGY PLLC</t>
  </si>
  <si>
    <t>STAPLES ADVANTAGE</t>
  </si>
  <si>
    <t>STATE BAR OF TEXAS</t>
  </si>
  <si>
    <t>TX COMPTROLLER OF PUBLIC ACCOUNTS</t>
  </si>
  <si>
    <t>STATE OF TEXAS</t>
  </si>
  <si>
    <t>STERICYCLE  INC.</t>
  </si>
  <si>
    <t>STEVE GRANADO</t>
  </si>
  <si>
    <t>STEVEN A LONG</t>
  </si>
  <si>
    <t>T-MOBILE USA</t>
  </si>
  <si>
    <t>TAMMI JUNE HOLLAND</t>
  </si>
  <si>
    <t>TAVCO SERVICES INC</t>
  </si>
  <si>
    <t>TAYLOR AUTO ELECT.</t>
  </si>
  <si>
    <t>TAYLOR IRON MACHINE WORKS INC.</t>
  </si>
  <si>
    <t>TDCAA</t>
  </si>
  <si>
    <t>TEJAS ELEVATOR COMPANY</t>
  </si>
  <si>
    <t>TERRA EXCAVATION &amp; CONSTRUCTION LLC</t>
  </si>
  <si>
    <t>TERRY FLENNIKEN</t>
  </si>
  <si>
    <t>TEX-CON OIL CO</t>
  </si>
  <si>
    <t>TEXAN EYE  P.A.</t>
  </si>
  <si>
    <t>TEXAS AGGREGATES  LLC</t>
  </si>
  <si>
    <t>TEXAS ASSOCIATES INSURORS AGENCY</t>
  </si>
  <si>
    <t>TEXAS ASSOCIATION OF COUNTIES</t>
  </si>
  <si>
    <t>TEXAS BLACKLAND HARDWARE</t>
  </si>
  <si>
    <t>TEXAS CRUSHED STONE CO.</t>
  </si>
  <si>
    <t>TEXAS DEPARTMENT OF AGRICULTURE</t>
  </si>
  <si>
    <t>TEXAS DEPARTMENT OF HUMAN SERVICES</t>
  </si>
  <si>
    <t>294"</t>
  </si>
  <si>
    <t>TEXAS DEPT OF PUBLIC SAFETY</t>
  </si>
  <si>
    <t>787"</t>
  </si>
  <si>
    <t>925"</t>
  </si>
  <si>
    <t>TEXAS JUSTICE COURT TRAINING CENTER</t>
  </si>
  <si>
    <t>TEXAS STATE UNIVERSITY</t>
  </si>
  <si>
    <t>TEXAS PARKS &amp; WILDLIFE FUNDS</t>
  </si>
  <si>
    <t>TEXAS POLICE ASSN</t>
  </si>
  <si>
    <t>TEXAS RETINA INSTITUTE</t>
  </si>
  <si>
    <t>JAMES ANDREW CASEY</t>
  </si>
  <si>
    <t>SANDRA FAYE ROBINSON</t>
  </si>
  <si>
    <t>RICHARD NELSON MOORE</t>
  </si>
  <si>
    <t>THE PORTER COMPANY</t>
  </si>
  <si>
    <t>TWE-ADVANCE/NEWHOUSE PARTNERSHIP</t>
  </si>
  <si>
    <t>TRAVEL MART CONV.BASTROP</t>
  </si>
  <si>
    <t>442 6-1-17"</t>
  </si>
  <si>
    <t>TRAVIS CO CONSTABLE  PCT 5</t>
  </si>
  <si>
    <t>TRAVIS COUNTY SHERIFF'S</t>
  </si>
  <si>
    <t>TRAVIS COUNTY TREASURER</t>
  </si>
  <si>
    <t>TREADMAXX TIRE DISTRIBUTORS  INC.</t>
  </si>
  <si>
    <t>TRNLWS  LLC</t>
  </si>
  <si>
    <t>TRIPLE S FUELS</t>
  </si>
  <si>
    <t>TRACTOR SUPPLY CREDIT PLAN</t>
  </si>
  <si>
    <t>TULL FARLEY</t>
  </si>
  <si>
    <t>TVMDL</t>
  </si>
  <si>
    <t>TX ACADEMY OF ANIMAL CONTROL OFFICERS</t>
  </si>
  <si>
    <t>TX COMMISSION ON ENVIRONMENTAL QUAL</t>
  </si>
  <si>
    <t>TX COMMISSION ON ENVIRONMENTAL QUALITY</t>
  </si>
  <si>
    <t>ULINE</t>
  </si>
  <si>
    <t>UNITED STATES TREASURY</t>
  </si>
  <si>
    <t>DEPARTMENT OF STATE HEALTH SERVICES</t>
  </si>
  <si>
    <t>VULCAN CONSTRUCTION MATERIALS  LP</t>
  </si>
  <si>
    <t>WAGEWORKS INC  FSA/HSA</t>
  </si>
  <si>
    <t>WALLER COUNTY ASPHALT INC</t>
  </si>
  <si>
    <t>WALMART COMMUNITY BRC</t>
  </si>
  <si>
    <t>WASHING EQUIPMENT OF TEXAS</t>
  </si>
  <si>
    <t>PROGRESSIVE WASTE SOLUTIONS OF TX. INC.</t>
  </si>
  <si>
    <t>WIND KNOT INCORPORATED</t>
  </si>
  <si>
    <t>COBRA EQUIPMENT RENTALS</t>
  </si>
  <si>
    <t>WEI-ANN LIN  MD PA</t>
  </si>
  <si>
    <t>WENDY ACKERMAN</t>
  </si>
  <si>
    <t>WEST PUBLISHING CORPORATION</t>
  </si>
  <si>
    <t>MAO PHARMACY INC</t>
  </si>
  <si>
    <t>WHELEN ENGINEERING COMPANY INC</t>
  </si>
  <si>
    <t>WILLIAMSON CNTY CONSTABLE 4</t>
  </si>
  <si>
    <t>WJC CONSTRUCTION LLC</t>
  </si>
  <si>
    <t>XEROX CORPORATION</t>
  </si>
  <si>
    <t>XMEDIUS SOLUTIONS INC.</t>
  </si>
  <si>
    <t>ZBATTERY.COM INC</t>
  </si>
  <si>
    <t>ACUITY SPECIALTY PRODUCTS INC</t>
  </si>
  <si>
    <t>973 MATERIALS  LLC</t>
  </si>
  <si>
    <t>BASTROP TIRE &amp; AUTOMOTIVE LLC</t>
  </si>
  <si>
    <t>CATINA L. HIGHTOWER</t>
  </si>
  <si>
    <t>FIRST NATIONAL BANK</t>
  </si>
  <si>
    <t>KIRKSEY ARCHITECTS  INC.</t>
  </si>
  <si>
    <t>MIDTEX MATERIALS</t>
  </si>
  <si>
    <t>MUSTANG MACHINERY COMPANY LTD</t>
  </si>
  <si>
    <t>OLDCASTLE MATERIALS TEXAS INC</t>
  </si>
  <si>
    <t>OXLEY WILLIAMS THARP ARCHITECTS  PLLC</t>
  </si>
  <si>
    <t>SHI GOVERNMENT SOLUTIONS INC.</t>
  </si>
  <si>
    <t>SPEED FAB-CRETE CORPORATION</t>
  </si>
  <si>
    <t>TEXAS A &amp; M FOREST SERVICE</t>
  </si>
  <si>
    <t>ALLSTATE-AMERICAN HERITAGE LIFE INS CO</t>
  </si>
  <si>
    <t>BASTROP ASSN OF SHERIFFS EMPLOYEES</t>
  </si>
  <si>
    <t>BASTROP CNTY ADULT PROBATION</t>
  </si>
  <si>
    <t>BONNIE FISHER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</si>
  <si>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</si>
  <si>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</si>
  <si>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</si>
  <si>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</si>
  <si>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</si>
  <si>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</si>
  <si>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</si>
  <si>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</si>
  <si>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</si>
  <si>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</si>
  <si>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</si>
  <si>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</si>
  <si>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</si>
  <si>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</si>
  <si>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VERITY NATIONAL GROUP</t>
  </si>
  <si>
    <t>A &amp; M ELECTRIC</t>
  </si>
  <si>
    <t>ANDREA HAIRE</t>
  </si>
  <si>
    <t>ATTORNEY GENERAL OF TEXAS</t>
  </si>
  <si>
    <t>BANK OF AMERICA</t>
  </si>
  <si>
    <t>BASTROP COUNTY SHERIFF'S OFFIC</t>
  </si>
  <si>
    <t>BRAZOS VALLEY SCHOOL CREDIT UN</t>
  </si>
  <si>
    <t>BROOKSHIRE BROTHERS LTD</t>
  </si>
  <si>
    <t>BUC-EES</t>
  </si>
  <si>
    <t>BURTON STATE BANK</t>
  </si>
  <si>
    <t>CASH AMERICA PAWN</t>
  </si>
  <si>
    <t>CENTER DRIVE IN III</t>
  </si>
  <si>
    <t>CENTER DRIVE INN</t>
  </si>
  <si>
    <t>CHERYL WELLS BENNETT</t>
  </si>
  <si>
    <t>CITI SECURITY AND INVESTIGATIV</t>
  </si>
  <si>
    <t>CLARA'S STORE AND BAKERY</t>
  </si>
  <si>
    <t>DANIELLE PAUL</t>
  </si>
  <si>
    <t>DANTE CRENSHAW</t>
  </si>
  <si>
    <t>DAVID HAILE</t>
  </si>
  <si>
    <t>DEBORAH TATUM</t>
  </si>
  <si>
    <t>ENERGY TRANSFER CO</t>
  </si>
  <si>
    <t>ESTATE OF ALBERT ALMS</t>
  </si>
  <si>
    <t>FIRST NATIONAL BANK OF GIDDING</t>
  </si>
  <si>
    <t>GARY &amp; DEBORAH DURHAM</t>
  </si>
  <si>
    <t>GOOD LIFE RANCH  LLC</t>
  </si>
  <si>
    <t>GREAT MIDWEST INS CO. ATTN</t>
  </si>
  <si>
    <t>HEB CHECK SERVICES</t>
  </si>
  <si>
    <t>HHSC ARTS (MAIL CODE 1470)</t>
  </si>
  <si>
    <t>ISIAH FRANKLIN</t>
  </si>
  <si>
    <t>JAMES BATES</t>
  </si>
  <si>
    <t>JB HUNT</t>
  </si>
  <si>
    <t>JEFF SALZGEBER</t>
  </si>
  <si>
    <t>JERRY EDMOND FAMILY WORSHIP CE</t>
  </si>
  <si>
    <t>KEVIN EDWARDS</t>
  </si>
  <si>
    <t>LUIS OROSTIETA  JR.</t>
  </si>
  <si>
    <t>MCCOY'S BUILDING SUPPLIES</t>
  </si>
  <si>
    <t>MICHAEL HAWKINS</t>
  </si>
  <si>
    <t>MIKE GUTHRIE</t>
  </si>
  <si>
    <t>MURPHY USA</t>
  </si>
  <si>
    <t>PALAIS ROYAL</t>
  </si>
  <si>
    <t>RAMONA CASTILLO</t>
  </si>
  <si>
    <t>RICHARD KESSELUS</t>
  </si>
  <si>
    <t>ROBYN GOODSON</t>
  </si>
  <si>
    <t>SHARON HOLTKAMP</t>
  </si>
  <si>
    <t>SHERWIN SIEGMUND</t>
  </si>
  <si>
    <t>SMITHVILLE HOUSING AUTHORITY</t>
  </si>
  <si>
    <t>SOMERVILLE ISD</t>
  </si>
  <si>
    <t>ST. MARGRET'S CATHOLIC CHURCH</t>
  </si>
  <si>
    <t>STATE FARM LLOYD</t>
  </si>
  <si>
    <t>STEVEN WAYNE MEDACK</t>
  </si>
  <si>
    <t>STRIPES</t>
  </si>
  <si>
    <t>SYLVIA DELEON</t>
  </si>
  <si>
    <t>TOOTSIE'S</t>
  </si>
  <si>
    <t>TRACY JOSEPH ISELT</t>
  </si>
  <si>
    <t>TRAVELERS INSURANCE-PNPCLAIM25</t>
  </si>
  <si>
    <t>TX ASSOC OF COUNTIES RISK MANA</t>
  </si>
  <si>
    <t>USAA GENERAL INDEMNITY COMPANY</t>
  </si>
  <si>
    <t>WAL-MART RESTITUTION RECOVERY</t>
  </si>
  <si>
    <t>WILLIAM HOLLE</t>
  </si>
  <si>
    <t>BASTROP COUNTY TREASURER</t>
  </si>
  <si>
    <t>WASHINGTON COUNTY DISTRICT CLE</t>
  </si>
  <si>
    <t>WASHINGTON CO CRIMESTOPPERS</t>
  </si>
  <si>
    <t>BURLESON COUNTY DISTRICT CLERK</t>
  </si>
  <si>
    <t>BLUEBONNET AREA CRIMESTOPPERS</t>
  </si>
  <si>
    <t>WASHINGTON COUNTY TREASURER</t>
  </si>
  <si>
    <t>TEXAS DPS  RESTITUTION ACCOUNT</t>
  </si>
  <si>
    <t>WASHINGTON COUNTY CLERK</t>
  </si>
  <si>
    <t>FOCUSING FAMILIES</t>
  </si>
  <si>
    <t>SANCHEZ  GABRIELLA</t>
  </si>
  <si>
    <t>FAMILY CRISIS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</si>
</sst>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95"/>
  <sheetViews>
    <sheetView tabSelected="1" workbookViewId="0">
      <selection activeCell="B10" sqref="B10"/>
    </sheetView>
  </sheetViews>
  <sheetFormatPr defaultRowHeight="14.4" x14ac:dyDescent="0.3"/>
  <cols>
    <col min="1" max="1" width="8.77734375" bestFit="1" customWidth="1"/>
    <col min="2" max="2" width="43.4414062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11.109375" bestFit="1" customWidth="1"/>
    <col min="7" max="7" width="21.109375" bestFit="1" customWidth="1"/>
    <col min="8" max="8" width="35" bestFit="1" customWidth="1"/>
    <col min="9" max="9" width="29.33203125" style="2" bestFit="1" customWidth="1"/>
    <col min="10" max="10" width="35" bestFit="1" customWidth="1"/>
    <col min="11" max="11" width="6" bestFit="1" customWidth="1"/>
  </cols>
  <sheetData>
    <row r="1" spans="1:10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</row>
    <row r="2" spans="1:10" x14ac:dyDescent="0.3">
      <c r="A2" t="str">
        <f>"004643"</f>
        <v>004643</v>
      </c>
      <c r="B2" t="s">
        <v>10</v>
      </c>
      <c r="C2">
        <v>71368</v>
      </c>
      <c r="D2" s="2">
        <v>158</v>
      </c>
      <c r="E2" s="1">
        <v>42926</v>
      </c>
      <c r="F2" t="s">
        <v>11</v>
      </c>
      <c r="G2" t="str">
        <f>"653112"</f>
        <v>653112</v>
      </c>
      <c r="H2" t="str">
        <f>"SHREDDING SVCS/TAX OFFICE"</f>
        <v>SHREDDING SVCS/TAX OFFICE</v>
      </c>
      <c r="I2" s="2">
        <v>51.5</v>
      </c>
      <c r="J2" t="str">
        <f>"SHREDDING SVCS/TAX OFFICE"</f>
        <v>SHREDDING SVCS/TAX OFFICE</v>
      </c>
    </row>
    <row r="3" spans="1:10" x14ac:dyDescent="0.3">
      <c r="A3" t="str">
        <f>""</f>
        <v/>
      </c>
      <c r="G3" t="str">
        <f>"653122"</f>
        <v>653122</v>
      </c>
      <c r="H3" t="str">
        <f>"SHREDDING SCVS/PCT#4 JP"</f>
        <v>SHREDDING SCVS/PCT#4 JP</v>
      </c>
      <c r="I3" s="2">
        <v>51.5</v>
      </c>
      <c r="J3" t="str">
        <f>"SHREDDING SCVS/PCT#4"</f>
        <v>SHREDDING SCVS/PCT#4</v>
      </c>
    </row>
    <row r="4" spans="1:10" x14ac:dyDescent="0.3">
      <c r="A4" t="str">
        <f>""</f>
        <v/>
      </c>
      <c r="G4" t="str">
        <f>"655507"</f>
        <v>655507</v>
      </c>
      <c r="H4" t="str">
        <f>"SHREDDING SERVICES/OEM"</f>
        <v>SHREDDING SERVICES/OEM</v>
      </c>
      <c r="I4" s="2">
        <v>55</v>
      </c>
      <c r="J4" t="str">
        <f>"SHREDDING SERVICES/OEM"</f>
        <v>SHREDDING SERVICES/OEM</v>
      </c>
    </row>
    <row r="5" spans="1:10" x14ac:dyDescent="0.3">
      <c r="A5" t="str">
        <f>"004643"</f>
        <v>004643</v>
      </c>
      <c r="B5" t="s">
        <v>10</v>
      </c>
      <c r="C5">
        <v>71600</v>
      </c>
      <c r="D5" s="2">
        <v>257.5</v>
      </c>
      <c r="E5" s="1">
        <v>42940</v>
      </c>
      <c r="F5" t="s">
        <v>11</v>
      </c>
      <c r="G5" t="str">
        <f>"659400"</f>
        <v>659400</v>
      </c>
      <c r="H5" t="str">
        <f>"SHREDDING SERVICES"</f>
        <v>SHREDDING SERVICES</v>
      </c>
      <c r="I5" s="2">
        <v>103</v>
      </c>
      <c r="J5" t="str">
        <f t="shared" ref="J5:J11" si="0">"SHREDDING SERVICES"</f>
        <v>SHREDDING SERVICES</v>
      </c>
    </row>
    <row r="6" spans="1:10" x14ac:dyDescent="0.3">
      <c r="A6" t="str">
        <f>""</f>
        <v/>
      </c>
      <c r="G6" t="str">
        <f>""</f>
        <v/>
      </c>
      <c r="H6" t="str">
        <f>""</f>
        <v/>
      </c>
      <c r="J6" t="str">
        <f t="shared" si="0"/>
        <v>SHREDDING SERVICES</v>
      </c>
    </row>
    <row r="7" spans="1:10" x14ac:dyDescent="0.3">
      <c r="A7" t="str">
        <f>""</f>
        <v/>
      </c>
      <c r="G7" t="str">
        <f>""</f>
        <v/>
      </c>
      <c r="H7" t="str">
        <f>""</f>
        <v/>
      </c>
      <c r="J7" t="str">
        <f t="shared" si="0"/>
        <v>SHREDDING SERVICES</v>
      </c>
    </row>
    <row r="8" spans="1:10" x14ac:dyDescent="0.3">
      <c r="A8" t="str">
        <f>""</f>
        <v/>
      </c>
      <c r="G8" t="str">
        <f>""</f>
        <v/>
      </c>
      <c r="H8" t="str">
        <f>""</f>
        <v/>
      </c>
      <c r="J8" t="str">
        <f t="shared" si="0"/>
        <v>SHREDDING SERVICES</v>
      </c>
    </row>
    <row r="9" spans="1:10" x14ac:dyDescent="0.3">
      <c r="A9" t="str">
        <f>""</f>
        <v/>
      </c>
      <c r="G9" t="str">
        <f>""</f>
        <v/>
      </c>
      <c r="H9" t="str">
        <f>""</f>
        <v/>
      </c>
      <c r="J9" t="str">
        <f t="shared" si="0"/>
        <v>SHREDDING SERVICES</v>
      </c>
    </row>
    <row r="10" spans="1:10" x14ac:dyDescent="0.3">
      <c r="A10" t="str">
        <f>""</f>
        <v/>
      </c>
      <c r="G10" t="str">
        <f>""</f>
        <v/>
      </c>
      <c r="H10" t="str">
        <f>""</f>
        <v/>
      </c>
      <c r="J10" t="str">
        <f t="shared" si="0"/>
        <v>SHREDDING SERVICES</v>
      </c>
    </row>
    <row r="11" spans="1:10" x14ac:dyDescent="0.3">
      <c r="A11" t="str">
        <f>""</f>
        <v/>
      </c>
      <c r="G11" t="str">
        <f>""</f>
        <v/>
      </c>
      <c r="H11" t="str">
        <f>""</f>
        <v/>
      </c>
      <c r="J11" t="str">
        <f t="shared" si="0"/>
        <v>SHREDDING SERVICES</v>
      </c>
    </row>
    <row r="12" spans="1:10" x14ac:dyDescent="0.3">
      <c r="A12" t="str">
        <f>""</f>
        <v/>
      </c>
      <c r="G12" t="str">
        <f>"659411"</f>
        <v>659411</v>
      </c>
      <c r="H12" t="str">
        <f>"INV 659411"</f>
        <v>INV 659411</v>
      </c>
      <c r="I12" s="2">
        <v>103</v>
      </c>
      <c r="J12" t="str">
        <f>"INV 659411"</f>
        <v>INV 659411</v>
      </c>
    </row>
    <row r="13" spans="1:10" x14ac:dyDescent="0.3">
      <c r="A13" t="str">
        <f>""</f>
        <v/>
      </c>
      <c r="G13" t="str">
        <f>""</f>
        <v/>
      </c>
      <c r="H13" t="str">
        <f>""</f>
        <v/>
      </c>
      <c r="J13" t="str">
        <f>"INV 659411"</f>
        <v>INV 659411</v>
      </c>
    </row>
    <row r="14" spans="1:10" x14ac:dyDescent="0.3">
      <c r="A14" t="str">
        <f>""</f>
        <v/>
      </c>
      <c r="G14" t="str">
        <f>"659421"</f>
        <v>659421</v>
      </c>
      <c r="H14" t="str">
        <f>"SHREDDING SERVICES /JP#4"</f>
        <v>SHREDDING SERVICES /JP#4</v>
      </c>
      <c r="I14" s="2">
        <v>51.5</v>
      </c>
      <c r="J14" t="str">
        <f>"SHREDDING SERVICES /JP#4"</f>
        <v>SHREDDING SERVICES /JP#4</v>
      </c>
    </row>
    <row r="15" spans="1:10" x14ac:dyDescent="0.3">
      <c r="A15" t="str">
        <f>"ALINE"</f>
        <v>ALINE</v>
      </c>
      <c r="B15" t="s">
        <v>12</v>
      </c>
      <c r="C15">
        <v>71601</v>
      </c>
      <c r="D15" s="2">
        <v>178.96</v>
      </c>
      <c r="E15" s="1">
        <v>42940</v>
      </c>
      <c r="F15" t="s">
        <v>11</v>
      </c>
      <c r="G15" t="str">
        <f>"4858911/4875440"</f>
        <v>4858911/4875440</v>
      </c>
      <c r="H15" t="str">
        <f>"CUST#16500/STMT#260002"</f>
        <v>CUST#16500/STMT#260002</v>
      </c>
      <c r="I15" s="2">
        <v>178.96</v>
      </c>
      <c r="J15" t="str">
        <f>"CUST#16500/STMT#260002"</f>
        <v>CUST#16500/STMT#260002</v>
      </c>
    </row>
    <row r="16" spans="1:10" x14ac:dyDescent="0.3">
      <c r="A16" t="str">
        <f>"002048"</f>
        <v>002048</v>
      </c>
      <c r="B16" t="s">
        <v>13</v>
      </c>
      <c r="C16">
        <v>71356</v>
      </c>
      <c r="D16" s="2">
        <v>3180.78</v>
      </c>
      <c r="E16" s="1">
        <v>42921</v>
      </c>
      <c r="F16" t="s">
        <v>11</v>
      </c>
      <c r="G16" t="str">
        <f>"201707053313"</f>
        <v>201707053313</v>
      </c>
      <c r="H16" t="str">
        <f>"06/05/17 - 06/19/17 / P4"</f>
        <v>06/05/17 - 06/19/17 / P4</v>
      </c>
      <c r="I16" s="2">
        <v>3180.78</v>
      </c>
      <c r="J16" t="str">
        <f>"06/05/17 - 06/19/17 / P4"</f>
        <v>06/05/17 - 06/19/17 / P4</v>
      </c>
    </row>
    <row r="17" spans="1:11" x14ac:dyDescent="0.3">
      <c r="A17" t="str">
        <f>"002048"</f>
        <v>002048</v>
      </c>
      <c r="B17" t="s">
        <v>13</v>
      </c>
      <c r="C17">
        <v>71602</v>
      </c>
      <c r="D17" s="2">
        <v>716.74</v>
      </c>
      <c r="E17" s="1">
        <v>42940</v>
      </c>
      <c r="F17" t="s">
        <v>11</v>
      </c>
      <c r="G17" t="str">
        <f>"201707183671"</f>
        <v>201707183671</v>
      </c>
      <c r="H17" t="str">
        <f>"7/5/17 TO 7/11/17 PCT#1"</f>
        <v>7/5/17 TO 7/11/17 PCT#1</v>
      </c>
      <c r="I17" s="2">
        <v>716.74</v>
      </c>
      <c r="J17" t="str">
        <f>"7/5/17 TO 7/11/17 PCT#1"</f>
        <v>7/5/17 TO 7/11/17 PCT#1</v>
      </c>
    </row>
    <row r="18" spans="1:11" x14ac:dyDescent="0.3">
      <c r="A18" t="str">
        <f>"005134"</f>
        <v>005134</v>
      </c>
      <c r="B18" t="s">
        <v>14</v>
      </c>
      <c r="C18">
        <v>71369</v>
      </c>
      <c r="D18" s="2">
        <v>3700</v>
      </c>
      <c r="E18" s="1">
        <v>42926</v>
      </c>
      <c r="F18" t="s">
        <v>11</v>
      </c>
      <c r="G18" t="str">
        <f>"A607"</f>
        <v>A607</v>
      </c>
      <c r="H18" t="str">
        <f>"LABOR  ELECTRICIAN"</f>
        <v>LABOR  ELECTRICIAN</v>
      </c>
      <c r="I18" s="2">
        <v>3700</v>
      </c>
      <c r="J18" t="str">
        <f>"LABOR  ELECTRICIAN"</f>
        <v>LABOR  ELECTRICIAN</v>
      </c>
    </row>
    <row r="19" spans="1:11" x14ac:dyDescent="0.3">
      <c r="A19" t="str">
        <f>"003812"</f>
        <v>003812</v>
      </c>
      <c r="B19" t="s">
        <v>15</v>
      </c>
      <c r="C19">
        <v>71603</v>
      </c>
      <c r="D19" s="2">
        <v>1630</v>
      </c>
      <c r="E19" s="1">
        <v>42940</v>
      </c>
      <c r="F19" t="s">
        <v>11</v>
      </c>
      <c r="G19" t="str">
        <f>"201707193718"</f>
        <v>201707193718</v>
      </c>
      <c r="H19" t="str">
        <f>"16-17910"</f>
        <v>16-17910</v>
      </c>
      <c r="I19" s="2">
        <v>1355</v>
      </c>
      <c r="J19" t="str">
        <f>"16-17910"</f>
        <v>16-17910</v>
      </c>
    </row>
    <row r="20" spans="1:11" x14ac:dyDescent="0.3">
      <c r="A20" t="str">
        <f>""</f>
        <v/>
      </c>
      <c r="G20" t="str">
        <f>"201707193719"</f>
        <v>201707193719</v>
      </c>
      <c r="H20" t="str">
        <f>"17-18393"</f>
        <v>17-18393</v>
      </c>
      <c r="I20" s="2">
        <v>275</v>
      </c>
      <c r="J20" t="str">
        <f>"17-18393"</f>
        <v>17-18393</v>
      </c>
    </row>
    <row r="21" spans="1:11" x14ac:dyDescent="0.3">
      <c r="A21" t="str">
        <f>"005154"</f>
        <v>005154</v>
      </c>
      <c r="B21" t="s">
        <v>16</v>
      </c>
      <c r="C21">
        <v>71604</v>
      </c>
      <c r="D21" s="2">
        <v>20.399999999999999</v>
      </c>
      <c r="E21" s="1">
        <v>42940</v>
      </c>
      <c r="F21" t="s">
        <v>11</v>
      </c>
      <c r="G21" t="s">
        <v>17</v>
      </c>
      <c r="H21" t="s">
        <v>18</v>
      </c>
      <c r="I21" s="2" t="str">
        <f>"RESTITUTION-R. FROST"</f>
        <v>RESTITUTION-R. FROST</v>
      </c>
      <c r="J21" t="str">
        <f>"210-0000"</f>
        <v>210-0000</v>
      </c>
      <c r="K21">
        <v>20.399999999999999</v>
      </c>
    </row>
    <row r="22" spans="1:11" x14ac:dyDescent="0.3">
      <c r="A22" t="str">
        <f>"000466"</f>
        <v>000466</v>
      </c>
      <c r="B22" t="s">
        <v>19</v>
      </c>
      <c r="C22">
        <v>71605</v>
      </c>
      <c r="D22" s="2">
        <v>579.67999999999995</v>
      </c>
      <c r="E22" s="1">
        <v>42940</v>
      </c>
      <c r="F22" t="s">
        <v>11</v>
      </c>
      <c r="G22" t="str">
        <f>"76456806/76456805"</f>
        <v>76456806/76456805</v>
      </c>
      <c r="H22" t="str">
        <f>"FOOD SVC EQUIPMENT"</f>
        <v>FOOD SVC EQUIPMENT</v>
      </c>
      <c r="I22" s="2">
        <v>579.67999999999995</v>
      </c>
      <c r="J22" t="str">
        <f>"INV76456806 KITCHEN"</f>
        <v>INV76456806 KITCHEN</v>
      </c>
    </row>
    <row r="23" spans="1:11" x14ac:dyDescent="0.3">
      <c r="A23" t="str">
        <f>""</f>
        <v/>
      </c>
      <c r="G23" t="str">
        <f>""</f>
        <v/>
      </c>
      <c r="H23" t="str">
        <f>""</f>
        <v/>
      </c>
      <c r="J23" t="str">
        <f>"INV76456805 FOOD SVC"</f>
        <v>INV76456805 FOOD SVC</v>
      </c>
    </row>
    <row r="24" spans="1:11" x14ac:dyDescent="0.3">
      <c r="A24" t="str">
        <f>"000954"</f>
        <v>000954</v>
      </c>
      <c r="B24" t="s">
        <v>20</v>
      </c>
      <c r="C24">
        <v>71606</v>
      </c>
      <c r="D24" s="2">
        <v>897.5</v>
      </c>
      <c r="E24" s="1">
        <v>42940</v>
      </c>
      <c r="F24" t="s">
        <v>11</v>
      </c>
      <c r="G24" t="str">
        <f>"201707193720"</f>
        <v>201707193720</v>
      </c>
      <c r="H24" t="str">
        <f>"16-18062"</f>
        <v>16-18062</v>
      </c>
      <c r="I24" s="2">
        <v>180</v>
      </c>
      <c r="J24" t="str">
        <f>"16-18062"</f>
        <v>16-18062</v>
      </c>
    </row>
    <row r="25" spans="1:11" x14ac:dyDescent="0.3">
      <c r="A25" t="str">
        <f>""</f>
        <v/>
      </c>
      <c r="G25" t="str">
        <f>"201707193721"</f>
        <v>201707193721</v>
      </c>
      <c r="H25" t="str">
        <f>"16-17785"</f>
        <v>16-17785</v>
      </c>
      <c r="I25" s="2">
        <v>160</v>
      </c>
      <c r="J25" t="str">
        <f>"16-17785"</f>
        <v>16-17785</v>
      </c>
    </row>
    <row r="26" spans="1:11" x14ac:dyDescent="0.3">
      <c r="A26" t="str">
        <f>""</f>
        <v/>
      </c>
      <c r="G26" t="str">
        <f>"201707193722"</f>
        <v>201707193722</v>
      </c>
      <c r="H26" t="str">
        <f>"16-17760"</f>
        <v>16-17760</v>
      </c>
      <c r="I26" s="2">
        <v>45</v>
      </c>
      <c r="J26" t="str">
        <f>"16-17760"</f>
        <v>16-17760</v>
      </c>
    </row>
    <row r="27" spans="1:11" x14ac:dyDescent="0.3">
      <c r="A27" t="str">
        <f>""</f>
        <v/>
      </c>
      <c r="G27" t="str">
        <f>"201707193723"</f>
        <v>201707193723</v>
      </c>
      <c r="H27" t="str">
        <f>"16-17614"</f>
        <v>16-17614</v>
      </c>
      <c r="I27" s="2">
        <v>115</v>
      </c>
      <c r="J27" t="str">
        <f>"16-17614"</f>
        <v>16-17614</v>
      </c>
    </row>
    <row r="28" spans="1:11" x14ac:dyDescent="0.3">
      <c r="A28" t="str">
        <f>""</f>
        <v/>
      </c>
      <c r="G28" t="str">
        <f>"201707193724"</f>
        <v>201707193724</v>
      </c>
      <c r="H28" t="str">
        <f>"14-16404"</f>
        <v>14-16404</v>
      </c>
      <c r="I28" s="2">
        <v>337.5</v>
      </c>
      <c r="J28" t="str">
        <f>"14-16404"</f>
        <v>14-16404</v>
      </c>
    </row>
    <row r="29" spans="1:11" x14ac:dyDescent="0.3">
      <c r="A29" t="str">
        <f>""</f>
        <v/>
      </c>
      <c r="G29" t="str">
        <f>"201707193725"</f>
        <v>201707193725</v>
      </c>
      <c r="H29" t="str">
        <f>"16-17713"</f>
        <v>16-17713</v>
      </c>
      <c r="I29" s="2">
        <v>60</v>
      </c>
      <c r="J29" t="str">
        <f>"16-17713"</f>
        <v>16-17713</v>
      </c>
    </row>
    <row r="30" spans="1:11" x14ac:dyDescent="0.3">
      <c r="A30" t="str">
        <f>"003117"</f>
        <v>003117</v>
      </c>
      <c r="B30" t="s">
        <v>21</v>
      </c>
      <c r="C30">
        <v>71370</v>
      </c>
      <c r="D30" s="2">
        <v>813.53</v>
      </c>
      <c r="E30" s="1">
        <v>42926</v>
      </c>
      <c r="F30" t="s">
        <v>11</v>
      </c>
      <c r="G30" t="str">
        <f>"201706283280"</f>
        <v>201706283280</v>
      </c>
      <c r="H30" t="str">
        <f>"REIMBURSE-ARCIT REGISTRATION"</f>
        <v>REIMBURSE-ARCIT REGISTRATION</v>
      </c>
      <c r="I30" s="2">
        <v>195</v>
      </c>
      <c r="J30" t="str">
        <f>"REIMBURSE-ARCIT REGRISTRATION"</f>
        <v>REIMBURSE-ARCIT REGRISTRATION</v>
      </c>
    </row>
    <row r="31" spans="1:11" x14ac:dyDescent="0.3">
      <c r="A31" t="str">
        <f>""</f>
        <v/>
      </c>
      <c r="G31" t="str">
        <f>"201706283284"</f>
        <v>201706283284</v>
      </c>
      <c r="H31" t="str">
        <f>"REIMBURSE-MARKETING/LODGING"</f>
        <v>REIMBURSE-MARKETING/LODGING</v>
      </c>
      <c r="I31" s="2">
        <v>618.53</v>
      </c>
      <c r="J31" t="str">
        <f>"REIMBURSE-MARKETING/LODGING"</f>
        <v>REIMBURSE-MARKETING/LODGING</v>
      </c>
    </row>
    <row r="32" spans="1:11" x14ac:dyDescent="0.3">
      <c r="A32" t="str">
        <f>"002810"</f>
        <v>002810</v>
      </c>
      <c r="B32" t="s">
        <v>22</v>
      </c>
      <c r="C32">
        <v>71607</v>
      </c>
      <c r="D32" s="2">
        <v>149.80000000000001</v>
      </c>
      <c r="E32" s="1">
        <v>42940</v>
      </c>
      <c r="F32" t="s">
        <v>11</v>
      </c>
      <c r="G32" t="str">
        <f>"66903"</f>
        <v>66903</v>
      </c>
      <c r="H32" t="str">
        <f>"INV# 66903"</f>
        <v>INV# 66903</v>
      </c>
      <c r="I32" s="2">
        <v>149.80000000000001</v>
      </c>
      <c r="J32" t="str">
        <f>"INV# 66903"</f>
        <v>INV# 66903</v>
      </c>
    </row>
    <row r="33" spans="1:10" x14ac:dyDescent="0.3">
      <c r="A33" t="str">
        <f>"T11050"</f>
        <v>T11050</v>
      </c>
      <c r="B33" t="s">
        <v>23</v>
      </c>
      <c r="C33">
        <v>71608</v>
      </c>
      <c r="D33" s="2">
        <v>1273.22</v>
      </c>
      <c r="E33" s="1">
        <v>42940</v>
      </c>
      <c r="F33" t="s">
        <v>11</v>
      </c>
      <c r="G33" t="str">
        <f>"CID2104249"</f>
        <v>CID2104249</v>
      </c>
      <c r="H33" t="str">
        <f>"ACCT#238567/TOURISM"</f>
        <v>ACCT#238567/TOURISM</v>
      </c>
      <c r="I33" s="2">
        <v>1273.22</v>
      </c>
      <c r="J33" t="str">
        <f>"ACCT#238567/TOURISM"</f>
        <v>ACCT#238567/TOURISM</v>
      </c>
    </row>
    <row r="34" spans="1:10" x14ac:dyDescent="0.3">
      <c r="A34" t="str">
        <f>"AG"</f>
        <v>AG</v>
      </c>
      <c r="B34" t="s">
        <v>24</v>
      </c>
      <c r="C34">
        <v>71609</v>
      </c>
      <c r="D34" s="2">
        <v>1018.62</v>
      </c>
      <c r="E34" s="1">
        <v>42940</v>
      </c>
      <c r="F34" t="s">
        <v>11</v>
      </c>
      <c r="G34" t="str">
        <f>"5799622"</f>
        <v>5799622</v>
      </c>
      <c r="H34" t="str">
        <f>"ACCT#17295/PARTS/PCT#3"</f>
        <v>ACCT#17295/PARTS/PCT#3</v>
      </c>
      <c r="I34" s="2">
        <v>1018.62</v>
      </c>
      <c r="J34" t="str">
        <f>"ACCT#17295/PARTS/PCT#3"</f>
        <v>ACCT#17295/PARTS/PCT#3</v>
      </c>
    </row>
    <row r="35" spans="1:10" x14ac:dyDescent="0.3">
      <c r="A35" t="str">
        <f>"NPP"</f>
        <v>NPP</v>
      </c>
      <c r="B35" t="s">
        <v>25</v>
      </c>
      <c r="C35">
        <v>71610</v>
      </c>
      <c r="D35" s="2">
        <v>500</v>
      </c>
      <c r="E35" s="1">
        <v>42940</v>
      </c>
      <c r="F35" t="s">
        <v>11</v>
      </c>
      <c r="G35" t="str">
        <f>"201707113590"</f>
        <v>201707113590</v>
      </c>
      <c r="H35" t="str">
        <f>"560-21"</f>
        <v>560-21</v>
      </c>
      <c r="I35" s="2">
        <v>100</v>
      </c>
      <c r="J35" t="str">
        <f>"560-21"</f>
        <v>560-21</v>
      </c>
    </row>
    <row r="36" spans="1:10" x14ac:dyDescent="0.3">
      <c r="A36" t="str">
        <f>""</f>
        <v/>
      </c>
      <c r="G36" t="str">
        <f>"201707113591"</f>
        <v>201707113591</v>
      </c>
      <c r="H36" t="str">
        <f>"423-5014"</f>
        <v>423-5014</v>
      </c>
      <c r="I36" s="2">
        <v>200</v>
      </c>
      <c r="J36" t="str">
        <f>"423-5014"</f>
        <v>423-5014</v>
      </c>
    </row>
    <row r="37" spans="1:10" x14ac:dyDescent="0.3">
      <c r="A37" t="str">
        <f>""</f>
        <v/>
      </c>
      <c r="G37" t="str">
        <f>"201707183688"</f>
        <v>201707183688</v>
      </c>
      <c r="H37" t="str">
        <f>"0204094"</f>
        <v>0204094</v>
      </c>
      <c r="I37" s="2">
        <v>200</v>
      </c>
      <c r="J37" t="str">
        <f>"0204094"</f>
        <v>0204094</v>
      </c>
    </row>
    <row r="38" spans="1:10" x14ac:dyDescent="0.3">
      <c r="A38" t="str">
        <f>"004642"</f>
        <v>004642</v>
      </c>
      <c r="B38" t="s">
        <v>26</v>
      </c>
      <c r="C38">
        <v>71371</v>
      </c>
      <c r="D38" s="2">
        <v>340</v>
      </c>
      <c r="E38" s="1">
        <v>42926</v>
      </c>
      <c r="F38" t="s">
        <v>11</v>
      </c>
      <c r="G38" t="str">
        <f>"25088"</f>
        <v>25088</v>
      </c>
      <c r="H38" t="str">
        <f>"CUST#000894-000002"</f>
        <v>CUST#000894-000002</v>
      </c>
      <c r="I38" s="2">
        <v>340</v>
      </c>
      <c r="J38" t="str">
        <f>"CUST#000894-000002"</f>
        <v>CUST#000894-000002</v>
      </c>
    </row>
    <row r="39" spans="1:10" x14ac:dyDescent="0.3">
      <c r="A39" t="str">
        <f>"T6702"</f>
        <v>T6702</v>
      </c>
      <c r="B39" t="s">
        <v>27</v>
      </c>
      <c r="C39">
        <v>71372</v>
      </c>
      <c r="D39" s="2">
        <v>269.82</v>
      </c>
      <c r="E39" s="1">
        <v>42926</v>
      </c>
      <c r="F39" t="s">
        <v>11</v>
      </c>
      <c r="G39" t="str">
        <f>"201706303307"</f>
        <v>201706303307</v>
      </c>
      <c r="H39" t="str">
        <f>"NOTARY APPLICATION-R.FROST"</f>
        <v>NOTARY APPLICATION-R.FROST</v>
      </c>
      <c r="I39" s="2">
        <v>85.94</v>
      </c>
      <c r="J39" t="str">
        <f>"NOTARY APPLICATION-R.FROST"</f>
        <v>NOTARY APPLICATION-R.FROST</v>
      </c>
    </row>
    <row r="40" spans="1:10" x14ac:dyDescent="0.3">
      <c r="A40" t="str">
        <f>""</f>
        <v/>
      </c>
      <c r="G40" t="str">
        <f>"201706303308"</f>
        <v>201706303308</v>
      </c>
      <c r="H40" t="str">
        <f>"NOTARY APPLICATION-K. RICE"</f>
        <v>NOTARY APPLICATION-K. RICE</v>
      </c>
      <c r="I40" s="2">
        <v>91.94</v>
      </c>
      <c r="J40" t="str">
        <f>"NOTARY APPLICATION-K. RICE"</f>
        <v>NOTARY APPLICATION-K. RICE</v>
      </c>
    </row>
    <row r="41" spans="1:10" x14ac:dyDescent="0.3">
      <c r="A41" t="str">
        <f>""</f>
        <v/>
      </c>
      <c r="G41" t="str">
        <f>"201706303309"</f>
        <v>201706303309</v>
      </c>
      <c r="H41" t="str">
        <f>"NOTARY APPLICATION-D. WOLF"</f>
        <v>NOTARY APPLICATION-D. WOLF</v>
      </c>
      <c r="I41" s="2">
        <v>91.94</v>
      </c>
      <c r="J41" t="str">
        <f>"NOTARY APPLICATION-D. WOLF"</f>
        <v>NOTARY APPLICATION-D. WOLF</v>
      </c>
    </row>
    <row r="42" spans="1:10" x14ac:dyDescent="0.3">
      <c r="A42" t="str">
        <f>"T6702"</f>
        <v>T6702</v>
      </c>
      <c r="B42" t="s">
        <v>27</v>
      </c>
      <c r="C42">
        <v>71611</v>
      </c>
      <c r="D42" s="2">
        <v>45.85</v>
      </c>
      <c r="E42" s="1">
        <v>42940</v>
      </c>
      <c r="F42" t="s">
        <v>11</v>
      </c>
      <c r="G42" t="str">
        <f>"STAMP&amp;BOOK-HORSLEY"</f>
        <v>STAMP&amp;BOOK-HORSLEY</v>
      </c>
      <c r="H42" t="str">
        <f>"NOTARY HORSLEY"</f>
        <v>NOTARY HORSLEY</v>
      </c>
      <c r="I42" s="2">
        <v>45.85</v>
      </c>
      <c r="J42" t="str">
        <f>"STAMP HORSLEY"</f>
        <v>STAMP HORSLEY</v>
      </c>
    </row>
    <row r="43" spans="1:10" x14ac:dyDescent="0.3">
      <c r="A43" t="str">
        <f>""</f>
        <v/>
      </c>
      <c r="G43" t="str">
        <f>""</f>
        <v/>
      </c>
      <c r="H43" t="str">
        <f>""</f>
        <v/>
      </c>
      <c r="J43" t="str">
        <f>"NOTARY BOOK"</f>
        <v>NOTARY BOOK</v>
      </c>
    </row>
    <row r="44" spans="1:10" x14ac:dyDescent="0.3">
      <c r="A44" t="str">
        <f>""</f>
        <v/>
      </c>
      <c r="G44" t="str">
        <f>""</f>
        <v/>
      </c>
      <c r="H44" t="str">
        <f>""</f>
        <v/>
      </c>
      <c r="J44" t="str">
        <f>"SHIPPING"</f>
        <v>SHIPPING</v>
      </c>
    </row>
    <row r="45" spans="1:10" x14ac:dyDescent="0.3">
      <c r="A45" t="str">
        <f>"003296"</f>
        <v>003296</v>
      </c>
      <c r="B45" t="s">
        <v>28</v>
      </c>
      <c r="C45">
        <v>71612</v>
      </c>
      <c r="D45" s="2">
        <v>1446.34</v>
      </c>
      <c r="E45" s="1">
        <v>42940</v>
      </c>
      <c r="F45" t="s">
        <v>11</v>
      </c>
      <c r="G45" t="str">
        <f>"S092756248"</f>
        <v>S092756248</v>
      </c>
      <c r="H45" t="str">
        <f>"ACCT#379865/PCT#2"</f>
        <v>ACCT#379865/PCT#2</v>
      </c>
      <c r="I45" s="2">
        <v>1446.34</v>
      </c>
      <c r="J45" t="str">
        <f>"ACCT#379865/PCT#2"</f>
        <v>ACCT#379865/PCT#2</v>
      </c>
    </row>
    <row r="46" spans="1:10" x14ac:dyDescent="0.3">
      <c r="A46" t="str">
        <f>"002148"</f>
        <v>002148</v>
      </c>
      <c r="B46" t="s">
        <v>29</v>
      </c>
      <c r="C46">
        <v>71373</v>
      </c>
      <c r="D46" s="2">
        <v>125.95</v>
      </c>
      <c r="E46" s="1">
        <v>42926</v>
      </c>
      <c r="F46" t="s">
        <v>11</v>
      </c>
      <c r="G46" t="str">
        <f>"921814585"</f>
        <v>921814585</v>
      </c>
      <c r="H46" t="str">
        <f>"MEDICAL"</f>
        <v>MEDICAL</v>
      </c>
      <c r="I46" s="2">
        <v>125.95</v>
      </c>
      <c r="J46" t="str">
        <f>"MED INV921814584"</f>
        <v>MED INV921814584</v>
      </c>
    </row>
    <row r="47" spans="1:10" x14ac:dyDescent="0.3">
      <c r="A47" t="str">
        <f>""</f>
        <v/>
      </c>
      <c r="G47" t="str">
        <f>""</f>
        <v/>
      </c>
      <c r="H47" t="str">
        <f>""</f>
        <v/>
      </c>
      <c r="J47" t="str">
        <f>"MED INV921814585"</f>
        <v>MED INV921814585</v>
      </c>
    </row>
    <row r="48" spans="1:10" x14ac:dyDescent="0.3">
      <c r="A48" t="str">
        <f>"T7520"</f>
        <v>T7520</v>
      </c>
      <c r="B48" t="s">
        <v>30</v>
      </c>
      <c r="C48">
        <v>71374</v>
      </c>
      <c r="D48" s="2">
        <v>775</v>
      </c>
      <c r="E48" s="1">
        <v>42926</v>
      </c>
      <c r="F48" t="s">
        <v>11</v>
      </c>
      <c r="G48" t="str">
        <f>"201706293297"</f>
        <v>201706293297</v>
      </c>
      <c r="H48" t="str">
        <f>"16283"</f>
        <v>16283</v>
      </c>
      <c r="I48" s="2">
        <v>400</v>
      </c>
      <c r="J48" t="str">
        <f>"16283"</f>
        <v>16283</v>
      </c>
    </row>
    <row r="49" spans="1:10" x14ac:dyDescent="0.3">
      <c r="A49" t="str">
        <f>""</f>
        <v/>
      </c>
      <c r="G49" t="str">
        <f>"201707063372"</f>
        <v>201707063372</v>
      </c>
      <c r="H49" t="str">
        <f>"55 146"</f>
        <v>55 146</v>
      </c>
      <c r="I49" s="2">
        <v>375</v>
      </c>
      <c r="J49" t="str">
        <f>"55 146"</f>
        <v>55 146</v>
      </c>
    </row>
    <row r="50" spans="1:10" x14ac:dyDescent="0.3">
      <c r="A50" t="str">
        <f>"T7520"</f>
        <v>T7520</v>
      </c>
      <c r="B50" t="s">
        <v>30</v>
      </c>
      <c r="C50">
        <v>71613</v>
      </c>
      <c r="D50" s="2">
        <v>2650</v>
      </c>
      <c r="E50" s="1">
        <v>42940</v>
      </c>
      <c r="F50" t="s">
        <v>11</v>
      </c>
      <c r="G50" t="str">
        <f>"201707113578"</f>
        <v>201707113578</v>
      </c>
      <c r="H50" t="str">
        <f>"423-5096"</f>
        <v>423-5096</v>
      </c>
      <c r="I50" s="2">
        <v>100</v>
      </c>
      <c r="J50" t="str">
        <f>"423-5096"</f>
        <v>423-5096</v>
      </c>
    </row>
    <row r="51" spans="1:10" x14ac:dyDescent="0.3">
      <c r="A51" t="str">
        <f>""</f>
        <v/>
      </c>
      <c r="G51" t="str">
        <f>"201707113579"</f>
        <v>201707113579</v>
      </c>
      <c r="H51" t="str">
        <f>"423-5086"</f>
        <v>423-5086</v>
      </c>
      <c r="I51" s="2">
        <v>100</v>
      </c>
      <c r="J51" t="str">
        <f>"423-5086"</f>
        <v>423-5086</v>
      </c>
    </row>
    <row r="52" spans="1:10" x14ac:dyDescent="0.3">
      <c r="A52" t="str">
        <f>""</f>
        <v/>
      </c>
      <c r="G52" t="str">
        <f>"201707113580"</f>
        <v>201707113580</v>
      </c>
      <c r="H52" t="str">
        <f>"423-5068"</f>
        <v>423-5068</v>
      </c>
      <c r="I52" s="2">
        <v>100</v>
      </c>
      <c r="J52" t="str">
        <f>"423-5068"</f>
        <v>423-5068</v>
      </c>
    </row>
    <row r="53" spans="1:10" x14ac:dyDescent="0.3">
      <c r="A53" t="str">
        <f>""</f>
        <v/>
      </c>
      <c r="G53" t="str">
        <f>"201707113581"</f>
        <v>201707113581</v>
      </c>
      <c r="H53" t="str">
        <f>"15 985"</f>
        <v>15 985</v>
      </c>
      <c r="I53" s="2">
        <v>400</v>
      </c>
      <c r="J53" t="str">
        <f>"15 985"</f>
        <v>15 985</v>
      </c>
    </row>
    <row r="54" spans="1:10" x14ac:dyDescent="0.3">
      <c r="A54" t="str">
        <f>""</f>
        <v/>
      </c>
      <c r="G54" t="str">
        <f>"201707113582"</f>
        <v>201707113582</v>
      </c>
      <c r="H54" t="str">
        <f>"14 949"</f>
        <v>14 949</v>
      </c>
      <c r="I54" s="2">
        <v>400</v>
      </c>
      <c r="J54" t="str">
        <f>"14 949"</f>
        <v>14 949</v>
      </c>
    </row>
    <row r="55" spans="1:10" x14ac:dyDescent="0.3">
      <c r="A55" t="str">
        <f>""</f>
        <v/>
      </c>
      <c r="G55" t="str">
        <f>"201707113583"</f>
        <v>201707113583</v>
      </c>
      <c r="H55" t="str">
        <f>"02-0803-3/55 146"</f>
        <v>02-0803-3/55 146</v>
      </c>
      <c r="I55" s="2">
        <v>150</v>
      </c>
      <c r="J55" t="str">
        <f>"02-0803-3/55 146"</f>
        <v>02-0803-3/55 146</v>
      </c>
    </row>
    <row r="56" spans="1:10" x14ac:dyDescent="0.3">
      <c r="A56" t="str">
        <f>""</f>
        <v/>
      </c>
      <c r="G56" t="str">
        <f>"201707113584"</f>
        <v>201707113584</v>
      </c>
      <c r="H56" t="str">
        <f>"423-5096"</f>
        <v>423-5096</v>
      </c>
      <c r="I56" s="2">
        <v>100</v>
      </c>
      <c r="J56" t="str">
        <f>"423-5096"</f>
        <v>423-5096</v>
      </c>
    </row>
    <row r="57" spans="1:10" x14ac:dyDescent="0.3">
      <c r="A57" t="str">
        <f>""</f>
        <v/>
      </c>
      <c r="G57" t="str">
        <f>"201707143633"</f>
        <v>201707143633</v>
      </c>
      <c r="H57" t="str">
        <f>"13 014"</f>
        <v>13 014</v>
      </c>
      <c r="I57" s="2">
        <v>400</v>
      </c>
      <c r="J57" t="str">
        <f>"13 014"</f>
        <v>13 014</v>
      </c>
    </row>
    <row r="58" spans="1:10" x14ac:dyDescent="0.3">
      <c r="A58" t="str">
        <f>""</f>
        <v/>
      </c>
      <c r="G58" t="str">
        <f>"201707143634"</f>
        <v>201707143634</v>
      </c>
      <c r="H58" t="str">
        <f>"15 985"</f>
        <v>15 985</v>
      </c>
      <c r="I58" s="2">
        <v>400</v>
      </c>
      <c r="J58" t="str">
        <f>"15 985"</f>
        <v>15 985</v>
      </c>
    </row>
    <row r="59" spans="1:10" x14ac:dyDescent="0.3">
      <c r="A59" t="str">
        <f>""</f>
        <v/>
      </c>
      <c r="G59" t="str">
        <f>"201707183699"</f>
        <v>201707183699</v>
      </c>
      <c r="H59" t="str">
        <f>"54 800"</f>
        <v>54 800</v>
      </c>
      <c r="I59" s="2">
        <v>250</v>
      </c>
      <c r="J59" t="str">
        <f>"54 800"</f>
        <v>54 800</v>
      </c>
    </row>
    <row r="60" spans="1:10" x14ac:dyDescent="0.3">
      <c r="A60" t="str">
        <f>""</f>
        <v/>
      </c>
      <c r="G60" t="str">
        <f>"201707183701"</f>
        <v>201707183701</v>
      </c>
      <c r="H60" t="str">
        <f>"55 286"</f>
        <v>55 286</v>
      </c>
      <c r="I60" s="2">
        <v>250</v>
      </c>
      <c r="J60" t="str">
        <f>"55 286"</f>
        <v>55 286</v>
      </c>
    </row>
    <row r="61" spans="1:10" x14ac:dyDescent="0.3">
      <c r="A61" t="str">
        <f>"002661"</f>
        <v>002661</v>
      </c>
      <c r="B61" t="s">
        <v>31</v>
      </c>
      <c r="C61">
        <v>71614</v>
      </c>
      <c r="D61" s="2">
        <v>30.48</v>
      </c>
      <c r="E61" s="1">
        <v>42940</v>
      </c>
      <c r="F61" t="s">
        <v>11</v>
      </c>
      <c r="G61" t="str">
        <f>"201707113496"</f>
        <v>201707113496</v>
      </c>
      <c r="H61" t="str">
        <f>"ACCT#3-3053/1706-346898"</f>
        <v>ACCT#3-3053/1706-346898</v>
      </c>
      <c r="I61" s="2">
        <v>30.48</v>
      </c>
      <c r="J61" t="str">
        <f>"ACCT#3-3053/1706-346898"</f>
        <v>ACCT#3-3053/1706-346898</v>
      </c>
    </row>
    <row r="62" spans="1:10" x14ac:dyDescent="0.3">
      <c r="A62" t="str">
        <f>"004902"</f>
        <v>004902</v>
      </c>
      <c r="B62" t="s">
        <v>32</v>
      </c>
      <c r="C62">
        <v>71615</v>
      </c>
      <c r="D62" s="2">
        <v>395.9</v>
      </c>
      <c r="E62" s="1">
        <v>42940</v>
      </c>
      <c r="F62" t="s">
        <v>11</v>
      </c>
      <c r="G62" t="str">
        <f>"201707113488"</f>
        <v>201707113488</v>
      </c>
      <c r="H62" t="str">
        <f>"MILEAGE REIMBURSEMENT"</f>
        <v>MILEAGE REIMBURSEMENT</v>
      </c>
      <c r="I62" s="2">
        <v>395.9</v>
      </c>
      <c r="J62" t="str">
        <f>"MILEAGE REIMBURSEMENT"</f>
        <v>MILEAGE REIMBURSEMENT</v>
      </c>
    </row>
    <row r="63" spans="1:10" x14ac:dyDescent="0.3">
      <c r="A63" t="str">
        <f>"AQUAB"</f>
        <v>AQUAB</v>
      </c>
      <c r="B63" t="s">
        <v>33</v>
      </c>
      <c r="C63">
        <v>71375</v>
      </c>
      <c r="D63" s="2">
        <v>61.5</v>
      </c>
      <c r="E63" s="1">
        <v>42926</v>
      </c>
      <c r="F63" t="s">
        <v>11</v>
      </c>
      <c r="G63" t="str">
        <f>"290871/292122"</f>
        <v>290871/292122</v>
      </c>
      <c r="H63" t="str">
        <f>"ACCT#012259/DISTRICT CLERK"</f>
        <v>ACCT#012259/DISTRICT CLERK</v>
      </c>
      <c r="I63" s="2">
        <v>61.5</v>
      </c>
      <c r="J63" t="str">
        <f>"ACCT#012259/DISTRICT CLERK"</f>
        <v>ACCT#012259/DISTRICT CLERK</v>
      </c>
    </row>
    <row r="64" spans="1:10" x14ac:dyDescent="0.3">
      <c r="A64" t="str">
        <f>"AQUAB"</f>
        <v>AQUAB</v>
      </c>
      <c r="B64" t="s">
        <v>33</v>
      </c>
      <c r="C64">
        <v>71616</v>
      </c>
      <c r="D64" s="2">
        <v>803.45</v>
      </c>
      <c r="E64" s="1">
        <v>42940</v>
      </c>
      <c r="F64" t="s">
        <v>11</v>
      </c>
      <c r="G64" t="str">
        <f>"010835 - 06302017"</f>
        <v>010835 - 06302017</v>
      </c>
      <c r="H64" t="str">
        <f>"ACCT # 010835 - 06302017 / P1"</f>
        <v>ACCT # 010835 - 06302017 / P1</v>
      </c>
      <c r="I64" s="2">
        <v>19.34</v>
      </c>
      <c r="J64" t="str">
        <f>"ACCT # 010835 - 06302017 / P1"</f>
        <v>ACCT # 010835 - 06302017 / P1</v>
      </c>
    </row>
    <row r="65" spans="1:10" x14ac:dyDescent="0.3">
      <c r="A65" t="str">
        <f>""</f>
        <v/>
      </c>
      <c r="G65" t="str">
        <f>"201707133619"</f>
        <v>201707133619</v>
      </c>
      <c r="H65" t="str">
        <f>"ACCT#010057/AUDITOR"</f>
        <v>ACCT#010057/AUDITOR</v>
      </c>
      <c r="I65" s="2">
        <v>24</v>
      </c>
      <c r="J65" t="str">
        <f>"ACCT#010057/AUDITOR"</f>
        <v>ACCT#010057/AUDITOR</v>
      </c>
    </row>
    <row r="66" spans="1:10" x14ac:dyDescent="0.3">
      <c r="A66" t="str">
        <f>""</f>
        <v/>
      </c>
      <c r="G66" t="str">
        <f>"201707133620"</f>
        <v>201707133620</v>
      </c>
      <c r="H66" t="str">
        <f>"ACCT#010238/GENERAL SVCS"</f>
        <v>ACCT#010238/GENERAL SVCS</v>
      </c>
      <c r="I66" s="2">
        <v>93.75</v>
      </c>
      <c r="J66" t="str">
        <f>"ACCT#010238/GENERAL SVCS"</f>
        <v>ACCT#010238/GENERAL SVCS</v>
      </c>
    </row>
    <row r="67" spans="1:10" x14ac:dyDescent="0.3">
      <c r="A67" t="str">
        <f>""</f>
        <v/>
      </c>
      <c r="G67" t="str">
        <f>"201707133621"</f>
        <v>201707133621</v>
      </c>
      <c r="H67" t="str">
        <f>"ACCT#013789/INDG HEALTH"</f>
        <v>ACCT#013789/INDG HEALTH</v>
      </c>
      <c r="I67" s="2">
        <v>41.84</v>
      </c>
      <c r="J67" t="str">
        <f>"ACCT#013789/INDG HEALTH"</f>
        <v>ACCT#013789/INDG HEALTH</v>
      </c>
    </row>
    <row r="68" spans="1:10" x14ac:dyDescent="0.3">
      <c r="A68" t="str">
        <f>""</f>
        <v/>
      </c>
      <c r="G68" t="str">
        <f>"201707133622"</f>
        <v>201707133622</v>
      </c>
      <c r="H68" t="str">
        <f>"ACCT#012260/DA'S OFFICE"</f>
        <v>ACCT#012260/DA'S OFFICE</v>
      </c>
      <c r="I68" s="2">
        <v>45</v>
      </c>
      <c r="J68" t="str">
        <f>"ACCT#012260/DA'S OFFICE"</f>
        <v>ACCT#012260/DA'S OFFICE</v>
      </c>
    </row>
    <row r="69" spans="1:10" x14ac:dyDescent="0.3">
      <c r="A69" t="str">
        <f>""</f>
        <v/>
      </c>
      <c r="G69" t="str">
        <f>"201707133623"</f>
        <v>201707133623</v>
      </c>
      <c r="H69" t="str">
        <f>"ACCT#011280/COUNTY CLERK"</f>
        <v>ACCT#011280/COUNTY CLERK</v>
      </c>
      <c r="I69" s="2">
        <v>54</v>
      </c>
      <c r="J69" t="str">
        <f>"ACCT#011280/COUNTY CLERK"</f>
        <v>ACCT#011280/COUNTY CLERK</v>
      </c>
    </row>
    <row r="70" spans="1:10" x14ac:dyDescent="0.3">
      <c r="A70" t="str">
        <f>""</f>
        <v/>
      </c>
      <c r="G70" t="str">
        <f>"201707133624"</f>
        <v>201707133624</v>
      </c>
      <c r="H70" t="str">
        <f>"ACCT#011474/ELECTIONS"</f>
        <v>ACCT#011474/ELECTIONS</v>
      </c>
      <c r="I70" s="2">
        <v>6</v>
      </c>
      <c r="J70" t="str">
        <f>"ACCT#011474/ELECTIONS"</f>
        <v>ACCT#011474/ELECTIONS</v>
      </c>
    </row>
    <row r="71" spans="1:10" x14ac:dyDescent="0.3">
      <c r="A71" t="str">
        <f>""</f>
        <v/>
      </c>
      <c r="G71" t="str">
        <f>"201707143627"</f>
        <v>201707143627</v>
      </c>
      <c r="H71" t="str">
        <f>"ACCT#014877/OFFICE OF ER MGMT"</f>
        <v>ACCT#014877/OFFICE OF ER MGMT</v>
      </c>
      <c r="I71" s="2">
        <v>11.84</v>
      </c>
      <c r="J71" t="str">
        <f>"ACCT#014877/OFFICE OF ER MGMT"</f>
        <v>ACCT#014877/OFFICE OF ER MGMT</v>
      </c>
    </row>
    <row r="72" spans="1:10" x14ac:dyDescent="0.3">
      <c r="A72" t="str">
        <f>""</f>
        <v/>
      </c>
      <c r="G72" t="str">
        <f>"201707143657"</f>
        <v>201707143657</v>
      </c>
      <c r="H72" t="str">
        <f>"ACCT#010602/COMMISSIONER OFF"</f>
        <v>ACCT#010602/COMMISSIONER OFF</v>
      </c>
      <c r="I72" s="2">
        <v>60</v>
      </c>
      <c r="J72" t="str">
        <f>"ACCT#010602/COMMISSIONER OFF"</f>
        <v>ACCT#010602/COMMISSIONER OFF</v>
      </c>
    </row>
    <row r="73" spans="1:10" x14ac:dyDescent="0.3">
      <c r="A73" t="str">
        <f>""</f>
        <v/>
      </c>
      <c r="G73" t="str">
        <f>"201707143658"</f>
        <v>201707143658</v>
      </c>
      <c r="H73" t="str">
        <f>"ACCT#010149/AGRI LIFE EXT"</f>
        <v>ACCT#010149/AGRI LIFE EXT</v>
      </c>
      <c r="I73" s="2">
        <v>33.840000000000003</v>
      </c>
      <c r="J73" t="str">
        <f>"ACCT#010149/AGRI LIFE EXT"</f>
        <v>ACCT#010149/AGRI LIFE EXT</v>
      </c>
    </row>
    <row r="74" spans="1:10" x14ac:dyDescent="0.3">
      <c r="A74" t="str">
        <f>""</f>
        <v/>
      </c>
      <c r="G74" t="str">
        <f>"201707143659"</f>
        <v>201707143659</v>
      </c>
      <c r="H74" t="str">
        <f>"ACCT#012803/BASTROP CO JUDGE"</f>
        <v>ACCT#012803/BASTROP CO JUDGE</v>
      </c>
      <c r="I74" s="2">
        <v>30</v>
      </c>
      <c r="J74" t="str">
        <f>"ACCT#012803/BASTROP CO JUDGE"</f>
        <v>ACCT#012803/BASTROP CO JUDGE</v>
      </c>
    </row>
    <row r="75" spans="1:10" x14ac:dyDescent="0.3">
      <c r="A75" t="str">
        <f>""</f>
        <v/>
      </c>
      <c r="G75" t="str">
        <f>"201707143660"</f>
        <v>201707143660</v>
      </c>
      <c r="H75" t="str">
        <f>"ACCT#011955/DISTRICT JUDGE"</f>
        <v>ACCT#011955/DISTRICT JUDGE</v>
      </c>
      <c r="I75" s="2">
        <v>55.5</v>
      </c>
      <c r="J75" t="str">
        <f>"ACCT#011955/DISTRICT JUDGE"</f>
        <v>ACCT#011955/DISTRICT JUDGE</v>
      </c>
    </row>
    <row r="76" spans="1:10" x14ac:dyDescent="0.3">
      <c r="A76" t="str">
        <f>""</f>
        <v/>
      </c>
      <c r="G76" t="str">
        <f>"201707143661"</f>
        <v>201707143661</v>
      </c>
      <c r="H76" t="str">
        <f>"ACCT#015199/JP#1"</f>
        <v>ACCT#015199/JP#1</v>
      </c>
      <c r="I76" s="2">
        <v>9</v>
      </c>
      <c r="J76" t="str">
        <f>"ACCT#015199/JP#1"</f>
        <v>ACCT#015199/JP#1</v>
      </c>
    </row>
    <row r="77" spans="1:10" x14ac:dyDescent="0.3">
      <c r="A77" t="str">
        <f>""</f>
        <v/>
      </c>
      <c r="G77" t="str">
        <f>"201707173663"</f>
        <v>201707173663</v>
      </c>
      <c r="H77" t="str">
        <f>"ACCT#013393/HR"</f>
        <v>ACCT#013393/HR</v>
      </c>
      <c r="I77" s="2">
        <v>25</v>
      </c>
      <c r="J77" t="str">
        <f>"ACCT#013393/HR"</f>
        <v>ACCT#013393/HR</v>
      </c>
    </row>
    <row r="78" spans="1:10" x14ac:dyDescent="0.3">
      <c r="A78" t="str">
        <f>""</f>
        <v/>
      </c>
      <c r="G78" t="str">
        <f>"201707173664"</f>
        <v>201707173664</v>
      </c>
      <c r="H78" t="str">
        <f>"ACCT#012571/TREASURER'S OFFICE"</f>
        <v>ACCT#012571/TREASURER'S OFFICE</v>
      </c>
      <c r="I78" s="2">
        <v>24</v>
      </c>
      <c r="J78" t="str">
        <f>"ACCT#012571/TREASURER'S OFFICE"</f>
        <v>ACCT#012571/TREASURER'S OFFICE</v>
      </c>
    </row>
    <row r="79" spans="1:10" x14ac:dyDescent="0.3">
      <c r="A79" t="str">
        <f>""</f>
        <v/>
      </c>
      <c r="G79" t="str">
        <f>"201707183668"</f>
        <v>201707183668</v>
      </c>
      <c r="H79" t="str">
        <f>"ACCT#015476/PURCHASING DEPT"</f>
        <v>ACCT#015476/PURCHASING DEPT</v>
      </c>
      <c r="I79" s="2">
        <v>46.5</v>
      </c>
      <c r="J79" t="str">
        <f>"ACCT#015476/PURCHASING DEPT"</f>
        <v>ACCT#015476/PURCHASING DEPT</v>
      </c>
    </row>
    <row r="80" spans="1:10" x14ac:dyDescent="0.3">
      <c r="A80" t="str">
        <f>""</f>
        <v/>
      </c>
      <c r="G80" t="str">
        <f>"201707183669"</f>
        <v>201707183669</v>
      </c>
      <c r="H80" t="str">
        <f>"ACCT#010111/CCAL-BASTROP"</f>
        <v>ACCT#010111/CCAL-BASTROP</v>
      </c>
      <c r="I80" s="2">
        <v>13</v>
      </c>
      <c r="J80" t="str">
        <f>"ACCT#010111/CCAL-BASTROP"</f>
        <v>ACCT#010111/CCAL-BASTROP</v>
      </c>
    </row>
    <row r="81" spans="1:10" x14ac:dyDescent="0.3">
      <c r="A81" t="str">
        <f>""</f>
        <v/>
      </c>
      <c r="G81" t="str">
        <f>"201707183670"</f>
        <v>201707183670</v>
      </c>
      <c r="H81" t="str">
        <f>"ACCT#010311/CNTY CRT AT LAW"</f>
        <v>ACCT#010311/CNTY CRT AT LAW</v>
      </c>
      <c r="I81" s="2">
        <v>9</v>
      </c>
      <c r="J81" t="str">
        <f>"ACCT#010311/CNTY CRT AT LAW"</f>
        <v>ACCT#010311/CNTY CRT AT LAW</v>
      </c>
    </row>
    <row r="82" spans="1:10" x14ac:dyDescent="0.3">
      <c r="A82" t="str">
        <f>""</f>
        <v/>
      </c>
      <c r="G82" t="str">
        <f>"201707183675"</f>
        <v>201707183675</v>
      </c>
      <c r="H82" t="str">
        <f>"ACCT#012231/DIST JUDGE OFFICE"</f>
        <v>ACCT#012231/DIST JUDGE OFFICE</v>
      </c>
      <c r="I82" s="2">
        <v>10</v>
      </c>
      <c r="J82" t="str">
        <f>"ACCT#012231/DIST JUDGE OFFICE"</f>
        <v>ACCT#012231/DIST JUDGE OFFICE</v>
      </c>
    </row>
    <row r="83" spans="1:10" x14ac:dyDescent="0.3">
      <c r="A83" t="str">
        <f>""</f>
        <v/>
      </c>
      <c r="G83" t="str">
        <f>"201707193715"</f>
        <v>201707193715</v>
      </c>
      <c r="H83" t="str">
        <f>"ACCT#011033/IT DEPT"</f>
        <v>ACCT#011033/IT DEPT</v>
      </c>
      <c r="I83" s="2">
        <v>21</v>
      </c>
      <c r="J83" t="str">
        <f>"ACCT#011033/IT DEPT"</f>
        <v>ACCT#011033/IT DEPT</v>
      </c>
    </row>
    <row r="84" spans="1:10" x14ac:dyDescent="0.3">
      <c r="A84" t="str">
        <f>""</f>
        <v/>
      </c>
      <c r="G84" t="str">
        <f>"201707193716"</f>
        <v>201707193716</v>
      </c>
      <c r="H84" t="str">
        <f>"ACCT#014737/ANIMAL SHELTER"</f>
        <v>ACCT#014737/ANIMAL SHELTER</v>
      </c>
      <c r="I84" s="2">
        <v>40.340000000000003</v>
      </c>
      <c r="J84" t="str">
        <f>"ACCT#014737/ANIMAL SHELTER"</f>
        <v>ACCT#014737/ANIMAL SHELTER</v>
      </c>
    </row>
    <row r="85" spans="1:10" x14ac:dyDescent="0.3">
      <c r="A85" t="str">
        <f>""</f>
        <v/>
      </c>
      <c r="G85" t="str">
        <f>"201707193766"</f>
        <v>201707193766</v>
      </c>
      <c r="H85" t="str">
        <f>"ACCT#012259/DIST CLERK"</f>
        <v>ACCT#012259/DIST CLERK</v>
      </c>
      <c r="I85" s="2">
        <v>130.5</v>
      </c>
      <c r="J85" t="str">
        <f>"ACCT#012259/DIST CLERK"</f>
        <v>ACCT#012259/DIST CLERK</v>
      </c>
    </row>
    <row r="86" spans="1:10" x14ac:dyDescent="0.3">
      <c r="A86" t="str">
        <f>"AWS"</f>
        <v>AWS</v>
      </c>
      <c r="B86" t="s">
        <v>34</v>
      </c>
      <c r="C86">
        <v>0</v>
      </c>
      <c r="D86" s="2">
        <v>1887.55</v>
      </c>
      <c r="E86" s="1">
        <v>42922</v>
      </c>
      <c r="F86" t="s">
        <v>35</v>
      </c>
      <c r="G86" t="str">
        <f>"201707063444"</f>
        <v>201707063444</v>
      </c>
      <c r="H86" t="str">
        <f>"ACCT #0401408501 - 070117"</f>
        <v>ACCT #0401408501 - 070117</v>
      </c>
      <c r="I86" s="2">
        <v>680.46</v>
      </c>
      <c r="J86" t="str">
        <f>"ACCT #0401408501 - 070117"</f>
        <v>ACCT #0401408501 - 070117</v>
      </c>
    </row>
    <row r="87" spans="1:10" x14ac:dyDescent="0.3">
      <c r="A87" t="str">
        <f>""</f>
        <v/>
      </c>
      <c r="G87" t="str">
        <f>"201707063445"</f>
        <v>201707063445</v>
      </c>
      <c r="H87" t="str">
        <f>"ACCT #0400785803 -070117"</f>
        <v>ACCT #0400785803 -070117</v>
      </c>
      <c r="I87" s="2">
        <v>474.6</v>
      </c>
      <c r="J87" t="str">
        <f>"ACCT #0400785803 -070117"</f>
        <v>ACCT #0400785803 -070117</v>
      </c>
    </row>
    <row r="88" spans="1:10" x14ac:dyDescent="0.3">
      <c r="A88" t="str">
        <f>""</f>
        <v/>
      </c>
      <c r="G88" t="str">
        <f>"201707063446"</f>
        <v>201707063446</v>
      </c>
      <c r="H88" t="str">
        <f>"ACCT #0201891401 - 070117"</f>
        <v>ACCT #0201891401 - 070117</v>
      </c>
      <c r="I88" s="2">
        <v>30.69</v>
      </c>
      <c r="J88" t="str">
        <f>"ACCT #0201891401 - 070117"</f>
        <v>ACCT #0201891401 - 070117</v>
      </c>
    </row>
    <row r="89" spans="1:10" x14ac:dyDescent="0.3">
      <c r="A89" t="str">
        <f>""</f>
        <v/>
      </c>
      <c r="G89" t="str">
        <f>"201707063447"</f>
        <v>201707063447</v>
      </c>
      <c r="H89" t="str">
        <f>"ACCT #0201855301 - 070117"</f>
        <v>ACCT #0201855301 - 070117</v>
      </c>
      <c r="I89" s="2">
        <v>30.31</v>
      </c>
      <c r="J89" t="str">
        <f>"ACCT #0201855301 - 070117"</f>
        <v>ACCT #0201855301 - 070117</v>
      </c>
    </row>
    <row r="90" spans="1:10" x14ac:dyDescent="0.3">
      <c r="A90" t="str">
        <f>""</f>
        <v/>
      </c>
      <c r="G90" t="str">
        <f>"201707063448"</f>
        <v>201707063448</v>
      </c>
      <c r="H90" t="str">
        <f>"ACCT #0102120801 - 070117"</f>
        <v>ACCT #0102120801 - 070117</v>
      </c>
      <c r="I90" s="2">
        <v>635.76</v>
      </c>
      <c r="J90" t="str">
        <f>"ACCT #0102120801 - 070117"</f>
        <v>ACCT #0102120801 - 070117</v>
      </c>
    </row>
    <row r="91" spans="1:10" x14ac:dyDescent="0.3">
      <c r="A91" t="str">
        <f>""</f>
        <v/>
      </c>
      <c r="G91" t="str">
        <f>"201707063449"</f>
        <v>201707063449</v>
      </c>
      <c r="H91" t="str">
        <f>"ACCT #0800042801 - 070117"</f>
        <v>ACCT #0800042801 - 070117</v>
      </c>
      <c r="I91" s="2">
        <v>35.729999999999997</v>
      </c>
      <c r="J91" t="str">
        <f>"ACCT #0800042801 - 070117"</f>
        <v>ACCT #0800042801 - 070117</v>
      </c>
    </row>
    <row r="92" spans="1:10" x14ac:dyDescent="0.3">
      <c r="A92" t="str">
        <f>"AWS"</f>
        <v>AWS</v>
      </c>
      <c r="B92" t="s">
        <v>34</v>
      </c>
      <c r="C92">
        <v>71617</v>
      </c>
      <c r="D92" s="2">
        <v>1804</v>
      </c>
      <c r="E92" s="1">
        <v>42940</v>
      </c>
      <c r="F92" t="s">
        <v>11</v>
      </c>
      <c r="G92" t="str">
        <f>"201707183680"</f>
        <v>201707183680</v>
      </c>
      <c r="H92" t="str">
        <f>"ACCT#7700010026/176 LOADS/PCT3"</f>
        <v>ACCT#7700010026/176 LOADS/PCT3</v>
      </c>
      <c r="I92" s="2">
        <v>1804</v>
      </c>
      <c r="J92" t="str">
        <f>"ACCT#7700010026/176 LOADS/PCT3"</f>
        <v>ACCT#7700010026/176 LOADS/PCT3</v>
      </c>
    </row>
    <row r="93" spans="1:10" x14ac:dyDescent="0.3">
      <c r="A93" t="str">
        <f>"003673"</f>
        <v>003673</v>
      </c>
      <c r="B93" t="s">
        <v>36</v>
      </c>
      <c r="C93">
        <v>71358</v>
      </c>
      <c r="D93" s="2">
        <v>4457.5</v>
      </c>
      <c r="E93" s="1">
        <v>42922</v>
      </c>
      <c r="F93" t="s">
        <v>11</v>
      </c>
      <c r="G93" t="str">
        <f>"201707063443"</f>
        <v>201707063443</v>
      </c>
      <c r="H93" t="str">
        <f>"512A49-0048 193 3"</f>
        <v>512A49-0048 193 3</v>
      </c>
      <c r="I93" s="2">
        <v>4457.5</v>
      </c>
      <c r="J93" t="str">
        <f>"512A49-0048 193 3"</f>
        <v>512A49-0048 193 3</v>
      </c>
    </row>
    <row r="94" spans="1:10" x14ac:dyDescent="0.3">
      <c r="A94" t="str">
        <f>""</f>
        <v/>
      </c>
      <c r="G94" t="str">
        <f>""</f>
        <v/>
      </c>
      <c r="H94" t="str">
        <f>""</f>
        <v/>
      </c>
      <c r="J94" t="str">
        <f>"512A49-0048 193 3"</f>
        <v>512A49-0048 193 3</v>
      </c>
    </row>
    <row r="95" spans="1:10" x14ac:dyDescent="0.3">
      <c r="A95" t="str">
        <f>""</f>
        <v/>
      </c>
      <c r="G95" t="str">
        <f>""</f>
        <v/>
      </c>
      <c r="H95" t="str">
        <f>""</f>
        <v/>
      </c>
      <c r="J95" t="str">
        <f>"512A49-0048 193 3"</f>
        <v>512A49-0048 193 3</v>
      </c>
    </row>
    <row r="96" spans="1:10" x14ac:dyDescent="0.3">
      <c r="A96" t="str">
        <f>""</f>
        <v/>
      </c>
      <c r="G96" t="str">
        <f>""</f>
        <v/>
      </c>
      <c r="H96" t="str">
        <f>""</f>
        <v/>
      </c>
      <c r="J96" t="str">
        <f>"512A49-0048 193 3"</f>
        <v>512A49-0048 193 3</v>
      </c>
    </row>
    <row r="97" spans="1:10" x14ac:dyDescent="0.3">
      <c r="A97" t="str">
        <f>""</f>
        <v/>
      </c>
      <c r="G97" t="str">
        <f>""</f>
        <v/>
      </c>
      <c r="H97" t="str">
        <f>""</f>
        <v/>
      </c>
      <c r="J97" t="str">
        <f>"512A49-0048 193 3"</f>
        <v>512A49-0048 193 3</v>
      </c>
    </row>
    <row r="98" spans="1:10" x14ac:dyDescent="0.3">
      <c r="A98" t="str">
        <f>"AT&amp;TLO"</f>
        <v>AT&amp;TLO</v>
      </c>
      <c r="B98" t="s">
        <v>37</v>
      </c>
      <c r="C98">
        <v>71618</v>
      </c>
      <c r="D98" s="2">
        <v>2833.61</v>
      </c>
      <c r="E98" s="1">
        <v>42940</v>
      </c>
      <c r="F98" t="s">
        <v>11</v>
      </c>
      <c r="G98" t="str">
        <f>"6381396308"</f>
        <v>6381396308</v>
      </c>
      <c r="H98" t="str">
        <f>"ACCT#831-000-6084 095"</f>
        <v>ACCT#831-000-6084 095</v>
      </c>
      <c r="I98" s="2">
        <v>1905.79</v>
      </c>
      <c r="J98" t="str">
        <f>"ACCT#831-000-6084 095"</f>
        <v>ACCT#831-000-6084 095</v>
      </c>
    </row>
    <row r="99" spans="1:10" x14ac:dyDescent="0.3">
      <c r="A99" t="str">
        <f>""</f>
        <v/>
      </c>
      <c r="G99" t="str">
        <f>"6397757304"</f>
        <v>6397757304</v>
      </c>
      <c r="H99" t="str">
        <f>"ACCT#831-000-6982 602"</f>
        <v>ACCT#831-000-6982 602</v>
      </c>
      <c r="I99" s="2">
        <v>927.82</v>
      </c>
      <c r="J99" t="str">
        <f>"ACCT#831-000-6982 602"</f>
        <v>ACCT#831-000-6982 602</v>
      </c>
    </row>
    <row r="100" spans="1:10" x14ac:dyDescent="0.3">
      <c r="A100" t="str">
        <f>"T7386"</f>
        <v>T7386</v>
      </c>
      <c r="B100" t="s">
        <v>37</v>
      </c>
      <c r="C100">
        <v>71619</v>
      </c>
      <c r="D100" s="2">
        <v>1792.5</v>
      </c>
      <c r="E100" s="1">
        <v>42940</v>
      </c>
      <c r="F100" t="s">
        <v>11</v>
      </c>
      <c r="G100" t="str">
        <f>"201707193767"</f>
        <v>201707193767</v>
      </c>
      <c r="H100" t="str">
        <f>"ACCT#512 303-1080 238 5"</f>
        <v>ACCT#512 303-1080 238 5</v>
      </c>
      <c r="I100" s="2">
        <v>1792.5</v>
      </c>
      <c r="J100" t="str">
        <f>"ACCT#512 303-1080 238 5"</f>
        <v>ACCT#512 303-1080 238 5</v>
      </c>
    </row>
    <row r="101" spans="1:10" x14ac:dyDescent="0.3">
      <c r="A101" t="str">
        <f>"AT&amp;TMO"</f>
        <v>AT&amp;TMO</v>
      </c>
      <c r="B101" t="s">
        <v>38</v>
      </c>
      <c r="C101">
        <v>71360</v>
      </c>
      <c r="D101" s="2">
        <v>2058.7399999999998</v>
      </c>
      <c r="E101" s="1">
        <v>42922</v>
      </c>
      <c r="F101" t="s">
        <v>11</v>
      </c>
      <c r="G101" t="str">
        <f>"287263291729X"</f>
        <v>287263291729X</v>
      </c>
      <c r="H101" t="str">
        <f>"287263291729 - 06202017"</f>
        <v>287263291729 - 06202017</v>
      </c>
      <c r="I101" s="2">
        <v>2058.7399999999998</v>
      </c>
      <c r="J101" t="str">
        <f>"287263291729 - 06202017"</f>
        <v>287263291729 - 06202017</v>
      </c>
    </row>
    <row r="102" spans="1:10" x14ac:dyDescent="0.3">
      <c r="A102" t="str">
        <f>"AT&amp;TMO"</f>
        <v>AT&amp;TMO</v>
      </c>
      <c r="B102" t="s">
        <v>38</v>
      </c>
      <c r="C102">
        <v>71620</v>
      </c>
      <c r="D102" s="2">
        <v>1707.28</v>
      </c>
      <c r="E102" s="1">
        <v>42940</v>
      </c>
      <c r="F102" t="s">
        <v>11</v>
      </c>
      <c r="G102" t="str">
        <f>"201707193760"</f>
        <v>201707193760</v>
      </c>
      <c r="H102" t="str">
        <f>"ACCT#287263291654"</f>
        <v>ACCT#287263291654</v>
      </c>
      <c r="I102" s="2">
        <v>37.99</v>
      </c>
      <c r="J102" t="str">
        <f t="shared" ref="J102:J119" si="1">"ACCT#287263291654"</f>
        <v>ACCT#287263291654</v>
      </c>
    </row>
    <row r="103" spans="1:10" x14ac:dyDescent="0.3">
      <c r="A103" t="str">
        <f>""</f>
        <v/>
      </c>
      <c r="G103" t="str">
        <f>"201707193761"</f>
        <v>201707193761</v>
      </c>
      <c r="H103" t="str">
        <f>"ACCT#287263291654"</f>
        <v>ACCT#287263291654</v>
      </c>
      <c r="I103" s="2">
        <v>35.99</v>
      </c>
      <c r="J103" t="str">
        <f t="shared" si="1"/>
        <v>ACCT#287263291654</v>
      </c>
    </row>
    <row r="104" spans="1:10" x14ac:dyDescent="0.3">
      <c r="A104" t="str">
        <f>""</f>
        <v/>
      </c>
      <c r="G104" t="str">
        <f>"201707193762"</f>
        <v>201707193762</v>
      </c>
      <c r="H104" t="str">
        <f>"ACCT#287263291654"</f>
        <v>ACCT#287263291654</v>
      </c>
      <c r="I104" s="2">
        <v>75.98</v>
      </c>
      <c r="J104" t="str">
        <f t="shared" si="1"/>
        <v>ACCT#287263291654</v>
      </c>
    </row>
    <row r="105" spans="1:10" x14ac:dyDescent="0.3">
      <c r="A105" t="str">
        <f>""</f>
        <v/>
      </c>
      <c r="G105" t="str">
        <f>"201707193764"</f>
        <v>201707193764</v>
      </c>
      <c r="H105" t="str">
        <f>"ACCT#287263291654"</f>
        <v>ACCT#287263291654</v>
      </c>
      <c r="I105" s="2">
        <v>1557.32</v>
      </c>
      <c r="J105" t="str">
        <f t="shared" si="1"/>
        <v>ACCT#287263291654</v>
      </c>
    </row>
    <row r="106" spans="1:10" x14ac:dyDescent="0.3">
      <c r="A106" t="str">
        <f>""</f>
        <v/>
      </c>
      <c r="G106" t="str">
        <f>""</f>
        <v/>
      </c>
      <c r="H106" t="str">
        <f>""</f>
        <v/>
      </c>
      <c r="J106" t="str">
        <f t="shared" si="1"/>
        <v>ACCT#287263291654</v>
      </c>
    </row>
    <row r="107" spans="1:10" x14ac:dyDescent="0.3">
      <c r="A107" t="str">
        <f>""</f>
        <v/>
      </c>
      <c r="G107" t="str">
        <f>""</f>
        <v/>
      </c>
      <c r="H107" t="str">
        <f>""</f>
        <v/>
      </c>
      <c r="J107" t="str">
        <f t="shared" si="1"/>
        <v>ACCT#287263291654</v>
      </c>
    </row>
    <row r="108" spans="1:10" x14ac:dyDescent="0.3">
      <c r="A108" t="str">
        <f>""</f>
        <v/>
      </c>
      <c r="G108" t="str">
        <f>""</f>
        <v/>
      </c>
      <c r="H108" t="str">
        <f>""</f>
        <v/>
      </c>
      <c r="J108" t="str">
        <f t="shared" si="1"/>
        <v>ACCT#287263291654</v>
      </c>
    </row>
    <row r="109" spans="1:10" x14ac:dyDescent="0.3">
      <c r="A109" t="str">
        <f>""</f>
        <v/>
      </c>
      <c r="G109" t="str">
        <f>""</f>
        <v/>
      </c>
      <c r="H109" t="str">
        <f>""</f>
        <v/>
      </c>
      <c r="J109" t="str">
        <f t="shared" si="1"/>
        <v>ACCT#287263291654</v>
      </c>
    </row>
    <row r="110" spans="1:10" x14ac:dyDescent="0.3">
      <c r="A110" t="str">
        <f>""</f>
        <v/>
      </c>
      <c r="G110" t="str">
        <f>""</f>
        <v/>
      </c>
      <c r="H110" t="str">
        <f>""</f>
        <v/>
      </c>
      <c r="J110" t="str">
        <f t="shared" si="1"/>
        <v>ACCT#287263291654</v>
      </c>
    </row>
    <row r="111" spans="1:10" x14ac:dyDescent="0.3">
      <c r="A111" t="str">
        <f>""</f>
        <v/>
      </c>
      <c r="G111" t="str">
        <f>""</f>
        <v/>
      </c>
      <c r="H111" t="str">
        <f>""</f>
        <v/>
      </c>
      <c r="J111" t="str">
        <f t="shared" si="1"/>
        <v>ACCT#287263291654</v>
      </c>
    </row>
    <row r="112" spans="1:10" x14ac:dyDescent="0.3">
      <c r="A112" t="str">
        <f>""</f>
        <v/>
      </c>
      <c r="G112" t="str">
        <f>""</f>
        <v/>
      </c>
      <c r="H112" t="str">
        <f>""</f>
        <v/>
      </c>
      <c r="J112" t="str">
        <f t="shared" si="1"/>
        <v>ACCT#287263291654</v>
      </c>
    </row>
    <row r="113" spans="1:10" x14ac:dyDescent="0.3">
      <c r="A113" t="str">
        <f>""</f>
        <v/>
      </c>
      <c r="G113" t="str">
        <f>""</f>
        <v/>
      </c>
      <c r="H113" t="str">
        <f>""</f>
        <v/>
      </c>
      <c r="J113" t="str">
        <f t="shared" si="1"/>
        <v>ACCT#287263291654</v>
      </c>
    </row>
    <row r="114" spans="1:10" x14ac:dyDescent="0.3">
      <c r="A114" t="str">
        <f>""</f>
        <v/>
      </c>
      <c r="G114" t="str">
        <f>""</f>
        <v/>
      </c>
      <c r="H114" t="str">
        <f>""</f>
        <v/>
      </c>
      <c r="J114" t="str">
        <f t="shared" si="1"/>
        <v>ACCT#287263291654</v>
      </c>
    </row>
    <row r="115" spans="1:10" x14ac:dyDescent="0.3">
      <c r="A115" t="str">
        <f>""</f>
        <v/>
      </c>
      <c r="G115" t="str">
        <f>""</f>
        <v/>
      </c>
      <c r="H115" t="str">
        <f>""</f>
        <v/>
      </c>
      <c r="J115" t="str">
        <f t="shared" si="1"/>
        <v>ACCT#287263291654</v>
      </c>
    </row>
    <row r="116" spans="1:10" x14ac:dyDescent="0.3">
      <c r="A116" t="str">
        <f>""</f>
        <v/>
      </c>
      <c r="G116" t="str">
        <f>""</f>
        <v/>
      </c>
      <c r="H116" t="str">
        <f>""</f>
        <v/>
      </c>
      <c r="J116" t="str">
        <f t="shared" si="1"/>
        <v>ACCT#287263291654</v>
      </c>
    </row>
    <row r="117" spans="1:10" x14ac:dyDescent="0.3">
      <c r="A117" t="str">
        <f>""</f>
        <v/>
      </c>
      <c r="G117" t="str">
        <f>""</f>
        <v/>
      </c>
      <c r="H117" t="str">
        <f>""</f>
        <v/>
      </c>
      <c r="J117" t="str">
        <f t="shared" si="1"/>
        <v>ACCT#287263291654</v>
      </c>
    </row>
    <row r="118" spans="1:10" x14ac:dyDescent="0.3">
      <c r="A118" t="str">
        <f>""</f>
        <v/>
      </c>
      <c r="G118" t="str">
        <f>""</f>
        <v/>
      </c>
      <c r="H118" t="str">
        <f>""</f>
        <v/>
      </c>
      <c r="J118" t="str">
        <f t="shared" si="1"/>
        <v>ACCT#287263291654</v>
      </c>
    </row>
    <row r="119" spans="1:10" x14ac:dyDescent="0.3">
      <c r="A119" t="str">
        <f>""</f>
        <v/>
      </c>
      <c r="G119" t="str">
        <f>""</f>
        <v/>
      </c>
      <c r="H119" t="str">
        <f>""</f>
        <v/>
      </c>
      <c r="J119" t="str">
        <f t="shared" si="1"/>
        <v>ACCT#287263291654</v>
      </c>
    </row>
    <row r="120" spans="1:10" x14ac:dyDescent="0.3">
      <c r="A120" t="str">
        <f>"AA-S"</f>
        <v>AA-S</v>
      </c>
      <c r="B120" t="s">
        <v>39</v>
      </c>
      <c r="C120">
        <v>71376</v>
      </c>
      <c r="D120" s="2">
        <v>60.34</v>
      </c>
      <c r="E120" s="1">
        <v>42926</v>
      </c>
      <c r="F120" t="s">
        <v>11</v>
      </c>
      <c r="G120" t="str">
        <f>"IOO162587-06172017"</f>
        <v>IOO162587-06172017</v>
      </c>
      <c r="H120" t="str">
        <f>"Order# 162587"</f>
        <v>Order# 162587</v>
      </c>
      <c r="I120" s="2">
        <v>60.34</v>
      </c>
      <c r="J120" t="str">
        <f>"Order# 162587"</f>
        <v>Order# 162587</v>
      </c>
    </row>
    <row r="121" spans="1:10" x14ac:dyDescent="0.3">
      <c r="A121" t="str">
        <f>"AA-S"</f>
        <v>AA-S</v>
      </c>
      <c r="B121" t="s">
        <v>39</v>
      </c>
      <c r="C121">
        <v>71621</v>
      </c>
      <c r="D121" s="2">
        <v>830.24</v>
      </c>
      <c r="E121" s="1">
        <v>42940</v>
      </c>
      <c r="F121" t="s">
        <v>11</v>
      </c>
      <c r="G121" t="str">
        <f>"CLIENT#30772"</f>
        <v>CLIENT#30772</v>
      </c>
      <c r="H121" t="str">
        <f>"Invoice"</f>
        <v>Invoice</v>
      </c>
      <c r="I121" s="2">
        <v>830.24</v>
      </c>
      <c r="J121" t="str">
        <f>"Invoice- 160324"</f>
        <v>Invoice- 160324</v>
      </c>
    </row>
    <row r="122" spans="1:10" x14ac:dyDescent="0.3">
      <c r="A122" t="str">
        <f>""</f>
        <v/>
      </c>
      <c r="G122" t="str">
        <f>""</f>
        <v/>
      </c>
      <c r="H122" t="str">
        <f>""</f>
        <v/>
      </c>
      <c r="J122" t="str">
        <f>"Invoice- 149964"</f>
        <v>Invoice- 149964</v>
      </c>
    </row>
    <row r="123" spans="1:10" x14ac:dyDescent="0.3">
      <c r="A123" t="str">
        <f>""</f>
        <v/>
      </c>
      <c r="G123" t="str">
        <f>""</f>
        <v/>
      </c>
      <c r="H123" t="str">
        <f>""</f>
        <v/>
      </c>
      <c r="J123" t="str">
        <f>"Invoice- 6012017"</f>
        <v>Invoice- 6012017</v>
      </c>
    </row>
    <row r="124" spans="1:10" x14ac:dyDescent="0.3">
      <c r="A124" t="str">
        <f>"001621"</f>
        <v>001621</v>
      </c>
      <c r="B124" t="s">
        <v>40</v>
      </c>
      <c r="C124">
        <v>71377</v>
      </c>
      <c r="D124" s="2">
        <v>45</v>
      </c>
      <c r="E124" s="1">
        <v>42926</v>
      </c>
      <c r="F124" t="s">
        <v>11</v>
      </c>
      <c r="G124" t="str">
        <f>"545038"</f>
        <v>545038</v>
      </c>
      <c r="H124" t="s">
        <v>41</v>
      </c>
      <c r="I124" s="2">
        <v>45</v>
      </c>
      <c r="J124" t="s">
        <v>41</v>
      </c>
    </row>
    <row r="125" spans="1:10" x14ac:dyDescent="0.3">
      <c r="A125" t="str">
        <f>"T1251"</f>
        <v>T1251</v>
      </c>
      <c r="B125" t="s">
        <v>42</v>
      </c>
      <c r="C125">
        <v>71378</v>
      </c>
      <c r="D125" s="2">
        <v>194.6</v>
      </c>
      <c r="E125" s="1">
        <v>42926</v>
      </c>
      <c r="F125" t="s">
        <v>11</v>
      </c>
      <c r="G125" t="str">
        <f>"201707053326"</f>
        <v>201707053326</v>
      </c>
      <c r="H125" t="str">
        <f>"LAB/X-RAY/INDIGENT HEALTH"</f>
        <v>LAB/X-RAY/INDIGENT HEALTH</v>
      </c>
      <c r="I125" s="2">
        <v>194.6</v>
      </c>
      <c r="J125" t="str">
        <f>"LAB/X-RAY/INDIGENT HEALTH"</f>
        <v>LAB/X-RAY/INDIGENT HEALTH</v>
      </c>
    </row>
    <row r="126" spans="1:10" x14ac:dyDescent="0.3">
      <c r="A126" t="str">
        <f>"T1251"</f>
        <v>T1251</v>
      </c>
      <c r="B126" t="s">
        <v>42</v>
      </c>
      <c r="C126">
        <v>71622</v>
      </c>
      <c r="D126" s="2">
        <v>106.07</v>
      </c>
      <c r="E126" s="1">
        <v>42940</v>
      </c>
      <c r="F126" t="s">
        <v>11</v>
      </c>
      <c r="G126" t="str">
        <f>"201707193775"</f>
        <v>201707193775</v>
      </c>
      <c r="H126" t="str">
        <f>"INDIGENT HEALTH"</f>
        <v>INDIGENT HEALTH</v>
      </c>
      <c r="I126" s="2">
        <v>106.07</v>
      </c>
      <c r="J126" t="str">
        <f>"INDIGENT HEALTH"</f>
        <v>INDIGENT HEALTH</v>
      </c>
    </row>
    <row r="127" spans="1:10" x14ac:dyDescent="0.3">
      <c r="A127" t="str">
        <f>""</f>
        <v/>
      </c>
      <c r="G127" t="str">
        <f>""</f>
        <v/>
      </c>
      <c r="H127" t="str">
        <f>""</f>
        <v/>
      </c>
      <c r="J127" t="str">
        <f>"INDIGENT HEALTH"</f>
        <v>INDIGENT HEALTH</v>
      </c>
    </row>
    <row r="128" spans="1:10" x14ac:dyDescent="0.3">
      <c r="A128" t="str">
        <f>"B&amp;B"</f>
        <v>B&amp;B</v>
      </c>
      <c r="B128" t="s">
        <v>43</v>
      </c>
      <c r="C128">
        <v>71379</v>
      </c>
      <c r="D128" s="2">
        <v>1413.1</v>
      </c>
      <c r="E128" s="1">
        <v>42926</v>
      </c>
      <c r="F128" t="s">
        <v>11</v>
      </c>
      <c r="G128" t="str">
        <f>"201707053347"</f>
        <v>201707053347</v>
      </c>
      <c r="H128" t="str">
        <f>"CUST#1650/PRECINCT#1"</f>
        <v>CUST#1650/PRECINCT#1</v>
      </c>
      <c r="I128" s="2">
        <v>119.78</v>
      </c>
      <c r="J128" t="str">
        <f>"CUST#1650/PRECINCT#1"</f>
        <v>CUST#1650/PRECINCT#1</v>
      </c>
    </row>
    <row r="129" spans="1:11" x14ac:dyDescent="0.3">
      <c r="A129" t="str">
        <f>""</f>
        <v/>
      </c>
      <c r="G129" t="str">
        <f>""</f>
        <v/>
      </c>
      <c r="H129" t="str">
        <f>""</f>
        <v/>
      </c>
      <c r="J129" t="str">
        <f>"CUST#1650/PRECINCT#1"</f>
        <v>CUST#1650/PRECINCT#1</v>
      </c>
    </row>
    <row r="130" spans="1:11" x14ac:dyDescent="0.3">
      <c r="A130" t="str">
        <f>""</f>
        <v/>
      </c>
      <c r="G130" t="str">
        <f>"201707053359"</f>
        <v>201707053359</v>
      </c>
      <c r="H130" t="str">
        <f>"CUST#1650/PRECINCT#1"</f>
        <v>CUST#1650/PRECINCT#1</v>
      </c>
      <c r="I130" s="2">
        <v>674.58</v>
      </c>
      <c r="J130" t="str">
        <f>"CUST#1650/PRECINCT#1"</f>
        <v>CUST#1650/PRECINCT#1</v>
      </c>
    </row>
    <row r="131" spans="1:11" x14ac:dyDescent="0.3">
      <c r="A131" t="str">
        <f>""</f>
        <v/>
      </c>
      <c r="G131" t="str">
        <f>""</f>
        <v/>
      </c>
      <c r="H131" t="str">
        <f>""</f>
        <v/>
      </c>
      <c r="J131" t="str">
        <f>"CUST#1650/PRECINCT#1"</f>
        <v>CUST#1650/PRECINCT#1</v>
      </c>
    </row>
    <row r="132" spans="1:11" x14ac:dyDescent="0.3">
      <c r="A132" t="str">
        <f>""</f>
        <v/>
      </c>
      <c r="G132" t="str">
        <f>"201707053362"</f>
        <v>201707053362</v>
      </c>
      <c r="H132" t="str">
        <f>"CUST#1750/PCT#3"</f>
        <v>CUST#1750/PCT#3</v>
      </c>
      <c r="I132" s="2">
        <v>441.38</v>
      </c>
      <c r="J132" t="str">
        <f>"CUST#1750/PCT#3"</f>
        <v>CUST#1750/PCT#3</v>
      </c>
    </row>
    <row r="133" spans="1:11" x14ac:dyDescent="0.3">
      <c r="A133" t="str">
        <f>""</f>
        <v/>
      </c>
      <c r="G133" t="str">
        <f>"201707053364"</f>
        <v>201707053364</v>
      </c>
      <c r="H133" t="str">
        <f>"CUST#1800/PRECINCT#4"</f>
        <v>CUST#1800/PRECINCT#4</v>
      </c>
      <c r="I133" s="2">
        <v>177.36</v>
      </c>
      <c r="J133" t="str">
        <f>"CUST#1800/PRECINCT#4"</f>
        <v>CUST#1800/PRECINCT#4</v>
      </c>
    </row>
    <row r="134" spans="1:11" x14ac:dyDescent="0.3">
      <c r="A134" t="str">
        <f>"001905"</f>
        <v>001905</v>
      </c>
      <c r="B134" t="s">
        <v>44</v>
      </c>
      <c r="C134">
        <v>71623</v>
      </c>
      <c r="D134" s="2">
        <v>118.32</v>
      </c>
      <c r="E134" s="1">
        <v>42940</v>
      </c>
      <c r="F134" t="s">
        <v>11</v>
      </c>
      <c r="G134" t="str">
        <f>"4243"</f>
        <v>4243</v>
      </c>
      <c r="H134" t="str">
        <f>"JAIL MEDICAL/PROVIDER#121"</f>
        <v>JAIL MEDICAL/PROVIDER#121</v>
      </c>
      <c r="I134" s="2">
        <v>118.32</v>
      </c>
      <c r="J134" t="str">
        <f>"JAIL MEDICAL"</f>
        <v>JAIL MEDICAL</v>
      </c>
    </row>
    <row r="135" spans="1:11" x14ac:dyDescent="0.3">
      <c r="A135" t="str">
        <f>"001769"</f>
        <v>001769</v>
      </c>
      <c r="B135" t="s">
        <v>45</v>
      </c>
      <c r="C135">
        <v>71380</v>
      </c>
      <c r="D135" s="2">
        <v>2050</v>
      </c>
      <c r="E135" s="1">
        <v>42926</v>
      </c>
      <c r="F135" t="s">
        <v>11</v>
      </c>
      <c r="G135" t="str">
        <f>"1521"</f>
        <v>1521</v>
      </c>
      <c r="H135" t="str">
        <f>"Tree Trimming"</f>
        <v>Tree Trimming</v>
      </c>
      <c r="I135" s="2">
        <v>2050</v>
      </c>
      <c r="J135" t="str">
        <f>"Tree Trimming"</f>
        <v>Tree Trimming</v>
      </c>
    </row>
    <row r="136" spans="1:11" x14ac:dyDescent="0.3">
      <c r="A136" t="str">
        <f>"001769"</f>
        <v>001769</v>
      </c>
      <c r="B136" t="s">
        <v>45</v>
      </c>
      <c r="C136">
        <v>71624</v>
      </c>
      <c r="D136" s="2">
        <v>7280</v>
      </c>
      <c r="E136" s="1">
        <v>42940</v>
      </c>
      <c r="F136" t="s">
        <v>11</v>
      </c>
      <c r="G136" t="str">
        <f>"1520"</f>
        <v>1520</v>
      </c>
      <c r="H136" t="str">
        <f>"Cement Slab"</f>
        <v>Cement Slab</v>
      </c>
      <c r="I136" s="2">
        <v>7280</v>
      </c>
      <c r="J136" t="str">
        <f>"Cement Slab"</f>
        <v>Cement Slab</v>
      </c>
    </row>
    <row r="137" spans="1:11" x14ac:dyDescent="0.3">
      <c r="A137" t="str">
        <f>"000025"</f>
        <v>000025</v>
      </c>
      <c r="B137" t="s">
        <v>46</v>
      </c>
      <c r="C137">
        <v>71625</v>
      </c>
      <c r="D137" s="2">
        <v>6852</v>
      </c>
      <c r="E137" s="1">
        <v>42940</v>
      </c>
      <c r="F137" t="s">
        <v>11</v>
      </c>
      <c r="G137" t="str">
        <f>"14387"</f>
        <v>14387</v>
      </c>
      <c r="H137" t="str">
        <f>"SHAWN HARRIS"</f>
        <v>SHAWN HARRIS</v>
      </c>
      <c r="I137" s="2">
        <v>6852</v>
      </c>
      <c r="J137" t="str">
        <f>"SHAWN HARRIS"</f>
        <v>SHAWN HARRIS</v>
      </c>
    </row>
    <row r="138" spans="1:11" x14ac:dyDescent="0.3">
      <c r="A138" t="str">
        <f>"T1636"</f>
        <v>T1636</v>
      </c>
      <c r="B138" t="s">
        <v>47</v>
      </c>
      <c r="C138">
        <v>71381</v>
      </c>
      <c r="D138" s="2">
        <v>1840</v>
      </c>
      <c r="E138" s="1">
        <v>42926</v>
      </c>
      <c r="F138" t="s">
        <v>11</v>
      </c>
      <c r="G138" t="s">
        <v>48</v>
      </c>
      <c r="H138" t="s">
        <v>49</v>
      </c>
      <c r="I138" s="2" t="str">
        <f>"SERVICE-4/28/17"</f>
        <v>SERVICE-4/28/17</v>
      </c>
      <c r="J138" t="str">
        <f>"995-4110"</f>
        <v>995-4110</v>
      </c>
      <c r="K138">
        <v>130</v>
      </c>
    </row>
    <row r="139" spans="1:11" x14ac:dyDescent="0.3">
      <c r="A139" t="str">
        <f>""</f>
        <v/>
      </c>
      <c r="G139" t="s">
        <v>48</v>
      </c>
      <c r="H139" t="s">
        <v>50</v>
      </c>
      <c r="I139" s="2" t="str">
        <f>"SERVICE-4/28/17"</f>
        <v>SERVICE-4/28/17</v>
      </c>
      <c r="J139" t="str">
        <f>"995-4110"</f>
        <v>995-4110</v>
      </c>
      <c r="K139">
        <v>35</v>
      </c>
    </row>
    <row r="140" spans="1:11" x14ac:dyDescent="0.3">
      <c r="A140" t="str">
        <f>""</f>
        <v/>
      </c>
      <c r="G140" t="str">
        <f>"11860"</f>
        <v>11860</v>
      </c>
      <c r="H140" t="str">
        <f>"SERVICE-5/5/2017"</f>
        <v>SERVICE-5/5/2017</v>
      </c>
      <c r="I140" s="2">
        <v>225</v>
      </c>
      <c r="J140" t="str">
        <f>"SERVICE-5/5/2017"</f>
        <v>SERVICE-5/5/2017</v>
      </c>
    </row>
    <row r="141" spans="1:11" x14ac:dyDescent="0.3">
      <c r="A141" t="str">
        <f>""</f>
        <v/>
      </c>
      <c r="G141" t="s">
        <v>51</v>
      </c>
      <c r="H141" t="s">
        <v>52</v>
      </c>
      <c r="I141" s="2" t="str">
        <f>"SERVICE-5/8/2017"</f>
        <v>SERVICE-5/8/2017</v>
      </c>
      <c r="J141" t="str">
        <f>"995-4110"</f>
        <v>995-4110</v>
      </c>
      <c r="K141">
        <v>550</v>
      </c>
    </row>
    <row r="142" spans="1:11" x14ac:dyDescent="0.3">
      <c r="A142" t="str">
        <f>""</f>
        <v/>
      </c>
      <c r="G142" t="s">
        <v>51</v>
      </c>
      <c r="H142" t="s">
        <v>53</v>
      </c>
      <c r="I142" s="2" t="str">
        <f>"SERVICE-5/9/2017"</f>
        <v>SERVICE-5/9/2017</v>
      </c>
      <c r="J142" t="str">
        <f>"995-4110"</f>
        <v>995-4110</v>
      </c>
      <c r="K142">
        <v>150</v>
      </c>
    </row>
    <row r="143" spans="1:11" x14ac:dyDescent="0.3">
      <c r="A143" t="str">
        <f>""</f>
        <v/>
      </c>
      <c r="G143" t="str">
        <f>"12580"</f>
        <v>12580</v>
      </c>
      <c r="H143" t="str">
        <f>"SERVICE-4/25/2017"</f>
        <v>SERVICE-4/25/2017</v>
      </c>
      <c r="I143" s="2">
        <v>75</v>
      </c>
      <c r="J143" t="str">
        <f>"SERVICE-4/25/2017"</f>
        <v>SERVICE-4/25/2017</v>
      </c>
    </row>
    <row r="144" spans="1:11" x14ac:dyDescent="0.3">
      <c r="A144" t="str">
        <f>""</f>
        <v/>
      </c>
      <c r="G144" t="str">
        <f>"12588"</f>
        <v>12588</v>
      </c>
      <c r="H144" t="str">
        <f>"SERVICE-5/2/2017"</f>
        <v>SERVICE-5/2/2017</v>
      </c>
      <c r="I144" s="2">
        <v>225</v>
      </c>
      <c r="J144" t="str">
        <f>"SERVICE-5/2/2017"</f>
        <v>SERVICE-5/2/2017</v>
      </c>
    </row>
    <row r="145" spans="1:10" x14ac:dyDescent="0.3">
      <c r="A145" t="str">
        <f>""</f>
        <v/>
      </c>
      <c r="G145" t="str">
        <f>"12652"</f>
        <v>12652</v>
      </c>
      <c r="H145" t="str">
        <f>"SERVICE-5/1/2017"</f>
        <v>SERVICE-5/1/2017</v>
      </c>
      <c r="I145" s="2">
        <v>150</v>
      </c>
      <c r="J145" t="str">
        <f>"SERVICE-5/1/2017"</f>
        <v>SERVICE-5/1/2017</v>
      </c>
    </row>
    <row r="146" spans="1:10" x14ac:dyDescent="0.3">
      <c r="A146" t="str">
        <f>""</f>
        <v/>
      </c>
      <c r="G146" t="str">
        <f>"12666"</f>
        <v>12666</v>
      </c>
      <c r="H146" t="str">
        <f>"SERVICE-4/19/2017"</f>
        <v>SERVICE-4/19/2017</v>
      </c>
      <c r="I146" s="2">
        <v>150</v>
      </c>
      <c r="J146" t="str">
        <f>"SERVICE-4/19/2017"</f>
        <v>SERVICE-4/19/2017</v>
      </c>
    </row>
    <row r="147" spans="1:10" x14ac:dyDescent="0.3">
      <c r="A147" t="str">
        <f>""</f>
        <v/>
      </c>
      <c r="G147" t="str">
        <f>"12667"</f>
        <v>12667</v>
      </c>
      <c r="H147" t="str">
        <f>"SERVICE-4/21/2017"</f>
        <v>SERVICE-4/21/2017</v>
      </c>
      <c r="I147" s="2">
        <v>75</v>
      </c>
      <c r="J147" t="str">
        <f>"SERVICE-4/21/2017"</f>
        <v>SERVICE-4/21/2017</v>
      </c>
    </row>
    <row r="148" spans="1:10" x14ac:dyDescent="0.3">
      <c r="A148" t="str">
        <f>""</f>
        <v/>
      </c>
      <c r="G148" t="str">
        <f>"12697"</f>
        <v>12697</v>
      </c>
      <c r="H148" t="str">
        <f>"SERVICE-5/3/2017"</f>
        <v>SERVICE-5/3/2017</v>
      </c>
      <c r="I148" s="2">
        <v>75</v>
      </c>
      <c r="J148" t="str">
        <f>"SERVICE-5/3/2017"</f>
        <v>SERVICE-5/3/2017</v>
      </c>
    </row>
    <row r="149" spans="1:10" x14ac:dyDescent="0.3">
      <c r="A149" t="str">
        <f>"T1636"</f>
        <v>T1636</v>
      </c>
      <c r="B149" t="s">
        <v>47</v>
      </c>
      <c r="C149">
        <v>71626</v>
      </c>
      <c r="D149" s="2">
        <v>1937</v>
      </c>
      <c r="E149" s="1">
        <v>42940</v>
      </c>
      <c r="F149" t="s">
        <v>11</v>
      </c>
      <c r="G149" t="str">
        <f>"12258"</f>
        <v>12258</v>
      </c>
      <c r="H149" t="str">
        <f>"ABST FEE-5/11/17"</f>
        <v>ABST FEE-5/11/17</v>
      </c>
      <c r="I149" s="2">
        <v>275</v>
      </c>
      <c r="J149" t="str">
        <f>"ABST FEE-5/11/17"</f>
        <v>ABST FEE-5/11/17</v>
      </c>
    </row>
    <row r="150" spans="1:10" x14ac:dyDescent="0.3">
      <c r="A150" t="str">
        <f>""</f>
        <v/>
      </c>
      <c r="G150" t="str">
        <f>"12362"</f>
        <v>12362</v>
      </c>
      <c r="H150" t="str">
        <f>"SERVICE 6/5/17"</f>
        <v>SERVICE 6/5/17</v>
      </c>
      <c r="I150" s="2">
        <v>325</v>
      </c>
      <c r="J150" t="str">
        <f>"SERVICE 6/5/17"</f>
        <v>SERVICE 6/5/17</v>
      </c>
    </row>
    <row r="151" spans="1:10" x14ac:dyDescent="0.3">
      <c r="A151" t="str">
        <f>""</f>
        <v/>
      </c>
      <c r="G151" t="str">
        <f>"12409 6/5/17"</f>
        <v>12409 6/5/17</v>
      </c>
      <c r="H151" t="str">
        <f>"SERVICE 6/5/17"</f>
        <v>SERVICE 6/5/17</v>
      </c>
      <c r="I151" s="2">
        <v>250</v>
      </c>
      <c r="J151" t="str">
        <f>"SERVICE 6/5/17"</f>
        <v>SERVICE 6/5/17</v>
      </c>
    </row>
    <row r="152" spans="1:10" x14ac:dyDescent="0.3">
      <c r="A152" t="str">
        <f>""</f>
        <v/>
      </c>
      <c r="G152" t="str">
        <f>"12426"</f>
        <v>12426</v>
      </c>
      <c r="H152" t="str">
        <f>"SERVICE 6/2/17"</f>
        <v>SERVICE 6/2/17</v>
      </c>
      <c r="I152" s="2">
        <v>325</v>
      </c>
      <c r="J152" t="str">
        <f>"SERVICE 6/2/17"</f>
        <v>SERVICE 6/2/17</v>
      </c>
    </row>
    <row r="153" spans="1:10" x14ac:dyDescent="0.3">
      <c r="A153" t="str">
        <f>""</f>
        <v/>
      </c>
      <c r="G153" t="str">
        <f>"12449"</f>
        <v>12449</v>
      </c>
      <c r="H153" t="str">
        <f>"SERVICE 6/2/17"</f>
        <v>SERVICE 6/2/17</v>
      </c>
      <c r="I153" s="2">
        <v>75</v>
      </c>
      <c r="J153" t="str">
        <f>"SERVICE 6/2/17"</f>
        <v>SERVICE 6/2/17</v>
      </c>
    </row>
    <row r="154" spans="1:10" x14ac:dyDescent="0.3">
      <c r="A154" t="str">
        <f>""</f>
        <v/>
      </c>
      <c r="G154" t="str">
        <f>"12456"</f>
        <v>12456</v>
      </c>
      <c r="H154" t="str">
        <f>"SERVICE 6/5/17"</f>
        <v>SERVICE 6/5/17</v>
      </c>
      <c r="I154" s="2">
        <v>212</v>
      </c>
      <c r="J154" t="str">
        <f>"SERVICE 6/5/17"</f>
        <v>SERVICE 6/5/17</v>
      </c>
    </row>
    <row r="155" spans="1:10" x14ac:dyDescent="0.3">
      <c r="A155" t="str">
        <f>""</f>
        <v/>
      </c>
      <c r="G155" t="str">
        <f>"12528"</f>
        <v>12528</v>
      </c>
      <c r="H155" t="str">
        <f>"SERVICE 6/5/17"</f>
        <v>SERVICE 6/5/17</v>
      </c>
      <c r="I155" s="2">
        <v>250</v>
      </c>
      <c r="J155" t="str">
        <f>"SERVICE 6/5/17"</f>
        <v>SERVICE 6/5/17</v>
      </c>
    </row>
    <row r="156" spans="1:10" x14ac:dyDescent="0.3">
      <c r="A156" t="str">
        <f>""</f>
        <v/>
      </c>
      <c r="G156" t="str">
        <f>"12668"</f>
        <v>12668</v>
      </c>
      <c r="H156" t="str">
        <f>"ABST FEE-5/11/17"</f>
        <v>ABST FEE-5/11/17</v>
      </c>
      <c r="I156" s="2">
        <v>75</v>
      </c>
      <c r="J156" t="str">
        <f>"ABST FEE-5/11/17"</f>
        <v>ABST FEE-5/11/17</v>
      </c>
    </row>
    <row r="157" spans="1:10" x14ac:dyDescent="0.3">
      <c r="A157" t="str">
        <f>""</f>
        <v/>
      </c>
      <c r="G157" t="str">
        <f>"12687"</f>
        <v>12687</v>
      </c>
      <c r="H157" t="str">
        <f>"SERVICE-6/1/17"</f>
        <v>SERVICE-6/1/17</v>
      </c>
      <c r="I157" s="2">
        <v>150</v>
      </c>
      <c r="J157" t="str">
        <f>"SERVICE-6/1/17"</f>
        <v>SERVICE-6/1/17</v>
      </c>
    </row>
    <row r="158" spans="1:10" x14ac:dyDescent="0.3">
      <c r="A158" t="str">
        <f>"BASCO"</f>
        <v>BASCO</v>
      </c>
      <c r="B158" t="s">
        <v>54</v>
      </c>
      <c r="C158">
        <v>71627</v>
      </c>
      <c r="D158" s="2">
        <v>996.62</v>
      </c>
      <c r="E158" s="1">
        <v>42940</v>
      </c>
      <c r="F158" t="s">
        <v>11</v>
      </c>
      <c r="G158" t="str">
        <f>"201707113491"</f>
        <v>201707113491</v>
      </c>
      <c r="H158" t="str">
        <f>"ACCT#BC01-6/30/17"</f>
        <v>ACCT#BC01-6/30/17</v>
      </c>
      <c r="I158" s="2">
        <v>996.62</v>
      </c>
      <c r="J158" t="str">
        <f>"ACCT#BC01-6/30/17"</f>
        <v>ACCT#BC01-6/30/17</v>
      </c>
    </row>
    <row r="159" spans="1:10" x14ac:dyDescent="0.3">
      <c r="A159" t="str">
        <f>""</f>
        <v/>
      </c>
      <c r="G159" t="str">
        <f>""</f>
        <v/>
      </c>
      <c r="H159" t="str">
        <f>""</f>
        <v/>
      </c>
      <c r="J159" t="str">
        <f>"ACCT#BC01-6/30/17"</f>
        <v>ACCT#BC01-6/30/17</v>
      </c>
    </row>
    <row r="160" spans="1:10" x14ac:dyDescent="0.3">
      <c r="A160" t="str">
        <f>"BCPD"</f>
        <v>BCPD</v>
      </c>
      <c r="B160" t="s">
        <v>55</v>
      </c>
      <c r="C160">
        <v>71382</v>
      </c>
      <c r="D160" s="2">
        <v>74704.5</v>
      </c>
      <c r="E160" s="1">
        <v>42926</v>
      </c>
      <c r="F160" t="s">
        <v>11</v>
      </c>
      <c r="G160" t="str">
        <f>"3RD QTR FY '17"</f>
        <v>3RD QTR FY '17</v>
      </c>
      <c r="H160" t="str">
        <f>"BASTROP COUNTY CONTRIBUTION"</f>
        <v>BASTROP COUNTY CONTRIBUTION</v>
      </c>
      <c r="I160" s="2">
        <v>74704.5</v>
      </c>
      <c r="J160" t="str">
        <f>"BASTROP COUNTY CONTRIBUTION"</f>
        <v>BASTROP COUNTY CONTRIBUTION</v>
      </c>
    </row>
    <row r="161" spans="1:10" x14ac:dyDescent="0.3">
      <c r="A161" t="str">
        <f>"T3799"</f>
        <v>T3799</v>
      </c>
      <c r="B161" t="s">
        <v>56</v>
      </c>
      <c r="C161">
        <v>71628</v>
      </c>
      <c r="D161" s="2">
        <v>983.84</v>
      </c>
      <c r="E161" s="1">
        <v>42940</v>
      </c>
      <c r="F161" t="s">
        <v>11</v>
      </c>
      <c r="G161" t="str">
        <f>"157"</f>
        <v>157</v>
      </c>
      <c r="H161" t="str">
        <f>"JUNE FUEL USE"</f>
        <v>JUNE FUEL USE</v>
      </c>
      <c r="I161" s="2">
        <v>983.84</v>
      </c>
      <c r="J161" t="str">
        <f>"JUNE FUEL USE"</f>
        <v>JUNE FUEL USE</v>
      </c>
    </row>
    <row r="162" spans="1:10" x14ac:dyDescent="0.3">
      <c r="A162" t="str">
        <f>"T13544"</f>
        <v>T13544</v>
      </c>
      <c r="B162" t="s">
        <v>57</v>
      </c>
      <c r="C162">
        <v>71383</v>
      </c>
      <c r="D162" s="2">
        <v>53.11</v>
      </c>
      <c r="E162" s="1">
        <v>42926</v>
      </c>
      <c r="F162" t="s">
        <v>11</v>
      </c>
      <c r="G162" t="str">
        <f>"201707053327"</f>
        <v>201707053327</v>
      </c>
      <c r="H162" t="str">
        <f>"PHYSICIAN SVCS/XRAY/IND HEALTH"</f>
        <v>PHYSICIAN SVCS/XRAY/IND HEALTH</v>
      </c>
      <c r="I162" s="2">
        <v>53.11</v>
      </c>
      <c r="J162" t="str">
        <f>"PHYSICIAN SVCS/XRAY/IND HEALTH"</f>
        <v>PHYSICIAN SVCS/XRAY/IND HEALTH</v>
      </c>
    </row>
    <row r="163" spans="1:10" x14ac:dyDescent="0.3">
      <c r="A163" t="str">
        <f>""</f>
        <v/>
      </c>
      <c r="G163" t="str">
        <f>""</f>
        <v/>
      </c>
      <c r="H163" t="str">
        <f>""</f>
        <v/>
      </c>
      <c r="J163" t="str">
        <f>"PHYSICIAN SVCS/XRAY/IND HEALTH"</f>
        <v>PHYSICIAN SVCS/XRAY/IND HEALTH</v>
      </c>
    </row>
    <row r="164" spans="1:10" x14ac:dyDescent="0.3">
      <c r="A164" t="str">
        <f>"T13544"</f>
        <v>T13544</v>
      </c>
      <c r="B164" t="s">
        <v>57</v>
      </c>
      <c r="C164">
        <v>71629</v>
      </c>
      <c r="D164" s="2">
        <v>104.56</v>
      </c>
      <c r="E164" s="1">
        <v>42940</v>
      </c>
      <c r="F164" t="s">
        <v>11</v>
      </c>
      <c r="G164" t="str">
        <f>"201707193776"</f>
        <v>201707193776</v>
      </c>
      <c r="H164" t="str">
        <f>"INDIGENT HEALTH"</f>
        <v>INDIGENT HEALTH</v>
      </c>
      <c r="I164" s="2">
        <v>104.56</v>
      </c>
      <c r="J164" t="str">
        <f>"INDIGENT HEALTH"</f>
        <v>INDIGENT HEALTH</v>
      </c>
    </row>
    <row r="165" spans="1:10" x14ac:dyDescent="0.3">
      <c r="A165" t="str">
        <f>""</f>
        <v/>
      </c>
      <c r="G165" t="str">
        <f>""</f>
        <v/>
      </c>
      <c r="H165" t="str">
        <f>""</f>
        <v/>
      </c>
      <c r="J165" t="str">
        <f>"INDIGENT HEALTH"</f>
        <v>INDIGENT HEALTH</v>
      </c>
    </row>
    <row r="166" spans="1:10" x14ac:dyDescent="0.3">
      <c r="A166" t="str">
        <f>"000719"</f>
        <v>000719</v>
      </c>
      <c r="B166" t="s">
        <v>58</v>
      </c>
      <c r="C166">
        <v>71384</v>
      </c>
      <c r="D166" s="2">
        <v>117.34</v>
      </c>
      <c r="E166" s="1">
        <v>42926</v>
      </c>
      <c r="F166" t="s">
        <v>11</v>
      </c>
      <c r="G166" t="str">
        <f>"201707053348"</f>
        <v>201707053348</v>
      </c>
      <c r="H166" t="str">
        <f>"BLADE/AIR FILTER"</f>
        <v>BLADE/AIR FILTER</v>
      </c>
      <c r="I166" s="2">
        <v>92.34</v>
      </c>
      <c r="J166" t="str">
        <f>"BLADE/AIR FILTER"</f>
        <v>BLADE/AIR FILTER</v>
      </c>
    </row>
    <row r="167" spans="1:10" x14ac:dyDescent="0.3">
      <c r="A167" t="str">
        <f>""</f>
        <v/>
      </c>
      <c r="G167" t="str">
        <f>"201707053349"</f>
        <v>201707053349</v>
      </c>
      <c r="H167" t="str">
        <f>"KEY SWITCH"</f>
        <v>KEY SWITCH</v>
      </c>
      <c r="I167" s="2">
        <v>25</v>
      </c>
      <c r="J167" t="str">
        <f>"KEY SWITCH"</f>
        <v>KEY SWITCH</v>
      </c>
    </row>
    <row r="168" spans="1:10" x14ac:dyDescent="0.3">
      <c r="A168" t="str">
        <f>"000719"</f>
        <v>000719</v>
      </c>
      <c r="B168" t="s">
        <v>58</v>
      </c>
      <c r="C168">
        <v>71630</v>
      </c>
      <c r="D168" s="2">
        <v>69.02</v>
      </c>
      <c r="E168" s="1">
        <v>42940</v>
      </c>
      <c r="F168" t="s">
        <v>11</v>
      </c>
      <c r="G168" t="str">
        <f>"5119"</f>
        <v>5119</v>
      </c>
      <c r="H168" t="str">
        <f>"PULLEY/WHEEL/GENERAL SVCS"</f>
        <v>PULLEY/WHEEL/GENERAL SVCS</v>
      </c>
      <c r="I168" s="2">
        <v>52.26</v>
      </c>
      <c r="J168" t="str">
        <f>"PULLEY/WHEEL/GENERAL SVCS"</f>
        <v>PULLEY/WHEEL/GENERAL SVCS</v>
      </c>
    </row>
    <row r="169" spans="1:10" x14ac:dyDescent="0.3">
      <c r="A169" t="str">
        <f>""</f>
        <v/>
      </c>
      <c r="G169" t="str">
        <f>"5132"</f>
        <v>5132</v>
      </c>
      <c r="H169" t="str">
        <f>"ROPE/FUEL SHUT OFF/PCT#2"</f>
        <v>ROPE/FUEL SHUT OFF/PCT#2</v>
      </c>
      <c r="I169" s="2">
        <v>16.760000000000002</v>
      </c>
      <c r="J169" t="str">
        <f>"ROPE/FUEL SHUT OFF/PCT#2"</f>
        <v>ROPE/FUEL SHUT OFF/PCT#2</v>
      </c>
    </row>
    <row r="170" spans="1:10" x14ac:dyDescent="0.3">
      <c r="A170" t="str">
        <f>"001542"</f>
        <v>001542</v>
      </c>
      <c r="B170" t="s">
        <v>59</v>
      </c>
      <c r="C170">
        <v>71385</v>
      </c>
      <c r="D170" s="2">
        <v>1285</v>
      </c>
      <c r="E170" s="1">
        <v>42926</v>
      </c>
      <c r="F170" t="s">
        <v>11</v>
      </c>
      <c r="G170" t="str">
        <f>"2017052"</f>
        <v>2017052</v>
      </c>
      <c r="H170" t="str">
        <f>"TRANSPORT/T. HAYES"</f>
        <v>TRANSPORT/T. HAYES</v>
      </c>
      <c r="I170" s="2">
        <v>495</v>
      </c>
      <c r="J170" t="str">
        <f>"TRANSPORT/T. HAYES"</f>
        <v>TRANSPORT/T. HAYES</v>
      </c>
    </row>
    <row r="171" spans="1:10" x14ac:dyDescent="0.3">
      <c r="A171" t="str">
        <f>""</f>
        <v/>
      </c>
      <c r="G171" t="str">
        <f>"2017056"</f>
        <v>2017056</v>
      </c>
      <c r="H171" t="str">
        <f>"TRANSPORT/G. CORBETT"</f>
        <v>TRANSPORT/G. CORBETT</v>
      </c>
      <c r="I171" s="2">
        <v>295</v>
      </c>
      <c r="J171" t="str">
        <f>"TRANSPORT/G. CORBETT"</f>
        <v>TRANSPORT/G. CORBETT</v>
      </c>
    </row>
    <row r="172" spans="1:10" x14ac:dyDescent="0.3">
      <c r="A172" t="str">
        <f>""</f>
        <v/>
      </c>
      <c r="G172" t="str">
        <f>"2017057"</f>
        <v>2017057</v>
      </c>
      <c r="H172" t="str">
        <f>"TRANSPORT/C. GODFEY"</f>
        <v>TRANSPORT/C. GODFEY</v>
      </c>
      <c r="I172" s="2">
        <v>495</v>
      </c>
      <c r="J172" t="str">
        <f>"TRANSPORT/C. GODFEY"</f>
        <v>TRANSPORT/C. GODFEY</v>
      </c>
    </row>
    <row r="173" spans="1:10" x14ac:dyDescent="0.3">
      <c r="A173" t="str">
        <f>"001542"</f>
        <v>001542</v>
      </c>
      <c r="B173" t="s">
        <v>59</v>
      </c>
      <c r="C173">
        <v>71631</v>
      </c>
      <c r="D173" s="2">
        <v>1390</v>
      </c>
      <c r="E173" s="1">
        <v>42940</v>
      </c>
      <c r="F173" t="s">
        <v>11</v>
      </c>
      <c r="G173" t="str">
        <f>"201707173665"</f>
        <v>201707173665</v>
      </c>
      <c r="H173" t="str">
        <f>"TRANSPORT-V. RAMOS"</f>
        <v>TRANSPORT-V. RAMOS</v>
      </c>
      <c r="I173" s="2">
        <v>695</v>
      </c>
      <c r="J173" t="str">
        <f>"TRANSPORT-V. RAMOS"</f>
        <v>TRANSPORT-V. RAMOS</v>
      </c>
    </row>
    <row r="174" spans="1:10" x14ac:dyDescent="0.3">
      <c r="A174" t="str">
        <f>""</f>
        <v/>
      </c>
      <c r="G174" t="str">
        <f>"201707173666"</f>
        <v>201707173666</v>
      </c>
      <c r="H174" t="str">
        <f>"TRANSPORT-C. SUTTON"</f>
        <v>TRANSPORT-C. SUTTON</v>
      </c>
      <c r="I174" s="2">
        <v>695</v>
      </c>
      <c r="J174" t="str">
        <f>"TRANSPORT-C. SUTTON"</f>
        <v>TRANSPORT-C. SUTTON</v>
      </c>
    </row>
    <row r="175" spans="1:10" x14ac:dyDescent="0.3">
      <c r="A175" t="str">
        <f>"002504"</f>
        <v>002504</v>
      </c>
      <c r="B175" t="s">
        <v>60</v>
      </c>
      <c r="C175">
        <v>71632</v>
      </c>
      <c r="D175" s="2">
        <v>153.19999999999999</v>
      </c>
      <c r="E175" s="1">
        <v>42940</v>
      </c>
      <c r="F175" t="s">
        <v>11</v>
      </c>
      <c r="G175" t="str">
        <f>"4119"</f>
        <v>4119</v>
      </c>
      <c r="H175" t="str">
        <f>"WINDOW &amp; WALL DECAL/ELECT DEPT"</f>
        <v>WINDOW &amp; WALL DECAL/ELECT DEPT</v>
      </c>
      <c r="I175" s="2">
        <v>153.19999999999999</v>
      </c>
      <c r="J175" t="str">
        <f>"WINDOW &amp; WALL DECAL/ELECT DEPT"</f>
        <v>WINDOW &amp; WALL DECAL/ELECT DEPT</v>
      </c>
    </row>
    <row r="176" spans="1:10" x14ac:dyDescent="0.3">
      <c r="A176" t="str">
        <f>"000110"</f>
        <v>000110</v>
      </c>
      <c r="B176" t="s">
        <v>61</v>
      </c>
      <c r="C176">
        <v>71633</v>
      </c>
      <c r="D176" s="2">
        <v>1050</v>
      </c>
      <c r="E176" s="1">
        <v>42940</v>
      </c>
      <c r="F176" t="s">
        <v>11</v>
      </c>
      <c r="G176" t="str">
        <f>"JUNE INVOICE"</f>
        <v>JUNE INVOICE</v>
      </c>
      <c r="H176" t="str">
        <f>"JUNE INVOICE"</f>
        <v>JUNE INVOICE</v>
      </c>
      <c r="I176" s="2">
        <v>1050</v>
      </c>
      <c r="J176" t="str">
        <f>"JUNE INVOICE"</f>
        <v>JUNE INVOICE</v>
      </c>
    </row>
    <row r="177" spans="1:10" x14ac:dyDescent="0.3">
      <c r="A177" t="str">
        <f>"KEITH"</f>
        <v>KEITH</v>
      </c>
      <c r="B177" t="s">
        <v>62</v>
      </c>
      <c r="C177">
        <v>71386</v>
      </c>
      <c r="D177" s="2">
        <v>1294.99</v>
      </c>
      <c r="E177" s="1">
        <v>42926</v>
      </c>
      <c r="F177" t="s">
        <v>11</v>
      </c>
      <c r="G177" t="str">
        <f>"74359523"</f>
        <v>74359523</v>
      </c>
      <c r="H177" t="str">
        <f>"FOOD INVOICE74359523"</f>
        <v>FOOD INVOICE74359523</v>
      </c>
      <c r="I177" s="2">
        <v>1294.99</v>
      </c>
      <c r="J177" t="str">
        <f>"FOOD INVOICE74359523"</f>
        <v>FOOD INVOICE74359523</v>
      </c>
    </row>
    <row r="178" spans="1:10" x14ac:dyDescent="0.3">
      <c r="A178" t="str">
        <f>"KEITH"</f>
        <v>KEITH</v>
      </c>
      <c r="B178" t="s">
        <v>62</v>
      </c>
      <c r="C178">
        <v>71634</v>
      </c>
      <c r="D178" s="2">
        <v>3223.41</v>
      </c>
      <c r="E178" s="1">
        <v>42940</v>
      </c>
      <c r="F178" t="s">
        <v>11</v>
      </c>
      <c r="G178" t="str">
        <f>"74366587"</f>
        <v>74366587</v>
      </c>
      <c r="H178" t="str">
        <f>"FOOD INV74366587"</f>
        <v>FOOD INV74366587</v>
      </c>
      <c r="I178" s="2">
        <v>1042.1600000000001</v>
      </c>
      <c r="J178" t="str">
        <f>"FOOD INV74366587"</f>
        <v>FOOD INV74366587</v>
      </c>
    </row>
    <row r="179" spans="1:10" x14ac:dyDescent="0.3">
      <c r="A179" t="str">
        <f>""</f>
        <v/>
      </c>
      <c r="G179" t="str">
        <f>"74374579"</f>
        <v>74374579</v>
      </c>
      <c r="H179" t="str">
        <f>"FOOD INV74374579"</f>
        <v>FOOD INV74374579</v>
      </c>
      <c r="I179" s="2">
        <v>934.77</v>
      </c>
      <c r="J179" t="str">
        <f>"FOOD INV74374579"</f>
        <v>FOOD INV74374579</v>
      </c>
    </row>
    <row r="180" spans="1:10" x14ac:dyDescent="0.3">
      <c r="A180" t="str">
        <f>""</f>
        <v/>
      </c>
      <c r="G180" t="str">
        <f>"74380223"</f>
        <v>74380223</v>
      </c>
      <c r="H180" t="str">
        <f>"FOOD ITEMS INV74380223"</f>
        <v>FOOD ITEMS INV74380223</v>
      </c>
      <c r="I180" s="2">
        <v>1246.48</v>
      </c>
      <c r="J180" t="str">
        <f>"FOOD ITEMS INV74380223"</f>
        <v>FOOD ITEMS INV74380223</v>
      </c>
    </row>
    <row r="181" spans="1:10" x14ac:dyDescent="0.3">
      <c r="A181" t="str">
        <f>"004075"</f>
        <v>004075</v>
      </c>
      <c r="B181" t="s">
        <v>63</v>
      </c>
      <c r="C181">
        <v>71635</v>
      </c>
      <c r="D181" s="2">
        <v>2394.81</v>
      </c>
      <c r="E181" s="1">
        <v>42940</v>
      </c>
      <c r="F181" t="s">
        <v>11</v>
      </c>
      <c r="G181" t="str">
        <f>"172489-00"</f>
        <v>172489-00</v>
      </c>
      <c r="H181" t="str">
        <f>"FOOD INV172489-00"</f>
        <v>FOOD INV172489-00</v>
      </c>
      <c r="I181" s="2">
        <v>2394.81</v>
      </c>
      <c r="J181" t="str">
        <f>"FOOD INV172489-00"</f>
        <v>FOOD INV172489-00</v>
      </c>
    </row>
    <row r="182" spans="1:10" x14ac:dyDescent="0.3">
      <c r="A182" t="str">
        <f>"001112"</f>
        <v>001112</v>
      </c>
      <c r="B182" t="s">
        <v>64</v>
      </c>
      <c r="C182">
        <v>71387</v>
      </c>
      <c r="D182" s="2">
        <v>179.99</v>
      </c>
      <c r="E182" s="1">
        <v>42926</v>
      </c>
      <c r="F182" t="s">
        <v>11</v>
      </c>
      <c r="G182" t="str">
        <f>"2780076"</f>
        <v>2780076</v>
      </c>
      <c r="H182" t="str">
        <f>"Stmt# 01465920170627"</f>
        <v>Stmt# 01465920170627</v>
      </c>
      <c r="I182" s="2">
        <v>179.99</v>
      </c>
      <c r="J182" t="str">
        <f>"Inv# 2780076"</f>
        <v>Inv# 2780076</v>
      </c>
    </row>
    <row r="183" spans="1:10" x14ac:dyDescent="0.3">
      <c r="A183" t="str">
        <f>"002443"</f>
        <v>002443</v>
      </c>
      <c r="B183" t="s">
        <v>65</v>
      </c>
      <c r="C183">
        <v>71388</v>
      </c>
      <c r="D183" s="2">
        <v>75</v>
      </c>
      <c r="E183" s="1">
        <v>42926</v>
      </c>
      <c r="F183" t="s">
        <v>11</v>
      </c>
      <c r="G183" t="str">
        <f>"12580"</f>
        <v>12580</v>
      </c>
      <c r="H183" t="str">
        <f>"SERVICE-4/25/2017"</f>
        <v>SERVICE-4/25/2017</v>
      </c>
      <c r="I183" s="2">
        <v>75</v>
      </c>
      <c r="J183" t="str">
        <f>"SERVICE-4/25/2017"</f>
        <v>SERVICE-4/25/2017</v>
      </c>
    </row>
    <row r="184" spans="1:10" x14ac:dyDescent="0.3">
      <c r="A184" t="str">
        <f>"002443"</f>
        <v>002443</v>
      </c>
      <c r="B184" t="s">
        <v>65</v>
      </c>
      <c r="C184">
        <v>71636</v>
      </c>
      <c r="D184" s="2">
        <v>75</v>
      </c>
      <c r="E184" s="1">
        <v>42940</v>
      </c>
      <c r="F184" t="s">
        <v>11</v>
      </c>
      <c r="G184" t="str">
        <f>"12563"</f>
        <v>12563</v>
      </c>
      <c r="H184" t="str">
        <f>"SERVICE-5/15/17"</f>
        <v>SERVICE-5/15/17</v>
      </c>
      <c r="I184" s="2">
        <v>75</v>
      </c>
      <c r="J184" t="str">
        <f>"SERVICE-5/15/17"</f>
        <v>SERVICE-5/15/17</v>
      </c>
    </row>
    <row r="185" spans="1:10" x14ac:dyDescent="0.3">
      <c r="A185" t="str">
        <f>"T2043"</f>
        <v>T2043</v>
      </c>
      <c r="B185" t="s">
        <v>66</v>
      </c>
      <c r="C185">
        <v>71389</v>
      </c>
      <c r="D185" s="2">
        <v>1405</v>
      </c>
      <c r="E185" s="1">
        <v>42926</v>
      </c>
      <c r="F185" t="s">
        <v>11</v>
      </c>
      <c r="G185" t="str">
        <f>"103772"</f>
        <v>103772</v>
      </c>
      <c r="H185" t="str">
        <f>"CLIENT#001309/PROFESSIONAL SVC"</f>
        <v>CLIENT#001309/PROFESSIONAL SVC</v>
      </c>
      <c r="I185" s="2">
        <v>1405</v>
      </c>
      <c r="J185" t="str">
        <f>"CLIENT#001309/PROFESSIONAL SVC"</f>
        <v>CLIENT#001309/PROFESSIONAL SVC</v>
      </c>
    </row>
    <row r="186" spans="1:10" x14ac:dyDescent="0.3">
      <c r="A186" t="str">
        <f>"T2043"</f>
        <v>T2043</v>
      </c>
      <c r="B186" t="s">
        <v>66</v>
      </c>
      <c r="C186">
        <v>71637</v>
      </c>
      <c r="D186" s="2">
        <v>1700</v>
      </c>
      <c r="E186" s="1">
        <v>42940</v>
      </c>
      <c r="F186" t="s">
        <v>11</v>
      </c>
      <c r="G186" t="str">
        <f>"104011"</f>
        <v>104011</v>
      </c>
      <c r="H186" t="str">
        <f>"CLIENT#001309/SVC THRU 6/15/17"</f>
        <v>CLIENT#001309/SVC THRU 6/15/17</v>
      </c>
      <c r="I186" s="2">
        <v>1700</v>
      </c>
      <c r="J186" t="str">
        <f>"CLIENT#001309/SVC THRU 6/15/17"</f>
        <v>CLIENT#001309/SVC THRU 6/15/17</v>
      </c>
    </row>
    <row r="187" spans="1:10" x14ac:dyDescent="0.3">
      <c r="A187" t="str">
        <f>"004147"</f>
        <v>004147</v>
      </c>
      <c r="B187" t="s">
        <v>67</v>
      </c>
      <c r="C187">
        <v>71638</v>
      </c>
      <c r="D187" s="2">
        <v>3310.97</v>
      </c>
      <c r="E187" s="1">
        <v>42940</v>
      </c>
      <c r="F187" t="s">
        <v>11</v>
      </c>
      <c r="G187" t="str">
        <f>"3976"</f>
        <v>3976</v>
      </c>
      <c r="H187" t="str">
        <f>"LABOR/PARTS-2002 FORD/PCT#4"</f>
        <v>LABOR/PARTS-2002 FORD/PCT#4</v>
      </c>
      <c r="I187" s="2">
        <v>219.14</v>
      </c>
      <c r="J187" t="str">
        <f>"LABOR/PARTS-2002 FORD/PCT#4"</f>
        <v>LABOR/PARTS-2002 FORD/PCT#4</v>
      </c>
    </row>
    <row r="188" spans="1:10" x14ac:dyDescent="0.3">
      <c r="A188" t="str">
        <f>""</f>
        <v/>
      </c>
      <c r="G188" t="str">
        <f>"3997"</f>
        <v>3997</v>
      </c>
      <c r="H188" t="str">
        <f>"PARTS/LABOR PCT#4"</f>
        <v>PARTS/LABOR PCT#4</v>
      </c>
      <c r="I188" s="2">
        <v>2871.83</v>
      </c>
      <c r="J188" t="str">
        <f>"PARTS/LABOR PCT#4"</f>
        <v>PARTS/LABOR PCT#4</v>
      </c>
    </row>
    <row r="189" spans="1:10" x14ac:dyDescent="0.3">
      <c r="A189" t="str">
        <f>""</f>
        <v/>
      </c>
      <c r="G189" t="str">
        <f>"4001"</f>
        <v>4001</v>
      </c>
      <c r="H189" t="str">
        <f>"LABOR/SERVICE FEE/PCT#4"</f>
        <v>LABOR/SERVICE FEE/PCT#4</v>
      </c>
      <c r="I189" s="2">
        <v>220</v>
      </c>
      <c r="J189" t="str">
        <f>"LABOR/SERVICE FEE/PCT#4"</f>
        <v>LABOR/SERVICE FEE/PCT#4</v>
      </c>
    </row>
    <row r="190" spans="1:10" x14ac:dyDescent="0.3">
      <c r="A190" t="str">
        <f>"000309"</f>
        <v>000309</v>
      </c>
      <c r="B190" t="s">
        <v>68</v>
      </c>
      <c r="C190">
        <v>71639</v>
      </c>
      <c r="D190" s="2">
        <v>180.5</v>
      </c>
      <c r="E190" s="1">
        <v>42940</v>
      </c>
      <c r="F190" t="s">
        <v>11</v>
      </c>
      <c r="G190" t="str">
        <f>"17095"</f>
        <v>17095</v>
      </c>
      <c r="H190" t="str">
        <f>"15 984"</f>
        <v>15 984</v>
      </c>
      <c r="I190" s="2">
        <v>180.5</v>
      </c>
      <c r="J190" t="str">
        <f>"15 984"</f>
        <v>15 984</v>
      </c>
    </row>
    <row r="191" spans="1:10" x14ac:dyDescent="0.3">
      <c r="A191" t="str">
        <f>"000593"</f>
        <v>000593</v>
      </c>
      <c r="B191" t="s">
        <v>69</v>
      </c>
      <c r="C191">
        <v>71390</v>
      </c>
      <c r="D191" s="2">
        <v>529.20000000000005</v>
      </c>
      <c r="E191" s="1">
        <v>42926</v>
      </c>
      <c r="F191" t="s">
        <v>11</v>
      </c>
      <c r="G191" t="str">
        <f>"84078928841"</f>
        <v>84078928841</v>
      </c>
      <c r="H191" t="str">
        <f>"BAKERY 84078928841"</f>
        <v>BAKERY 84078928841</v>
      </c>
      <c r="I191" s="2">
        <v>243.8</v>
      </c>
      <c r="J191" t="str">
        <f>"BAKERY 84078928841"</f>
        <v>BAKERY 84078928841</v>
      </c>
    </row>
    <row r="192" spans="1:10" x14ac:dyDescent="0.3">
      <c r="A192" t="str">
        <f>""</f>
        <v/>
      </c>
      <c r="G192" t="str">
        <f>"84078928939"</f>
        <v>84078928939</v>
      </c>
      <c r="H192" t="str">
        <f>"BAKERY INV#84078928939"</f>
        <v>BAKERY INV#84078928939</v>
      </c>
      <c r="I192" s="2">
        <v>285.39999999999998</v>
      </c>
      <c r="J192" t="str">
        <f>"BAKERY INV#84078928939"</f>
        <v>BAKERY INV#84078928939</v>
      </c>
    </row>
    <row r="193" spans="1:11" x14ac:dyDescent="0.3">
      <c r="A193" t="str">
        <f>"000593"</f>
        <v>000593</v>
      </c>
      <c r="B193" t="s">
        <v>69</v>
      </c>
      <c r="C193">
        <v>71640</v>
      </c>
      <c r="D193" s="2">
        <v>646.36</v>
      </c>
      <c r="E193" s="1">
        <v>42940</v>
      </c>
      <c r="F193" t="s">
        <v>11</v>
      </c>
      <c r="G193" t="str">
        <f>"84078929025"</f>
        <v>84078929025</v>
      </c>
      <c r="H193" t="str">
        <f>"BAKERY INV84078928025"</f>
        <v>BAKERY INV84078928025</v>
      </c>
      <c r="I193" s="2">
        <v>341.08</v>
      </c>
      <c r="J193" t="str">
        <f>"BAKERY INV84078928025"</f>
        <v>BAKERY INV84078928025</v>
      </c>
    </row>
    <row r="194" spans="1:11" x14ac:dyDescent="0.3">
      <c r="A194" t="str">
        <f>""</f>
        <v/>
      </c>
      <c r="G194" t="str">
        <f>"84078929123"</f>
        <v>84078929123</v>
      </c>
      <c r="H194" t="str">
        <f>"BAKERY INV84078929123"</f>
        <v>BAKERY INV84078929123</v>
      </c>
      <c r="I194" s="2">
        <v>305.27999999999997</v>
      </c>
      <c r="J194" t="str">
        <f>"BAKERY INV84078929123"</f>
        <v>BAKERY INV84078929123</v>
      </c>
    </row>
    <row r="195" spans="1:11" x14ac:dyDescent="0.3">
      <c r="A195" t="str">
        <f>"003732"</f>
        <v>003732</v>
      </c>
      <c r="B195" t="s">
        <v>70</v>
      </c>
      <c r="C195">
        <v>71391</v>
      </c>
      <c r="D195" s="2">
        <v>750</v>
      </c>
      <c r="E195" s="1">
        <v>42926</v>
      </c>
      <c r="F195" t="s">
        <v>11</v>
      </c>
      <c r="G195" t="str">
        <f>"201707063373"</f>
        <v>201707063373</v>
      </c>
      <c r="H195" t="str">
        <f>"54 673"</f>
        <v>54 673</v>
      </c>
      <c r="I195" s="2">
        <v>250</v>
      </c>
      <c r="J195" t="str">
        <f>"54 673"</f>
        <v>54 673</v>
      </c>
    </row>
    <row r="196" spans="1:11" x14ac:dyDescent="0.3">
      <c r="A196" t="str">
        <f>""</f>
        <v/>
      </c>
      <c r="G196" t="str">
        <f>"201707063374"</f>
        <v>201707063374</v>
      </c>
      <c r="H196" t="str">
        <f>"55 260"</f>
        <v>55 260</v>
      </c>
      <c r="I196" s="2">
        <v>250</v>
      </c>
      <c r="J196" t="str">
        <f>"55 260"</f>
        <v>55 260</v>
      </c>
    </row>
    <row r="197" spans="1:11" x14ac:dyDescent="0.3">
      <c r="A197" t="str">
        <f>""</f>
        <v/>
      </c>
      <c r="G197" t="str">
        <f>"201707063375"</f>
        <v>201707063375</v>
      </c>
      <c r="H197" t="str">
        <f>"52 725"</f>
        <v>52 725</v>
      </c>
      <c r="I197" s="2">
        <v>250</v>
      </c>
      <c r="J197" t="str">
        <f>"52 725"</f>
        <v>52 725</v>
      </c>
    </row>
    <row r="198" spans="1:11" x14ac:dyDescent="0.3">
      <c r="A198" t="str">
        <f>"003732"</f>
        <v>003732</v>
      </c>
      <c r="B198" t="s">
        <v>70</v>
      </c>
      <c r="C198">
        <v>71641</v>
      </c>
      <c r="D198" s="2">
        <v>1187.5</v>
      </c>
      <c r="E198" s="1">
        <v>42940</v>
      </c>
      <c r="F198" t="s">
        <v>11</v>
      </c>
      <c r="G198" t="str">
        <f>"201707183700"</f>
        <v>201707183700</v>
      </c>
      <c r="H198" t="str">
        <f>"20160619"</f>
        <v>20160619</v>
      </c>
      <c r="I198" s="2">
        <v>250</v>
      </c>
      <c r="J198" t="str">
        <f>"20160619"</f>
        <v>20160619</v>
      </c>
    </row>
    <row r="199" spans="1:11" x14ac:dyDescent="0.3">
      <c r="A199" t="str">
        <f>""</f>
        <v/>
      </c>
      <c r="G199" t="str">
        <f>"201707193726"</f>
        <v>201707193726</v>
      </c>
      <c r="H199" t="str">
        <f>"16-17894"</f>
        <v>16-17894</v>
      </c>
      <c r="I199" s="2">
        <v>587.5</v>
      </c>
      <c r="J199" t="str">
        <f>"16-17894"</f>
        <v>16-17894</v>
      </c>
    </row>
    <row r="200" spans="1:11" x14ac:dyDescent="0.3">
      <c r="A200" t="str">
        <f>""</f>
        <v/>
      </c>
      <c r="G200" t="str">
        <f>"201707193727"</f>
        <v>201707193727</v>
      </c>
      <c r="H200" t="str">
        <f>"15-17333"</f>
        <v>15-17333</v>
      </c>
      <c r="I200" s="2">
        <v>100</v>
      </c>
      <c r="J200" t="str">
        <f>"15-17333"</f>
        <v>15-17333</v>
      </c>
    </row>
    <row r="201" spans="1:11" x14ac:dyDescent="0.3">
      <c r="A201" t="str">
        <f>""</f>
        <v/>
      </c>
      <c r="G201" t="str">
        <f>"201707193728"</f>
        <v>201707193728</v>
      </c>
      <c r="H201" t="str">
        <f>"J-3077"</f>
        <v>J-3077</v>
      </c>
      <c r="I201" s="2">
        <v>250</v>
      </c>
      <c r="J201" t="str">
        <f>"J-3077"</f>
        <v>J-3077</v>
      </c>
    </row>
    <row r="202" spans="1:11" x14ac:dyDescent="0.3">
      <c r="A202" t="str">
        <f>"001135"</f>
        <v>001135</v>
      </c>
      <c r="B202" t="s">
        <v>71</v>
      </c>
      <c r="C202">
        <v>71642</v>
      </c>
      <c r="D202" s="2">
        <v>412.2</v>
      </c>
      <c r="E202" s="1">
        <v>42940</v>
      </c>
      <c r="F202" t="s">
        <v>11</v>
      </c>
      <c r="G202" t="str">
        <f>"201707133614"</f>
        <v>201707133614</v>
      </c>
      <c r="H202" t="str">
        <f>"CRIMESTOPPER FEES/JUNE 2017"</f>
        <v>CRIMESTOPPER FEES/JUNE 2017</v>
      </c>
      <c r="I202" s="2">
        <v>412.2</v>
      </c>
      <c r="J202" t="str">
        <f>"CRIMESTOPPER FEES/JUNE 2017"</f>
        <v>CRIMESTOPPER FEES/JUNE 2017</v>
      </c>
    </row>
    <row r="203" spans="1:11" x14ac:dyDescent="0.3">
      <c r="A203" t="str">
        <f>"BEC"</f>
        <v>BEC</v>
      </c>
      <c r="B203" t="s">
        <v>72</v>
      </c>
      <c r="C203">
        <v>71546</v>
      </c>
      <c r="D203" s="2">
        <v>3866.51</v>
      </c>
      <c r="E203" s="1">
        <v>42935</v>
      </c>
      <c r="F203" t="s">
        <v>11</v>
      </c>
      <c r="G203" t="str">
        <f>"201707193792"</f>
        <v>201707193792</v>
      </c>
      <c r="H203" t="str">
        <f>"ACCT #5000274849 - 07/05/2017"</f>
        <v>ACCT #5000274849 - 07/05/2017</v>
      </c>
      <c r="I203" s="2">
        <v>600.86</v>
      </c>
      <c r="J203" t="str">
        <f>"ACCT #5000274849 - 07/05/2017"</f>
        <v>ACCT #5000274849 - 07/05/2017</v>
      </c>
    </row>
    <row r="204" spans="1:11" x14ac:dyDescent="0.3">
      <c r="A204" t="str">
        <f>""</f>
        <v/>
      </c>
      <c r="G204" t="str">
        <f>"201707193793"</f>
        <v>201707193793</v>
      </c>
      <c r="H204" t="str">
        <f>"ACCT #5500033554 - 07/08/2017"</f>
        <v>ACCT #5500033554 - 07/08/2017</v>
      </c>
      <c r="I204" s="2">
        <v>424.85</v>
      </c>
      <c r="J204" t="str">
        <f>"ACCT #5500033554 - 07/08/2017"</f>
        <v>ACCT #5500033554 - 07/08/2017</v>
      </c>
    </row>
    <row r="205" spans="1:11" x14ac:dyDescent="0.3">
      <c r="A205" t="str">
        <f>""</f>
        <v/>
      </c>
      <c r="G205" t="str">
        <f>"201707193794"</f>
        <v>201707193794</v>
      </c>
      <c r="H205" t="str">
        <f>"ACCT #5000057374 - 07/08/2017"</f>
        <v>ACCT #5000057374 - 07/08/2017</v>
      </c>
      <c r="I205" s="2">
        <v>2840.8</v>
      </c>
      <c r="J205" t="str">
        <f>"ACCT #5000057374 - 07/08/2017"</f>
        <v>ACCT #5000057374 - 07/08/2017</v>
      </c>
    </row>
    <row r="206" spans="1:11" x14ac:dyDescent="0.3">
      <c r="A206" t="str">
        <f>""</f>
        <v/>
      </c>
      <c r="G206" t="str">
        <f>""</f>
        <v/>
      </c>
      <c r="H206" t="str">
        <f>""</f>
        <v/>
      </c>
      <c r="J206" t="str">
        <f>"ACCT #5000057374 - 07/08/2017"</f>
        <v>ACCT #5000057374 - 07/08/2017</v>
      </c>
    </row>
    <row r="207" spans="1:11" x14ac:dyDescent="0.3">
      <c r="A207" t="str">
        <f>""</f>
        <v/>
      </c>
      <c r="G207" t="str">
        <f>""</f>
        <v/>
      </c>
      <c r="H207" t="str">
        <f>""</f>
        <v/>
      </c>
      <c r="J207" t="str">
        <f>"ACCT #5000057374 - 07/08/2017"</f>
        <v>ACCT #5000057374 - 07/08/2017</v>
      </c>
    </row>
    <row r="208" spans="1:11" x14ac:dyDescent="0.3">
      <c r="A208" t="str">
        <f>"005029"</f>
        <v>005029</v>
      </c>
      <c r="B208" t="s">
        <v>73</v>
      </c>
      <c r="C208">
        <v>71643</v>
      </c>
      <c r="D208" s="2">
        <v>40</v>
      </c>
      <c r="E208" s="1">
        <v>42940</v>
      </c>
      <c r="F208" t="s">
        <v>11</v>
      </c>
      <c r="G208" t="s">
        <v>17</v>
      </c>
      <c r="H208" t="s">
        <v>74</v>
      </c>
      <c r="I208" s="2" t="str">
        <f>"RESTITUTION-P. BOATMAN"</f>
        <v>RESTITUTION-P. BOATMAN</v>
      </c>
      <c r="J208" t="str">
        <f>"210-0000"</f>
        <v>210-0000</v>
      </c>
      <c r="K208">
        <v>40</v>
      </c>
    </row>
    <row r="209" spans="1:10" x14ac:dyDescent="0.3">
      <c r="A209" t="str">
        <f>"T5975"</f>
        <v>T5975</v>
      </c>
      <c r="B209" t="s">
        <v>75</v>
      </c>
      <c r="C209">
        <v>71392</v>
      </c>
      <c r="D209" s="2">
        <v>750</v>
      </c>
      <c r="E209" s="1">
        <v>42926</v>
      </c>
      <c r="F209" t="s">
        <v>11</v>
      </c>
      <c r="G209" t="str">
        <f>"6-2017-REV"</f>
        <v>6-2017-REV</v>
      </c>
      <c r="H209" t="str">
        <f>"COUNSELING INV6-2017-REV"</f>
        <v>COUNSELING INV6-2017-REV</v>
      </c>
      <c r="I209" s="2">
        <v>750</v>
      </c>
      <c r="J209" t="str">
        <f>"COUNSELING INV6-2017-REV"</f>
        <v>COUNSELING INV6-2017-REV</v>
      </c>
    </row>
    <row r="210" spans="1:10" x14ac:dyDescent="0.3">
      <c r="A210" t="str">
        <f>"BBCI"</f>
        <v>BBCI</v>
      </c>
      <c r="B210" t="s">
        <v>76</v>
      </c>
      <c r="C210">
        <v>71644</v>
      </c>
      <c r="D210" s="2">
        <v>1513.37</v>
      </c>
      <c r="E210" s="1">
        <v>42940</v>
      </c>
      <c r="F210" t="s">
        <v>11</v>
      </c>
      <c r="G210" t="str">
        <f>"WEB000488127/300"</f>
        <v>WEB000488127/300</v>
      </c>
      <c r="H210" t="str">
        <f>"REPLENISH JAIL SUPPLIES"</f>
        <v>REPLENISH JAIL SUPPLIES</v>
      </c>
      <c r="I210" s="2">
        <v>909.23</v>
      </c>
      <c r="J210" t="str">
        <f>"REPLENISH JAIL SUPPLIES"</f>
        <v>REPLENISH JAIL SUPPLIES</v>
      </c>
    </row>
    <row r="211" spans="1:10" x14ac:dyDescent="0.3">
      <c r="A211" t="str">
        <f>""</f>
        <v/>
      </c>
      <c r="G211" t="str">
        <f>""</f>
        <v/>
      </c>
      <c r="H211" t="str">
        <f>""</f>
        <v/>
      </c>
      <c r="J211" t="str">
        <f>"REPLENISH JAIL SUPPLIES"</f>
        <v>REPLENISH JAIL SUPPLIES</v>
      </c>
    </row>
    <row r="212" spans="1:10" x14ac:dyDescent="0.3">
      <c r="A212" t="str">
        <f>""</f>
        <v/>
      </c>
      <c r="G212" t="str">
        <f>"WEB000489413/9481"</f>
        <v>WEB000489413/9481</v>
      </c>
      <c r="H212" t="str">
        <f>"KITCHEN SUPPLIES"</f>
        <v>KITCHEN SUPPLIES</v>
      </c>
      <c r="I212" s="2">
        <v>604.14</v>
      </c>
      <c r="J212" t="str">
        <f>"TRAYS WEB000489481"</f>
        <v>TRAYS WEB000489481</v>
      </c>
    </row>
    <row r="213" spans="1:10" x14ac:dyDescent="0.3">
      <c r="A213" t="str">
        <f>""</f>
        <v/>
      </c>
      <c r="G213" t="str">
        <f>""</f>
        <v/>
      </c>
      <c r="H213" t="str">
        <f>""</f>
        <v/>
      </c>
      <c r="J213" t="str">
        <f>"BOOTS WEB000489413"</f>
        <v>BOOTS WEB000489413</v>
      </c>
    </row>
    <row r="214" spans="1:10" x14ac:dyDescent="0.3">
      <c r="A214" t="str">
        <f>"001367"</f>
        <v>001367</v>
      </c>
      <c r="B214" t="s">
        <v>77</v>
      </c>
      <c r="C214">
        <v>71393</v>
      </c>
      <c r="D214" s="2">
        <v>3561.63</v>
      </c>
      <c r="E214" s="1">
        <v>42926</v>
      </c>
      <c r="F214" t="s">
        <v>11</v>
      </c>
      <c r="G214" t="str">
        <f>"5491"</f>
        <v>5491</v>
      </c>
      <c r="H214" t="str">
        <f>"INV 5491/UNIT 1669"</f>
        <v>INV 5491/UNIT 1669</v>
      </c>
      <c r="I214" s="2">
        <v>491.25</v>
      </c>
      <c r="J214" t="str">
        <f>"INV 5491/UNIT 1669"</f>
        <v>INV 5491/UNIT 1669</v>
      </c>
    </row>
    <row r="215" spans="1:10" x14ac:dyDescent="0.3">
      <c r="A215" t="str">
        <f>""</f>
        <v/>
      </c>
      <c r="G215" t="str">
        <f>"5561"</f>
        <v>5561</v>
      </c>
      <c r="H215" t="str">
        <f>"INV 5561/UNIT 1631"</f>
        <v>INV 5561/UNIT 1631</v>
      </c>
      <c r="I215" s="2">
        <v>202.68</v>
      </c>
      <c r="J215" t="str">
        <f>"INV 5561/UNIT 1631"</f>
        <v>INV 5561/UNIT 1631</v>
      </c>
    </row>
    <row r="216" spans="1:10" x14ac:dyDescent="0.3">
      <c r="A216" t="str">
        <f>""</f>
        <v/>
      </c>
      <c r="G216" t="str">
        <f>"5590"</f>
        <v>5590</v>
      </c>
      <c r="H216" t="str">
        <f>"PARTS &amp; LABOR/PCT#1"</f>
        <v>PARTS &amp; LABOR/PCT#1</v>
      </c>
      <c r="I216" s="2">
        <v>1122</v>
      </c>
      <c r="J216" t="str">
        <f>"PARTS &amp; LABOR/PCT#1"</f>
        <v>PARTS &amp; LABOR/PCT#1</v>
      </c>
    </row>
    <row r="217" spans="1:10" x14ac:dyDescent="0.3">
      <c r="A217" t="str">
        <f>""</f>
        <v/>
      </c>
      <c r="G217" t="str">
        <f>"5624"</f>
        <v>5624</v>
      </c>
      <c r="H217" t="str">
        <f>"INV /UNIT 0119"</f>
        <v>INV /UNIT 0119</v>
      </c>
      <c r="I217" s="2">
        <v>128.69999999999999</v>
      </c>
      <c r="J217" t="str">
        <f>"INV /UNIT 0119"</f>
        <v>INV /UNIT 0119</v>
      </c>
    </row>
    <row r="218" spans="1:10" x14ac:dyDescent="0.3">
      <c r="A218" t="str">
        <f>""</f>
        <v/>
      </c>
      <c r="G218" t="str">
        <f>"5626"</f>
        <v>5626</v>
      </c>
      <c r="H218" t="str">
        <f>"LABOR/GENERAL SERVICES"</f>
        <v>LABOR/GENERAL SERVICES</v>
      </c>
      <c r="I218" s="2">
        <v>40</v>
      </c>
      <c r="J218" t="str">
        <f>"LABOR/GENERAL SERVICES"</f>
        <v>LABOR/GENERAL SERVICES</v>
      </c>
    </row>
    <row r="219" spans="1:10" x14ac:dyDescent="0.3">
      <c r="A219" t="str">
        <f>""</f>
        <v/>
      </c>
      <c r="G219" t="str">
        <f>"5663"</f>
        <v>5663</v>
      </c>
      <c r="H219" t="str">
        <f>"INV 5663/UNIT 1665"</f>
        <v>INV 5663/UNIT 1665</v>
      </c>
      <c r="I219" s="2">
        <v>128.69999999999999</v>
      </c>
      <c r="J219" t="str">
        <f>"INV 5663/UNIT 1665"</f>
        <v>INV 5663/UNIT 1665</v>
      </c>
    </row>
    <row r="220" spans="1:10" x14ac:dyDescent="0.3">
      <c r="A220" t="str">
        <f>""</f>
        <v/>
      </c>
      <c r="G220" t="str">
        <f>"5682"</f>
        <v>5682</v>
      </c>
      <c r="H220" t="str">
        <f>"INV 5682/UNIT 9379"</f>
        <v>INV 5682/UNIT 9379</v>
      </c>
      <c r="I220" s="2">
        <v>248.35</v>
      </c>
      <c r="J220" t="str">
        <f>"INV 5682/UNIT 9379"</f>
        <v>INV 5682/UNIT 9379</v>
      </c>
    </row>
    <row r="221" spans="1:10" x14ac:dyDescent="0.3">
      <c r="A221" t="str">
        <f>""</f>
        <v/>
      </c>
      <c r="G221" t="str">
        <f>"MULTIPLE INV #'S"</f>
        <v>MULTIPLE INV #'S</v>
      </c>
      <c r="H221" t="str">
        <f>"INV 001/UNIT 2966"</f>
        <v>INV 001/UNIT 2966</v>
      </c>
      <c r="I221" s="2">
        <v>546.4</v>
      </c>
      <c r="J221" t="str">
        <f>"INV 001/UNIT 2966"</f>
        <v>INV 001/UNIT 2966</v>
      </c>
    </row>
    <row r="222" spans="1:10" x14ac:dyDescent="0.3">
      <c r="A222" t="str">
        <f>""</f>
        <v/>
      </c>
      <c r="G222" t="str">
        <f>""</f>
        <v/>
      </c>
      <c r="H222" t="str">
        <f>""</f>
        <v/>
      </c>
      <c r="J222" t="str">
        <f>"INV 5655/UNIT 0314"</f>
        <v>INV 5655/UNIT 0314</v>
      </c>
    </row>
    <row r="223" spans="1:10" x14ac:dyDescent="0.3">
      <c r="A223" t="str">
        <f>""</f>
        <v/>
      </c>
      <c r="G223" t="str">
        <f>""</f>
        <v/>
      </c>
      <c r="H223" t="str">
        <f>""</f>
        <v/>
      </c>
      <c r="J223" t="str">
        <f>"INV 5657/UNIT 1671"</f>
        <v>INV 5657/UNIT 1671</v>
      </c>
    </row>
    <row r="224" spans="1:10" x14ac:dyDescent="0.3">
      <c r="A224" t="str">
        <f>""</f>
        <v/>
      </c>
      <c r="G224" t="str">
        <f>""</f>
        <v/>
      </c>
      <c r="H224" t="str">
        <f>""</f>
        <v/>
      </c>
      <c r="J224" t="str">
        <f>"INV 5660/UNIT 6548"</f>
        <v>INV 5660/UNIT 6548</v>
      </c>
    </row>
    <row r="225" spans="1:10" x14ac:dyDescent="0.3">
      <c r="A225" t="str">
        <f>""</f>
        <v/>
      </c>
      <c r="G225" t="str">
        <f>""</f>
        <v/>
      </c>
      <c r="H225" t="str">
        <f>""</f>
        <v/>
      </c>
      <c r="J225" t="str">
        <f>"INV 5661/UNIT 0417"</f>
        <v>INV 5661/UNIT 0417</v>
      </c>
    </row>
    <row r="226" spans="1:10" x14ac:dyDescent="0.3">
      <c r="A226" t="str">
        <f>""</f>
        <v/>
      </c>
      <c r="G226" t="str">
        <f>""</f>
        <v/>
      </c>
      <c r="H226" t="str">
        <f>""</f>
        <v/>
      </c>
      <c r="J226" t="str">
        <f>"INV 5665/UNIT 1665"</f>
        <v>INV 5665/UNIT 1665</v>
      </c>
    </row>
    <row r="227" spans="1:10" x14ac:dyDescent="0.3">
      <c r="A227" t="str">
        <f>""</f>
        <v/>
      </c>
      <c r="G227" t="str">
        <f>""</f>
        <v/>
      </c>
      <c r="H227" t="str">
        <f>""</f>
        <v/>
      </c>
      <c r="J227" t="str">
        <f>"INV 5669/UNIT 9646"</f>
        <v>INV 5669/UNIT 9646</v>
      </c>
    </row>
    <row r="228" spans="1:10" x14ac:dyDescent="0.3">
      <c r="A228" t="str">
        <f>""</f>
        <v/>
      </c>
      <c r="G228" t="str">
        <f>""</f>
        <v/>
      </c>
      <c r="H228" t="str">
        <f>""</f>
        <v/>
      </c>
      <c r="J228" t="str">
        <f>"INV 5672/UNIT 4111"</f>
        <v>INV 5672/UNIT 4111</v>
      </c>
    </row>
    <row r="229" spans="1:10" x14ac:dyDescent="0.3">
      <c r="A229" t="str">
        <f>""</f>
        <v/>
      </c>
      <c r="G229" t="str">
        <f>"MULTIPLE INV#'S"</f>
        <v>MULTIPLE INV#'S</v>
      </c>
      <c r="H229" t="str">
        <f>"INV 5578/UNIT 0120"</f>
        <v>INV 5578/UNIT 0120</v>
      </c>
      <c r="I229" s="2">
        <v>653.54999999999995</v>
      </c>
      <c r="J229" t="str">
        <f>"INV 5578/UNIT 0120"</f>
        <v>INV 5578/UNIT 0120</v>
      </c>
    </row>
    <row r="230" spans="1:10" x14ac:dyDescent="0.3">
      <c r="A230" t="str">
        <f>""</f>
        <v/>
      </c>
      <c r="G230" t="str">
        <f>""</f>
        <v/>
      </c>
      <c r="H230" t="str">
        <f>""</f>
        <v/>
      </c>
      <c r="J230" t="str">
        <f>"INV 5596/UNIT 4718"</f>
        <v>INV 5596/UNIT 4718</v>
      </c>
    </row>
    <row r="231" spans="1:10" x14ac:dyDescent="0.3">
      <c r="A231" t="str">
        <f>""</f>
        <v/>
      </c>
      <c r="G231" t="str">
        <f>""</f>
        <v/>
      </c>
      <c r="H231" t="str">
        <f>""</f>
        <v/>
      </c>
      <c r="J231" t="str">
        <f>"INV 5600/UNIT 8153"</f>
        <v>INV 5600/UNIT 8153</v>
      </c>
    </row>
    <row r="232" spans="1:10" x14ac:dyDescent="0.3">
      <c r="A232" t="str">
        <f>""</f>
        <v/>
      </c>
      <c r="G232" t="str">
        <f>""</f>
        <v/>
      </c>
      <c r="H232" t="str">
        <f>""</f>
        <v/>
      </c>
      <c r="J232" t="str">
        <f>"INV 5605/UNIT 0127"</f>
        <v>INV 5605/UNIT 0127</v>
      </c>
    </row>
    <row r="233" spans="1:10" x14ac:dyDescent="0.3">
      <c r="A233" t="str">
        <f>""</f>
        <v/>
      </c>
      <c r="G233" t="str">
        <f>""</f>
        <v/>
      </c>
      <c r="H233" t="str">
        <f>""</f>
        <v/>
      </c>
      <c r="J233" t="str">
        <f>"INV 5611/UNIT 6539"</f>
        <v>INV 5611/UNIT 6539</v>
      </c>
    </row>
    <row r="234" spans="1:10" x14ac:dyDescent="0.3">
      <c r="A234" t="str">
        <f>""</f>
        <v/>
      </c>
      <c r="G234" t="str">
        <f>""</f>
        <v/>
      </c>
      <c r="H234" t="str">
        <f>""</f>
        <v/>
      </c>
      <c r="J234" t="str">
        <f>"INV 5637/UNIT 1629"</f>
        <v>INV 5637/UNIT 1629</v>
      </c>
    </row>
    <row r="235" spans="1:10" x14ac:dyDescent="0.3">
      <c r="A235" t="str">
        <f>""</f>
        <v/>
      </c>
      <c r="G235" t="str">
        <f>""</f>
        <v/>
      </c>
      <c r="H235" t="str">
        <f>""</f>
        <v/>
      </c>
      <c r="J235" t="str">
        <f>"INV 5650/UNIT 8953"</f>
        <v>INV 5650/UNIT 8953</v>
      </c>
    </row>
    <row r="236" spans="1:10" x14ac:dyDescent="0.3">
      <c r="A236" t="str">
        <f>"001367"</f>
        <v>001367</v>
      </c>
      <c r="B236" t="s">
        <v>77</v>
      </c>
      <c r="C236">
        <v>71645</v>
      </c>
      <c r="D236" s="2">
        <v>4330.3999999999996</v>
      </c>
      <c r="E236" s="1">
        <v>42940</v>
      </c>
      <c r="F236" t="s">
        <v>11</v>
      </c>
      <c r="G236" t="str">
        <f>"5745"</f>
        <v>5745</v>
      </c>
      <c r="H236" t="str">
        <f>"INV 5745/UNIT 8953"</f>
        <v>INV 5745/UNIT 8953</v>
      </c>
      <c r="I236" s="2">
        <v>208.91</v>
      </c>
      <c r="J236" t="str">
        <f>"INV 5745/UNIT 8953"</f>
        <v>INV 5745/UNIT 8953</v>
      </c>
    </row>
    <row r="237" spans="1:10" x14ac:dyDescent="0.3">
      <c r="A237" t="str">
        <f>""</f>
        <v/>
      </c>
      <c r="G237" t="str">
        <f>"5759"</f>
        <v>5759</v>
      </c>
      <c r="H237" t="str">
        <f>"INV 5759/UNIT 4431"</f>
        <v>INV 5759/UNIT 4431</v>
      </c>
      <c r="I237" s="2">
        <v>92.7</v>
      </c>
      <c r="J237" t="str">
        <f>"INV 5759/UNIT 4431"</f>
        <v>INV 5759/UNIT 4431</v>
      </c>
    </row>
    <row r="238" spans="1:10" x14ac:dyDescent="0.3">
      <c r="A238" t="str">
        <f>""</f>
        <v/>
      </c>
      <c r="G238" t="str">
        <f>"5785"</f>
        <v>5785</v>
      </c>
      <c r="H238" t="str">
        <f>"INV 5785/UNIT 0121"</f>
        <v>INV 5785/UNIT 0121</v>
      </c>
      <c r="I238" s="2">
        <v>275.01</v>
      </c>
      <c r="J238" t="str">
        <f>"INV 5785/UNIT 0121"</f>
        <v>INV 5785/UNIT 0121</v>
      </c>
    </row>
    <row r="239" spans="1:10" x14ac:dyDescent="0.3">
      <c r="A239" t="str">
        <f>""</f>
        <v/>
      </c>
      <c r="G239" t="str">
        <f>"5797/UNIT 0417"</f>
        <v>5797/UNIT 0417</v>
      </c>
      <c r="H239" t="str">
        <f>"INV 5797/UNIT 0417"</f>
        <v>INV 5797/UNIT 0417</v>
      </c>
      <c r="I239" s="2">
        <v>92.5</v>
      </c>
      <c r="J239" t="str">
        <f>"INV 5797/UNIT 0417"</f>
        <v>INV 5797/UNIT 0417</v>
      </c>
    </row>
    <row r="240" spans="1:10" x14ac:dyDescent="0.3">
      <c r="A240" t="str">
        <f>""</f>
        <v/>
      </c>
      <c r="G240" t="str">
        <f>"5827"</f>
        <v>5827</v>
      </c>
      <c r="H240" t="str">
        <f>"INV 5827/UNIT 81"</f>
        <v>INV 5827/UNIT 81</v>
      </c>
      <c r="I240" s="2">
        <v>252.4</v>
      </c>
      <c r="J240" t="str">
        <f>"INV 5827/UNIT 81"</f>
        <v>INV 5827/UNIT 81</v>
      </c>
    </row>
    <row r="241" spans="1:10" x14ac:dyDescent="0.3">
      <c r="A241" t="str">
        <f>""</f>
        <v/>
      </c>
      <c r="G241" t="str">
        <f>"5835"</f>
        <v>5835</v>
      </c>
      <c r="H241" t="str">
        <f>"INV 5835/UNIT 3102"</f>
        <v>INV 5835/UNIT 3102</v>
      </c>
      <c r="I241" s="2">
        <v>1711.11</v>
      </c>
      <c r="J241" t="str">
        <f>"INV 5835/UNIT 3102"</f>
        <v>INV 5835/UNIT 3102</v>
      </c>
    </row>
    <row r="242" spans="1:10" x14ac:dyDescent="0.3">
      <c r="A242" t="str">
        <f>""</f>
        <v/>
      </c>
      <c r="G242" t="str">
        <f>"MULT. INV #'S"</f>
        <v>MULT. INV #'S</v>
      </c>
      <c r="H242" t="str">
        <f>"UNIT 9096"</f>
        <v>UNIT 9096</v>
      </c>
      <c r="I242" s="2">
        <v>1223.57</v>
      </c>
      <c r="J242" t="str">
        <f>"UNIT 9096"</f>
        <v>UNIT 9096</v>
      </c>
    </row>
    <row r="243" spans="1:10" x14ac:dyDescent="0.3">
      <c r="A243" t="str">
        <f>""</f>
        <v/>
      </c>
      <c r="G243" t="str">
        <f>""</f>
        <v/>
      </c>
      <c r="H243" t="str">
        <f>""</f>
        <v/>
      </c>
      <c r="J243" t="str">
        <f>"INV 0/UNIT 0117"</f>
        <v>INV 0/UNIT 0117</v>
      </c>
    </row>
    <row r="244" spans="1:10" x14ac:dyDescent="0.3">
      <c r="A244" t="str">
        <f>""</f>
        <v/>
      </c>
      <c r="G244" t="str">
        <f>""</f>
        <v/>
      </c>
      <c r="H244" t="str">
        <f>""</f>
        <v/>
      </c>
      <c r="J244" t="str">
        <f>"INV 5718/UNIT 1630"</f>
        <v>INV 5718/UNIT 1630</v>
      </c>
    </row>
    <row r="245" spans="1:10" x14ac:dyDescent="0.3">
      <c r="A245" t="str">
        <f>""</f>
        <v/>
      </c>
      <c r="G245" t="str">
        <f>""</f>
        <v/>
      </c>
      <c r="H245" t="str">
        <f>""</f>
        <v/>
      </c>
      <c r="J245" t="str">
        <f>"INV 5720/UNIT 0126"</f>
        <v>INV 5720/UNIT 0126</v>
      </c>
    </row>
    <row r="246" spans="1:10" x14ac:dyDescent="0.3">
      <c r="A246" t="str">
        <f>""</f>
        <v/>
      </c>
      <c r="G246" t="str">
        <f>""</f>
        <v/>
      </c>
      <c r="H246" t="str">
        <f>""</f>
        <v/>
      </c>
      <c r="J246" t="str">
        <f>"INV 5724/UNIT 3804"</f>
        <v>INV 5724/UNIT 3804</v>
      </c>
    </row>
    <row r="247" spans="1:10" x14ac:dyDescent="0.3">
      <c r="A247" t="str">
        <f>""</f>
        <v/>
      </c>
      <c r="G247" t="str">
        <f>""</f>
        <v/>
      </c>
      <c r="H247" t="str">
        <f>""</f>
        <v/>
      </c>
      <c r="J247" t="str">
        <f>"INV 5725/UNIT 91"</f>
        <v>INV 5725/UNIT 91</v>
      </c>
    </row>
    <row r="248" spans="1:10" x14ac:dyDescent="0.3">
      <c r="A248" t="str">
        <f>""</f>
        <v/>
      </c>
      <c r="G248" t="str">
        <f>""</f>
        <v/>
      </c>
      <c r="H248" t="str">
        <f>""</f>
        <v/>
      </c>
      <c r="J248" t="str">
        <f>"INV 5732/UNIT 0119"</f>
        <v>INV 5732/UNIT 0119</v>
      </c>
    </row>
    <row r="249" spans="1:10" x14ac:dyDescent="0.3">
      <c r="A249" t="str">
        <f>""</f>
        <v/>
      </c>
      <c r="G249" t="str">
        <f>""</f>
        <v/>
      </c>
      <c r="H249" t="str">
        <f>""</f>
        <v/>
      </c>
      <c r="J249" t="str">
        <f>"INV 5746/UNIT 4717"</f>
        <v>INV 5746/UNIT 4717</v>
      </c>
    </row>
    <row r="250" spans="1:10" x14ac:dyDescent="0.3">
      <c r="A250" t="str">
        <f>""</f>
        <v/>
      </c>
      <c r="G250" t="str">
        <f>""</f>
        <v/>
      </c>
      <c r="H250" t="str">
        <f>""</f>
        <v/>
      </c>
      <c r="J250" t="str">
        <f>"INV 5749/UNIT 6502"</f>
        <v>INV 5749/UNIT 6502</v>
      </c>
    </row>
    <row r="251" spans="1:10" x14ac:dyDescent="0.3">
      <c r="A251" t="str">
        <f>""</f>
        <v/>
      </c>
      <c r="G251" t="str">
        <f>""</f>
        <v/>
      </c>
      <c r="H251" t="str">
        <f>""</f>
        <v/>
      </c>
      <c r="J251" t="str">
        <f>"INV 5750/UNIT 0118"</f>
        <v>INV 5750/UNIT 0118</v>
      </c>
    </row>
    <row r="252" spans="1:10" x14ac:dyDescent="0.3">
      <c r="A252" t="str">
        <f>""</f>
        <v/>
      </c>
      <c r="G252" t="str">
        <f>""</f>
        <v/>
      </c>
      <c r="H252" t="str">
        <f>""</f>
        <v/>
      </c>
      <c r="J252" t="str">
        <f>"INV 5756/UNIT 74"</f>
        <v>INV 5756/UNIT 74</v>
      </c>
    </row>
    <row r="253" spans="1:10" x14ac:dyDescent="0.3">
      <c r="A253" t="str">
        <f>""</f>
        <v/>
      </c>
      <c r="G253" t="str">
        <f>""</f>
        <v/>
      </c>
      <c r="H253" t="str">
        <f>""</f>
        <v/>
      </c>
      <c r="J253" t="str">
        <f>"INV 5767/UNIT 6520"</f>
        <v>INV 5767/UNIT 6520</v>
      </c>
    </row>
    <row r="254" spans="1:10" x14ac:dyDescent="0.3">
      <c r="A254" t="str">
        <f>""</f>
        <v/>
      </c>
      <c r="G254" t="str">
        <f>""</f>
        <v/>
      </c>
      <c r="H254" t="str">
        <f>""</f>
        <v/>
      </c>
      <c r="J254" t="str">
        <f>"INV 5775/UNIT 0116"</f>
        <v>INV 5775/UNIT 0116</v>
      </c>
    </row>
    <row r="255" spans="1:10" x14ac:dyDescent="0.3">
      <c r="A255" t="str">
        <f>""</f>
        <v/>
      </c>
      <c r="G255" t="str">
        <f>""</f>
        <v/>
      </c>
      <c r="H255" t="str">
        <f>""</f>
        <v/>
      </c>
      <c r="J255" t="str">
        <f>"INV 5783/UNIT 6520"</f>
        <v>INV 5783/UNIT 6520</v>
      </c>
    </row>
    <row r="256" spans="1:10" x14ac:dyDescent="0.3">
      <c r="A256" t="str">
        <f>""</f>
        <v/>
      </c>
      <c r="G256" t="str">
        <f>"MULT. INV#'S"</f>
        <v>MULT. INV#'S</v>
      </c>
      <c r="H256" t="str">
        <f>"INV 5787/UNIT 1669"</f>
        <v>INV 5787/UNIT 1669</v>
      </c>
      <c r="I256" s="2">
        <v>369.7</v>
      </c>
      <c r="J256" t="str">
        <f>"INV 5787/UNIT 1669"</f>
        <v>INV 5787/UNIT 1669</v>
      </c>
    </row>
    <row r="257" spans="1:10" x14ac:dyDescent="0.3">
      <c r="A257" t="str">
        <f>""</f>
        <v/>
      </c>
      <c r="G257" t="str">
        <f>""</f>
        <v/>
      </c>
      <c r="H257" t="str">
        <f>""</f>
        <v/>
      </c>
      <c r="J257" t="str">
        <f>"INV 5789/UNIT 4719"</f>
        <v>INV 5789/UNIT 4719</v>
      </c>
    </row>
    <row r="258" spans="1:10" x14ac:dyDescent="0.3">
      <c r="A258" t="str">
        <f>""</f>
        <v/>
      </c>
      <c r="G258" t="str">
        <f>""</f>
        <v/>
      </c>
      <c r="H258" t="str">
        <f>""</f>
        <v/>
      </c>
      <c r="J258" t="str">
        <f>"INV 5795/UNIT 1670"</f>
        <v>INV 5795/UNIT 1670</v>
      </c>
    </row>
    <row r="259" spans="1:10" x14ac:dyDescent="0.3">
      <c r="A259" t="str">
        <f>""</f>
        <v/>
      </c>
      <c r="G259" t="str">
        <f>""</f>
        <v/>
      </c>
      <c r="H259" t="str">
        <f>""</f>
        <v/>
      </c>
      <c r="J259" t="str">
        <f>"INV 5803/UNIT 1665"</f>
        <v>INV 5803/UNIT 1665</v>
      </c>
    </row>
    <row r="260" spans="1:10" x14ac:dyDescent="0.3">
      <c r="A260" t="str">
        <f>""</f>
        <v/>
      </c>
      <c r="G260" t="str">
        <f>""</f>
        <v/>
      </c>
      <c r="H260" t="str">
        <f>""</f>
        <v/>
      </c>
      <c r="J260" t="str">
        <f>"INV 5805/UNIT 0122"</f>
        <v>INV 5805/UNIT 0122</v>
      </c>
    </row>
    <row r="261" spans="1:10" x14ac:dyDescent="0.3">
      <c r="A261" t="str">
        <f>""</f>
        <v/>
      </c>
      <c r="G261" t="str">
        <f>""</f>
        <v/>
      </c>
      <c r="H261" t="str">
        <f>""</f>
        <v/>
      </c>
      <c r="J261" t="str">
        <f>"INV 5816/UNIT 124"</f>
        <v>INV 5816/UNIT 124</v>
      </c>
    </row>
    <row r="262" spans="1:10" x14ac:dyDescent="0.3">
      <c r="A262" t="str">
        <f>""</f>
        <v/>
      </c>
      <c r="G262" t="str">
        <f>""</f>
        <v/>
      </c>
      <c r="H262" t="str">
        <f>""</f>
        <v/>
      </c>
      <c r="J262" t="str">
        <f>"INV 5818/ UNIT1666"</f>
        <v>INV 5818/ UNIT1666</v>
      </c>
    </row>
    <row r="263" spans="1:10" x14ac:dyDescent="0.3">
      <c r="A263" t="str">
        <f>""</f>
        <v/>
      </c>
      <c r="G263" t="str">
        <f>""</f>
        <v/>
      </c>
      <c r="H263" t="str">
        <f>""</f>
        <v/>
      </c>
      <c r="J263" t="str">
        <f>"INV 5822/UNIT 0124"</f>
        <v>INV 5822/UNIT 0124</v>
      </c>
    </row>
    <row r="264" spans="1:10" x14ac:dyDescent="0.3">
      <c r="A264" t="str">
        <f>""</f>
        <v/>
      </c>
      <c r="G264" t="str">
        <f>""</f>
        <v/>
      </c>
      <c r="H264" t="str">
        <f>""</f>
        <v/>
      </c>
      <c r="J264" t="str">
        <f>"UNIT 92"</f>
        <v>UNIT 92</v>
      </c>
    </row>
    <row r="265" spans="1:10" x14ac:dyDescent="0.3">
      <c r="A265" t="str">
        <f>""</f>
        <v/>
      </c>
      <c r="G265" t="str">
        <f>""</f>
        <v/>
      </c>
      <c r="H265" t="str">
        <f>""</f>
        <v/>
      </c>
      <c r="J265" t="str">
        <f>"UNIT 80"</f>
        <v>UNIT 80</v>
      </c>
    </row>
    <row r="266" spans="1:10" x14ac:dyDescent="0.3">
      <c r="A266" t="str">
        <f>""</f>
        <v/>
      </c>
      <c r="G266" t="str">
        <f>"UNIT 92 TRLR INSP"</f>
        <v>UNIT 92 TRLR INSP</v>
      </c>
      <c r="H266" t="str">
        <f>"UNIT 92 TRAILER INSPECTIO"</f>
        <v>UNIT 92 TRAILER INSPECTIO</v>
      </c>
      <c r="I266" s="2">
        <v>104.5</v>
      </c>
      <c r="J266" t="str">
        <f>"UNIT 92 TRAILER INSPECTIO"</f>
        <v>UNIT 92 TRAILER INSPECTIO</v>
      </c>
    </row>
    <row r="267" spans="1:10" x14ac:dyDescent="0.3">
      <c r="A267" t="str">
        <f>"005121"</f>
        <v>005121</v>
      </c>
      <c r="B267" t="s">
        <v>78</v>
      </c>
      <c r="C267">
        <v>71394</v>
      </c>
      <c r="D267" s="2">
        <v>2450</v>
      </c>
      <c r="E267" s="1">
        <v>42926</v>
      </c>
      <c r="F267" t="s">
        <v>11</v>
      </c>
      <c r="G267" t="str">
        <f>"1012541A"</f>
        <v>1012541A</v>
      </c>
      <c r="H267" t="str">
        <f>"INV 1012541A"</f>
        <v>INV 1012541A</v>
      </c>
      <c r="I267" s="2">
        <v>2450</v>
      </c>
      <c r="J267" t="str">
        <f>"INV 1012541A"</f>
        <v>INV 1012541A</v>
      </c>
    </row>
    <row r="268" spans="1:10" x14ac:dyDescent="0.3">
      <c r="A268" t="str">
        <f>"005150"</f>
        <v>005150</v>
      </c>
      <c r="B268" t="s">
        <v>79</v>
      </c>
      <c r="C268">
        <v>71646</v>
      </c>
      <c r="D268" s="2">
        <v>1200</v>
      </c>
      <c r="E268" s="1">
        <v>42940</v>
      </c>
      <c r="F268" t="s">
        <v>11</v>
      </c>
      <c r="G268" t="str">
        <f>"176574"</f>
        <v>176574</v>
      </c>
      <c r="H268" t="str">
        <f>"INV 176574"</f>
        <v>INV 176574</v>
      </c>
      <c r="I268" s="2">
        <v>1200</v>
      </c>
      <c r="J268" t="str">
        <f>"INV 176574"</f>
        <v>INV 176574</v>
      </c>
    </row>
    <row r="269" spans="1:10" x14ac:dyDescent="0.3">
      <c r="A269" t="str">
        <f>"000205"</f>
        <v>000205</v>
      </c>
      <c r="B269" t="s">
        <v>80</v>
      </c>
      <c r="C269">
        <v>71395</v>
      </c>
      <c r="D269" s="2">
        <v>431.94</v>
      </c>
      <c r="E269" s="1">
        <v>42926</v>
      </c>
      <c r="F269" t="s">
        <v>11</v>
      </c>
      <c r="G269" t="str">
        <f>"145800"</f>
        <v>145800</v>
      </c>
      <c r="H269" t="str">
        <f>"CUST#1190073/CLEANING SUPPLIES"</f>
        <v>CUST#1190073/CLEANING SUPPLIES</v>
      </c>
      <c r="I269" s="2">
        <v>431.94</v>
      </c>
      <c r="J269" t="str">
        <f>"CUST#1190073/CLEANING SUPPLIES"</f>
        <v>CUST#1190073/CLEANING SUPPLIES</v>
      </c>
    </row>
    <row r="270" spans="1:10" x14ac:dyDescent="0.3">
      <c r="A270" t="str">
        <f>"002356"</f>
        <v>002356</v>
      </c>
      <c r="B270" t="s">
        <v>81</v>
      </c>
      <c r="C270">
        <v>71396</v>
      </c>
      <c r="D270" s="2">
        <v>30</v>
      </c>
      <c r="E270" s="1">
        <v>42926</v>
      </c>
      <c r="F270" t="s">
        <v>11</v>
      </c>
      <c r="G270" t="str">
        <f>"17-18449"</f>
        <v>17-18449</v>
      </c>
      <c r="H270" t="str">
        <f>"CENTRAL ADOPTION REG FUND-6/26"</f>
        <v>CENTRAL ADOPTION REG FUND-6/26</v>
      </c>
      <c r="I270" s="2">
        <v>15</v>
      </c>
      <c r="J270" t="str">
        <f>"CENTRAL ADOPTION REG FUND-6/26"</f>
        <v>CENTRAL ADOPTION REG FUND-6/26</v>
      </c>
    </row>
    <row r="271" spans="1:10" x14ac:dyDescent="0.3">
      <c r="A271" t="str">
        <f>""</f>
        <v/>
      </c>
      <c r="G271" t="str">
        <f>"17-18452"</f>
        <v>17-18452</v>
      </c>
      <c r="H271" t="str">
        <f>"CENTRAL ADOPTION REGISTRY"</f>
        <v>CENTRAL ADOPTION REGISTRY</v>
      </c>
      <c r="I271" s="2">
        <v>15</v>
      </c>
      <c r="J271" t="str">
        <f>"CENTRAL ADOPTION REGISTRY"</f>
        <v>CENTRAL ADOPTION REGISTRY</v>
      </c>
    </row>
    <row r="272" spans="1:10" x14ac:dyDescent="0.3">
      <c r="A272" t="str">
        <f>"002356"</f>
        <v>002356</v>
      </c>
      <c r="B272" t="s">
        <v>81</v>
      </c>
      <c r="C272">
        <v>71647</v>
      </c>
      <c r="D272" s="2">
        <v>15</v>
      </c>
      <c r="E272" s="1">
        <v>42940</v>
      </c>
      <c r="F272" t="s">
        <v>11</v>
      </c>
      <c r="G272" t="str">
        <f>"17-18475"</f>
        <v>17-18475</v>
      </c>
      <c r="H272" t="str">
        <f>"CENTRAL ADOPTION-7/12/17"</f>
        <v>CENTRAL ADOPTION-7/12/17</v>
      </c>
      <c r="I272" s="2">
        <v>15</v>
      </c>
      <c r="J272" t="str">
        <f>"CENTRAL ADOPTION-7/12/17"</f>
        <v>CENTRAL ADOPTION-7/12/17</v>
      </c>
    </row>
    <row r="273" spans="1:10" x14ac:dyDescent="0.3">
      <c r="A273" t="str">
        <f>"T5521"</f>
        <v>T5521</v>
      </c>
      <c r="B273" t="s">
        <v>82</v>
      </c>
      <c r="C273">
        <v>71397</v>
      </c>
      <c r="D273" s="2">
        <v>275</v>
      </c>
      <c r="E273" s="1">
        <v>42926</v>
      </c>
      <c r="F273" t="s">
        <v>11</v>
      </c>
      <c r="G273" t="str">
        <f>"19776"</f>
        <v>19776</v>
      </c>
      <c r="H273" t="str">
        <f>"INV 19776"</f>
        <v>INV 19776</v>
      </c>
      <c r="I273" s="2">
        <v>125</v>
      </c>
      <c r="J273" t="str">
        <f>"INV 19776"</f>
        <v>INV 19776</v>
      </c>
    </row>
    <row r="274" spans="1:10" x14ac:dyDescent="0.3">
      <c r="A274" t="str">
        <f>""</f>
        <v/>
      </c>
      <c r="G274" t="str">
        <f>"19777"</f>
        <v>19777</v>
      </c>
      <c r="H274" t="str">
        <f>"INV 19777"</f>
        <v>INV 19777</v>
      </c>
      <c r="I274" s="2">
        <v>75</v>
      </c>
      <c r="J274" t="str">
        <f>"INV 19777"</f>
        <v>INV 19777</v>
      </c>
    </row>
    <row r="275" spans="1:10" x14ac:dyDescent="0.3">
      <c r="A275" t="str">
        <f>""</f>
        <v/>
      </c>
      <c r="G275" t="str">
        <f>"19806"</f>
        <v>19806</v>
      </c>
      <c r="H275" t="str">
        <f>"INV 19806"</f>
        <v>INV 19806</v>
      </c>
      <c r="I275" s="2">
        <v>75</v>
      </c>
      <c r="J275" t="str">
        <f>"INV 19806"</f>
        <v>INV 19806</v>
      </c>
    </row>
    <row r="276" spans="1:10" x14ac:dyDescent="0.3">
      <c r="A276" t="str">
        <f>"T5521"</f>
        <v>T5521</v>
      </c>
      <c r="B276" t="s">
        <v>82</v>
      </c>
      <c r="C276">
        <v>71648</v>
      </c>
      <c r="D276" s="2">
        <v>85</v>
      </c>
      <c r="E276" s="1">
        <v>42940</v>
      </c>
      <c r="F276" t="s">
        <v>11</v>
      </c>
      <c r="G276" t="str">
        <f>"20081"</f>
        <v>20081</v>
      </c>
      <c r="H276" t="str">
        <f>"INV 20081"</f>
        <v>INV 20081</v>
      </c>
      <c r="I276" s="2">
        <v>20</v>
      </c>
      <c r="J276" t="str">
        <f>"INV 20081"</f>
        <v>INV 20081</v>
      </c>
    </row>
    <row r="277" spans="1:10" x14ac:dyDescent="0.3">
      <c r="A277" t="str">
        <f>""</f>
        <v/>
      </c>
      <c r="G277" t="str">
        <f>"20172"</f>
        <v>20172</v>
      </c>
      <c r="H277" t="str">
        <f>"ENVIRO LAW TRAINING-K. BERRY"</f>
        <v>ENVIRO LAW TRAINING-K. BERRY</v>
      </c>
      <c r="I277" s="2">
        <v>40</v>
      </c>
      <c r="J277" t="str">
        <f>"ENVIRO LAW TRAINING-K. BERRY"</f>
        <v>ENVIRO LAW TRAINING-K. BERRY</v>
      </c>
    </row>
    <row r="278" spans="1:10" x14ac:dyDescent="0.3">
      <c r="A278" t="str">
        <f>""</f>
        <v/>
      </c>
      <c r="G278" t="str">
        <f>"20238"</f>
        <v>20238</v>
      </c>
      <c r="H278" t="str">
        <f>"INV 20238"</f>
        <v>INV 20238</v>
      </c>
      <c r="I278" s="2">
        <v>25</v>
      </c>
      <c r="J278" t="str">
        <f>"INV 20238"</f>
        <v>INV 20238</v>
      </c>
    </row>
    <row r="279" spans="1:10" x14ac:dyDescent="0.3">
      <c r="A279" t="str">
        <f>"T12518"</f>
        <v>T12518</v>
      </c>
      <c r="B279" t="s">
        <v>83</v>
      </c>
      <c r="C279">
        <v>71649</v>
      </c>
      <c r="D279" s="2">
        <v>4726</v>
      </c>
      <c r="E279" s="1">
        <v>42940</v>
      </c>
      <c r="F279" t="s">
        <v>84</v>
      </c>
      <c r="G279" t="str">
        <f>"201707193714"</f>
        <v>201707193714</v>
      </c>
      <c r="H279" t="str">
        <f>"CLEAN AIR COALITION"</f>
        <v>CLEAN AIR COALITION</v>
      </c>
      <c r="I279" s="2">
        <v>4726</v>
      </c>
    </row>
    <row r="280" spans="1:10" x14ac:dyDescent="0.3">
      <c r="A280" t="str">
        <f>"T12518"</f>
        <v>T12518</v>
      </c>
      <c r="B280" t="s">
        <v>83</v>
      </c>
      <c r="C280">
        <v>71649</v>
      </c>
      <c r="D280" s="2">
        <v>4726</v>
      </c>
      <c r="E280" s="1">
        <v>42940</v>
      </c>
      <c r="F280" t="s">
        <v>84</v>
      </c>
      <c r="G280" t="str">
        <f>"CHECK"</f>
        <v>CHECK</v>
      </c>
      <c r="H280" t="str">
        <f>""</f>
        <v/>
      </c>
      <c r="I280" s="2">
        <v>4726</v>
      </c>
    </row>
    <row r="281" spans="1:10" x14ac:dyDescent="0.3">
      <c r="A281" t="str">
        <f>"003623"</f>
        <v>003623</v>
      </c>
      <c r="B281" t="s">
        <v>86</v>
      </c>
      <c r="C281">
        <v>71650</v>
      </c>
      <c r="D281" s="2">
        <v>336.05</v>
      </c>
      <c r="E281" s="1">
        <v>42940</v>
      </c>
      <c r="F281" t="s">
        <v>11</v>
      </c>
      <c r="G281" t="str">
        <f>"SUTTON C"</f>
        <v>SUTTON C</v>
      </c>
      <c r="H281" t="str">
        <f>"TRANSPORT"</f>
        <v>TRANSPORT</v>
      </c>
      <c r="I281" s="2">
        <v>336.05</v>
      </c>
      <c r="J281" t="str">
        <f>"TRANSPORT"</f>
        <v>TRANSPORT</v>
      </c>
    </row>
    <row r="282" spans="1:10" x14ac:dyDescent="0.3">
      <c r="A282" t="str">
        <f>"CBOA"</f>
        <v>CBOA</v>
      </c>
      <c r="B282" t="s">
        <v>87</v>
      </c>
      <c r="C282">
        <v>71651</v>
      </c>
      <c r="D282" s="2">
        <v>768.09</v>
      </c>
      <c r="E282" s="1">
        <v>42940</v>
      </c>
      <c r="F282" t="s">
        <v>11</v>
      </c>
      <c r="G282" t="str">
        <f>"1600719"</f>
        <v>1600719</v>
      </c>
      <c r="H282" t="str">
        <f>"ACCT#000690/ORD#01349204/PCT#4"</f>
        <v>ACCT#000690/ORD#01349204/PCT#4</v>
      </c>
      <c r="I282" s="2">
        <v>574.29999999999995</v>
      </c>
      <c r="J282" t="str">
        <f>"ACCT#000690/ORD#01349204/PCT#4"</f>
        <v>ACCT#000690/ORD#01349204/PCT#4</v>
      </c>
    </row>
    <row r="283" spans="1:10" x14ac:dyDescent="0.3">
      <c r="A283" t="str">
        <f>""</f>
        <v/>
      </c>
      <c r="G283" t="str">
        <f>"495411"</f>
        <v>495411</v>
      </c>
      <c r="H283" t="str">
        <f>"ORD#00414857"</f>
        <v>ORD#00414857</v>
      </c>
      <c r="I283" s="2">
        <v>193.79</v>
      </c>
      <c r="J283" t="str">
        <f>"ORD#00414857"</f>
        <v>ORD#00414857</v>
      </c>
    </row>
    <row r="284" spans="1:10" x14ac:dyDescent="0.3">
      <c r="A284" t="str">
        <f>"002723"</f>
        <v>002723</v>
      </c>
      <c r="B284" t="s">
        <v>88</v>
      </c>
      <c r="C284">
        <v>71652</v>
      </c>
      <c r="D284" s="2">
        <v>325</v>
      </c>
      <c r="E284" s="1">
        <v>42940</v>
      </c>
      <c r="F284" t="s">
        <v>11</v>
      </c>
      <c r="G284" t="str">
        <f>"14751"</f>
        <v>14751</v>
      </c>
      <c r="H284" t="str">
        <f>"3RD QTR MAINTENANCE"</f>
        <v>3RD QTR MAINTENANCE</v>
      </c>
      <c r="I284" s="2">
        <v>325</v>
      </c>
      <c r="J284" t="str">
        <f>"3RD QTR MAINTENANCE"</f>
        <v>3RD QTR MAINTENANCE</v>
      </c>
    </row>
    <row r="285" spans="1:10" x14ac:dyDescent="0.3">
      <c r="A285" t="str">
        <f>"002726"</f>
        <v>002726</v>
      </c>
      <c r="B285" t="s">
        <v>89</v>
      </c>
      <c r="C285">
        <v>0</v>
      </c>
      <c r="D285" s="2">
        <v>5354.1</v>
      </c>
      <c r="E285" s="1">
        <v>42926</v>
      </c>
      <c r="F285" t="s">
        <v>35</v>
      </c>
      <c r="G285" t="str">
        <f>"ACCT#0058"</f>
        <v>ACCT#0058</v>
      </c>
      <c r="H285" t="str">
        <f>"Statement 6/21/2017"</f>
        <v>Statement 6/21/2017</v>
      </c>
      <c r="I285" s="2">
        <v>5354.1</v>
      </c>
      <c r="J285" t="str">
        <f>"Amazon"</f>
        <v>Amazon</v>
      </c>
    </row>
    <row r="286" spans="1:10" x14ac:dyDescent="0.3">
      <c r="A286" t="str">
        <f>""</f>
        <v/>
      </c>
      <c r="G286" t="str">
        <f>""</f>
        <v/>
      </c>
      <c r="H286" t="str">
        <f>""</f>
        <v/>
      </c>
      <c r="J286" t="str">
        <f>"Cisco-Kevin"</f>
        <v>Cisco-Kevin</v>
      </c>
    </row>
    <row r="287" spans="1:10" x14ac:dyDescent="0.3">
      <c r="A287" t="str">
        <f>""</f>
        <v/>
      </c>
      <c r="G287" t="str">
        <f>""</f>
        <v/>
      </c>
      <c r="H287" t="str">
        <f>""</f>
        <v/>
      </c>
      <c r="J287" t="str">
        <f>"Cisco- Rodger"</f>
        <v>Cisco- Rodger</v>
      </c>
    </row>
    <row r="288" spans="1:10" x14ac:dyDescent="0.3">
      <c r="A288" t="str">
        <f>""</f>
        <v/>
      </c>
      <c r="G288" t="str">
        <f>""</f>
        <v/>
      </c>
      <c r="H288" t="str">
        <f>""</f>
        <v/>
      </c>
      <c r="J288" t="str">
        <f>"Amazon"</f>
        <v>Amazon</v>
      </c>
    </row>
    <row r="289" spans="1:10" x14ac:dyDescent="0.3">
      <c r="A289" t="str">
        <f>""</f>
        <v/>
      </c>
      <c r="G289" t="str">
        <f>""</f>
        <v/>
      </c>
      <c r="H289" t="str">
        <f>""</f>
        <v/>
      </c>
      <c r="J289" t="str">
        <f>"Amazon"</f>
        <v>Amazon</v>
      </c>
    </row>
    <row r="290" spans="1:10" x14ac:dyDescent="0.3">
      <c r="A290" t="str">
        <f>""</f>
        <v/>
      </c>
      <c r="G290" t="str">
        <f>""</f>
        <v/>
      </c>
      <c r="H290" t="str">
        <f>""</f>
        <v/>
      </c>
      <c r="J290" t="str">
        <f>"NRA"</f>
        <v>NRA</v>
      </c>
    </row>
    <row r="291" spans="1:10" x14ac:dyDescent="0.3">
      <c r="A291" t="str">
        <f>""</f>
        <v/>
      </c>
      <c r="G291" t="str">
        <f>""</f>
        <v/>
      </c>
      <c r="H291" t="str">
        <f>""</f>
        <v/>
      </c>
      <c r="J291" t="str">
        <f>"Amazon-Camera"</f>
        <v>Amazon-Camera</v>
      </c>
    </row>
    <row r="292" spans="1:10" x14ac:dyDescent="0.3">
      <c r="A292" t="str">
        <f>""</f>
        <v/>
      </c>
      <c r="G292" t="str">
        <f>""</f>
        <v/>
      </c>
      <c r="H292" t="str">
        <f>""</f>
        <v/>
      </c>
      <c r="J292" t="str">
        <f>"Rosanna Garza"</f>
        <v>Rosanna Garza</v>
      </c>
    </row>
    <row r="293" spans="1:10" x14ac:dyDescent="0.3">
      <c r="A293" t="str">
        <f>""</f>
        <v/>
      </c>
      <c r="G293" t="str">
        <f>""</f>
        <v/>
      </c>
      <c r="H293" t="str">
        <f>""</f>
        <v/>
      </c>
      <c r="J293" t="str">
        <f>"Robert Bennett"</f>
        <v>Robert Bennett</v>
      </c>
    </row>
    <row r="294" spans="1:10" x14ac:dyDescent="0.3">
      <c r="A294" t="str">
        <f>""</f>
        <v/>
      </c>
      <c r="G294" t="str">
        <f>""</f>
        <v/>
      </c>
      <c r="H294" t="str">
        <f>""</f>
        <v/>
      </c>
      <c r="J294" t="str">
        <f>"Annette Murley"</f>
        <v>Annette Murley</v>
      </c>
    </row>
    <row r="295" spans="1:10" x14ac:dyDescent="0.3">
      <c r="A295" t="str">
        <f>""</f>
        <v/>
      </c>
      <c r="G295" t="str">
        <f>""</f>
        <v/>
      </c>
      <c r="H295" t="str">
        <f>""</f>
        <v/>
      </c>
      <c r="J295" t="str">
        <f>"Charles Adams"</f>
        <v>Charles Adams</v>
      </c>
    </row>
    <row r="296" spans="1:10" x14ac:dyDescent="0.3">
      <c r="A296" t="str">
        <f>""</f>
        <v/>
      </c>
      <c r="G296" t="str">
        <f>""</f>
        <v/>
      </c>
      <c r="H296" t="str">
        <f>""</f>
        <v/>
      </c>
      <c r="J296" t="str">
        <f>"Kennth Leatherwood"</f>
        <v>Kennth Leatherwood</v>
      </c>
    </row>
    <row r="297" spans="1:10" x14ac:dyDescent="0.3">
      <c r="A297" t="str">
        <f>""</f>
        <v/>
      </c>
      <c r="G297" t="str">
        <f>""</f>
        <v/>
      </c>
      <c r="H297" t="str">
        <f>""</f>
        <v/>
      </c>
      <c r="J297" t="str">
        <f>"Walmart"</f>
        <v>Walmart</v>
      </c>
    </row>
    <row r="298" spans="1:10" x14ac:dyDescent="0.3">
      <c r="A298" t="str">
        <f>"CARD"</f>
        <v>CARD</v>
      </c>
      <c r="B298" t="s">
        <v>89</v>
      </c>
      <c r="C298">
        <v>0</v>
      </c>
      <c r="D298" s="2">
        <v>217.71</v>
      </c>
      <c r="E298" s="1">
        <v>42926</v>
      </c>
      <c r="F298" t="s">
        <v>35</v>
      </c>
      <c r="G298" t="str">
        <f>"ACCT#0574"</f>
        <v>ACCT#0574</v>
      </c>
      <c r="H298" t="str">
        <f>"STATEMENT - 0574"</f>
        <v>STATEMENT - 0574</v>
      </c>
      <c r="I298" s="2">
        <v>217.71</v>
      </c>
      <c r="J298" t="str">
        <f>"LODGING"</f>
        <v>LODGING</v>
      </c>
    </row>
    <row r="299" spans="1:10" x14ac:dyDescent="0.3">
      <c r="A299" t="str">
        <f>""</f>
        <v/>
      </c>
      <c r="G299" t="str">
        <f>""</f>
        <v/>
      </c>
      <c r="H299" t="str">
        <f>""</f>
        <v/>
      </c>
      <c r="J299" t="str">
        <f>"LODGING"</f>
        <v>LODGING</v>
      </c>
    </row>
    <row r="300" spans="1:10" x14ac:dyDescent="0.3">
      <c r="A300" t="str">
        <f>""</f>
        <v/>
      </c>
      <c r="G300" t="str">
        <f>""</f>
        <v/>
      </c>
      <c r="H300" t="str">
        <f>""</f>
        <v/>
      </c>
      <c r="J300" t="str">
        <f>"FEES"</f>
        <v>FEES</v>
      </c>
    </row>
    <row r="301" spans="1:10" x14ac:dyDescent="0.3">
      <c r="A301" t="str">
        <f>""</f>
        <v/>
      </c>
      <c r="G301" t="str">
        <f>""</f>
        <v/>
      </c>
      <c r="H301" t="str">
        <f>""</f>
        <v/>
      </c>
      <c r="J301" t="str">
        <f>"INTEREST"</f>
        <v>INTEREST</v>
      </c>
    </row>
    <row r="302" spans="1:10" x14ac:dyDescent="0.3">
      <c r="A302" t="str">
        <f>""</f>
        <v/>
      </c>
      <c r="G302" t="str">
        <f>""</f>
        <v/>
      </c>
      <c r="H302" t="str">
        <f>""</f>
        <v/>
      </c>
      <c r="J302" t="str">
        <f>"2 TB EXTERNAM HD"</f>
        <v>2 TB EXTERNAM HD</v>
      </c>
    </row>
    <row r="303" spans="1:10" x14ac:dyDescent="0.3">
      <c r="A303" t="str">
        <f>"001617"</f>
        <v>001617</v>
      </c>
      <c r="B303" t="s">
        <v>90</v>
      </c>
      <c r="C303">
        <v>71653</v>
      </c>
      <c r="D303" s="2">
        <v>250</v>
      </c>
      <c r="E303" s="1">
        <v>42940</v>
      </c>
      <c r="F303" t="s">
        <v>11</v>
      </c>
      <c r="G303" t="str">
        <f>"201707133615"</f>
        <v>201707133615</v>
      </c>
      <c r="H303" t="str">
        <f>"ASSOC DUES-ROSE PIETSCH"</f>
        <v>ASSOC DUES-ROSE PIETSCH</v>
      </c>
      <c r="I303" s="2">
        <v>125</v>
      </c>
      <c r="J303" t="str">
        <f>"ASSOC DUES-ROSE PIETSCH"</f>
        <v>ASSOC DUES-ROSE PIETSCH</v>
      </c>
    </row>
    <row r="304" spans="1:10" x14ac:dyDescent="0.3">
      <c r="A304" t="str">
        <f>""</f>
        <v/>
      </c>
      <c r="G304" t="str">
        <f>"201707193710"</f>
        <v>201707193710</v>
      </c>
      <c r="H304" t="str">
        <f>"ASSOCIATION DUES-S. LOUCKS"</f>
        <v>ASSOCIATION DUES-S. LOUCKS</v>
      </c>
      <c r="I304" s="2">
        <v>125</v>
      </c>
      <c r="J304" t="str">
        <f>"ASSOCIATION DUES-S. LOUCKS"</f>
        <v>ASSOCIATION DUES-S. LOUCKS</v>
      </c>
    </row>
    <row r="305" spans="1:10" x14ac:dyDescent="0.3">
      <c r="A305" t="str">
        <f>"T4871"</f>
        <v>T4871</v>
      </c>
      <c r="B305" t="s">
        <v>91</v>
      </c>
      <c r="C305">
        <v>0</v>
      </c>
      <c r="D305" s="2">
        <v>1430.56</v>
      </c>
      <c r="E305" s="1">
        <v>42926</v>
      </c>
      <c r="F305" t="s">
        <v>35</v>
      </c>
      <c r="G305" t="str">
        <f>"201707053367"</f>
        <v>201707053367</v>
      </c>
      <c r="H305" t="str">
        <f>"ACCT#9566243"</f>
        <v>ACCT#9566243</v>
      </c>
      <c r="I305" s="2">
        <v>329.6</v>
      </c>
      <c r="J305" t="str">
        <f>"ACCT#9566243"</f>
        <v>ACCT#9566243</v>
      </c>
    </row>
    <row r="306" spans="1:10" x14ac:dyDescent="0.3">
      <c r="A306" t="str">
        <f>""</f>
        <v/>
      </c>
      <c r="G306" t="str">
        <f>"JBH6192"</f>
        <v>JBH6192</v>
      </c>
      <c r="H306" t="str">
        <f>"INV#JBH6192"</f>
        <v>INV#JBH6192</v>
      </c>
      <c r="I306" s="2">
        <v>329.6</v>
      </c>
      <c r="J306" t="str">
        <f>"INV#JBH6192"</f>
        <v>INV#JBH6192</v>
      </c>
    </row>
    <row r="307" spans="1:10" x14ac:dyDescent="0.3">
      <c r="A307" t="str">
        <f>""</f>
        <v/>
      </c>
      <c r="G307" t="str">
        <f>"JGH8429"</f>
        <v>JGH8429</v>
      </c>
      <c r="H307" t="str">
        <f>"Quote# 1BRCWNN"</f>
        <v>Quote# 1BRCWNN</v>
      </c>
      <c r="I307" s="2">
        <v>112.75</v>
      </c>
      <c r="J307" t="str">
        <f>"2369104-Wax Ribbon"</f>
        <v>2369104-Wax Ribbon</v>
      </c>
    </row>
    <row r="308" spans="1:10" x14ac:dyDescent="0.3">
      <c r="A308" t="str">
        <f>""</f>
        <v/>
      </c>
      <c r="G308" t="str">
        <f>""</f>
        <v/>
      </c>
      <c r="H308" t="str">
        <f>""</f>
        <v/>
      </c>
      <c r="J308" t="str">
        <f>"639586"</f>
        <v>639586</v>
      </c>
    </row>
    <row r="309" spans="1:10" x14ac:dyDescent="0.3">
      <c r="A309" t="str">
        <f>""</f>
        <v/>
      </c>
      <c r="G309" t="str">
        <f>"JGM3999"</f>
        <v>JGM3999</v>
      </c>
      <c r="H309" t="str">
        <f>"CDW GOVERNMENT INC"</f>
        <v>CDW GOVERNMENT INC</v>
      </c>
      <c r="I309" s="2">
        <v>89.01</v>
      </c>
      <c r="J309" t="str">
        <f>"20' DISPLAY CABLES"</f>
        <v>20' DISPLAY CABLES</v>
      </c>
    </row>
    <row r="310" spans="1:10" x14ac:dyDescent="0.3">
      <c r="A310" t="str">
        <f>""</f>
        <v/>
      </c>
      <c r="G310" t="str">
        <f>"JHG2338"</f>
        <v>JHG2338</v>
      </c>
      <c r="H310" t="str">
        <f>"Order# 1BQZRW8"</f>
        <v>Order# 1BQZRW8</v>
      </c>
      <c r="I310" s="2">
        <v>569.6</v>
      </c>
      <c r="J310" t="str">
        <f>"UNSPSC: 43191511"</f>
        <v>UNSPSC: 43191511</v>
      </c>
    </row>
    <row r="311" spans="1:10" x14ac:dyDescent="0.3">
      <c r="A311" t="str">
        <f>"T4871"</f>
        <v>T4871</v>
      </c>
      <c r="B311" t="s">
        <v>91</v>
      </c>
      <c r="C311">
        <v>0</v>
      </c>
      <c r="D311" s="2">
        <v>483.65</v>
      </c>
      <c r="E311" s="1">
        <v>42940</v>
      </c>
      <c r="F311" t="s">
        <v>35</v>
      </c>
      <c r="G311" t="str">
        <f>"HJT0165"</f>
        <v>HJT0165</v>
      </c>
      <c r="H311" t="str">
        <f>"INV HJT0165"</f>
        <v>INV HJT0165</v>
      </c>
      <c r="I311" s="2">
        <v>166.1</v>
      </c>
      <c r="J311" t="str">
        <f>"INV HJT0165"</f>
        <v>INV HJT0165</v>
      </c>
    </row>
    <row r="312" spans="1:10" x14ac:dyDescent="0.3">
      <c r="A312" t="str">
        <f>""</f>
        <v/>
      </c>
      <c r="G312" t="str">
        <f>"JHJ6790"</f>
        <v>JHJ6790</v>
      </c>
      <c r="H312" t="str">
        <f>"CUST#12515101/ITEM#853156"</f>
        <v>CUST#12515101/ITEM#853156</v>
      </c>
      <c r="I312" s="2">
        <v>28.8</v>
      </c>
      <c r="J312" t="str">
        <f>"CUST#12515101/ITEM#853156"</f>
        <v>CUST#12515101/ITEM#853156</v>
      </c>
    </row>
    <row r="313" spans="1:10" x14ac:dyDescent="0.3">
      <c r="A313" t="str">
        <f>""</f>
        <v/>
      </c>
      <c r="G313" t="str">
        <f>"JHQ1149"</f>
        <v>JHQ1149</v>
      </c>
      <c r="H313" t="str">
        <f>"CUST#12515101/SHERIFF'S OFFICE"</f>
        <v>CUST#12515101/SHERIFF'S OFFICE</v>
      </c>
      <c r="I313" s="2">
        <v>174.34</v>
      </c>
      <c r="J313" t="str">
        <f>"CUST#12515101/SHERIFF'S OFFICE"</f>
        <v>CUST#12515101/SHERIFF'S OFFICE</v>
      </c>
    </row>
    <row r="314" spans="1:10" x14ac:dyDescent="0.3">
      <c r="A314" t="str">
        <f>""</f>
        <v/>
      </c>
      <c r="G314" t="str">
        <f>"JHW6716"</f>
        <v>JHW6716</v>
      </c>
      <c r="H314" t="str">
        <f>"CUST#12515101/ITEM#1063395"</f>
        <v>CUST#12515101/ITEM#1063395</v>
      </c>
      <c r="I314" s="2">
        <v>89</v>
      </c>
      <c r="J314" t="str">
        <f>"CUST#12515101/ITEM#1063395"</f>
        <v>CUST#12515101/ITEM#1063395</v>
      </c>
    </row>
    <row r="315" spans="1:10" x14ac:dyDescent="0.3">
      <c r="A315" t="str">
        <f>""</f>
        <v/>
      </c>
      <c r="G315" t="str">
        <f>"JJP9244"</f>
        <v>JJP9244</v>
      </c>
      <c r="H315" t="str">
        <f>"CUST#12515101/ITEM#1108509"</f>
        <v>CUST#12515101/ITEM#1108509</v>
      </c>
      <c r="I315" s="2">
        <v>25.41</v>
      </c>
      <c r="J315" t="str">
        <f>"CUST#12515101/ITEM#1108509"</f>
        <v>CUST#12515101/ITEM#1108509</v>
      </c>
    </row>
    <row r="316" spans="1:10" x14ac:dyDescent="0.3">
      <c r="A316" t="str">
        <f>"T4871"</f>
        <v>T4871</v>
      </c>
      <c r="B316" t="s">
        <v>91</v>
      </c>
      <c r="C316">
        <v>0</v>
      </c>
      <c r="D316" s="2">
        <v>1430.56</v>
      </c>
      <c r="E316" s="1">
        <v>42926</v>
      </c>
      <c r="F316" t="s">
        <v>92</v>
      </c>
      <c r="G316" t="str">
        <f>"201707053367R"</f>
        <v>201707053367R</v>
      </c>
      <c r="H316" t="str">
        <f>"ACCT#9566243"</f>
        <v>ACCT#9566243</v>
      </c>
      <c r="I316" s="2">
        <v>-329.6</v>
      </c>
      <c r="J316" t="str">
        <f>"ACCT#9566243"</f>
        <v>ACCT#9566243</v>
      </c>
    </row>
    <row r="317" spans="1:10" x14ac:dyDescent="0.3">
      <c r="A317" t="str">
        <f>""</f>
        <v/>
      </c>
      <c r="G317" t="str">
        <f>"201707053367D"</f>
        <v>201707053367D</v>
      </c>
      <c r="H317" t="str">
        <f>"ACCT#9566243"</f>
        <v>ACCT#9566243</v>
      </c>
      <c r="I317" s="2">
        <v>329.6</v>
      </c>
      <c r="J317" t="str">
        <f>"ACCT#9566243"</f>
        <v>ACCT#9566243</v>
      </c>
    </row>
    <row r="318" spans="1:10" x14ac:dyDescent="0.3">
      <c r="A318" t="str">
        <f>"T4871"</f>
        <v>T4871</v>
      </c>
      <c r="B318" t="s">
        <v>91</v>
      </c>
      <c r="C318">
        <v>71367</v>
      </c>
      <c r="D318" s="2">
        <v>109.11</v>
      </c>
      <c r="E318" s="1">
        <v>42923</v>
      </c>
      <c r="F318" t="s">
        <v>11</v>
      </c>
      <c r="G318" t="str">
        <f>"JCB2321"</f>
        <v>JCB2321</v>
      </c>
      <c r="H318" t="str">
        <f>"ES 550 Back Up"</f>
        <v>ES 550 Back Up</v>
      </c>
      <c r="I318" s="2">
        <v>70.12</v>
      </c>
      <c r="J318" t="str">
        <f>"ES 550 Back Up"</f>
        <v>ES 550 Back Up</v>
      </c>
    </row>
    <row r="319" spans="1:10" x14ac:dyDescent="0.3">
      <c r="A319" t="str">
        <f>""</f>
        <v/>
      </c>
      <c r="G319" t="str">
        <f>"JCD1277"</f>
        <v>JCD1277</v>
      </c>
      <c r="H319" t="str">
        <f>"Quote#1BR7N4H"</f>
        <v>Quote#1BR7N4H</v>
      </c>
      <c r="I319" s="2">
        <v>17.8</v>
      </c>
      <c r="J319" t="str">
        <f>"Quote#1BR7N4H"</f>
        <v>Quote#1BR7N4H</v>
      </c>
    </row>
    <row r="320" spans="1:10" x14ac:dyDescent="0.3">
      <c r="A320" t="str">
        <f>""</f>
        <v/>
      </c>
      <c r="G320" t="str">
        <f>"JDV4625"</f>
        <v>JDV4625</v>
      </c>
      <c r="H320" t="str">
        <f>"CUST#9566243/STARTECH HDMI"</f>
        <v>CUST#9566243/STARTECH HDMI</v>
      </c>
      <c r="I320" s="2">
        <v>21.19</v>
      </c>
      <c r="J320" t="str">
        <f>"CUST#9566243"</f>
        <v>CUST#9566243</v>
      </c>
    </row>
    <row r="321" spans="1:10" x14ac:dyDescent="0.3">
      <c r="A321" t="str">
        <f>"CTMF"</f>
        <v>CTMF</v>
      </c>
      <c r="B321" t="s">
        <v>93</v>
      </c>
      <c r="C321">
        <v>71654</v>
      </c>
      <c r="D321" s="2">
        <v>250</v>
      </c>
      <c r="E321" s="1">
        <v>42940</v>
      </c>
      <c r="F321" t="s">
        <v>11</v>
      </c>
      <c r="G321" t="str">
        <f>"11384"</f>
        <v>11384</v>
      </c>
      <c r="H321" t="str">
        <f>"REPAIR BACKHOLE BUCKET"</f>
        <v>REPAIR BACKHOLE BUCKET</v>
      </c>
      <c r="I321" s="2">
        <v>250</v>
      </c>
      <c r="J321" t="str">
        <f>"REPAIR BACKHOLE BUCKET"</f>
        <v>REPAIR BACKHOLE BUCKET</v>
      </c>
    </row>
    <row r="322" spans="1:10" x14ac:dyDescent="0.3">
      <c r="A322" t="str">
        <f>"CTRPNT"</f>
        <v>CTRPNT</v>
      </c>
      <c r="B322" t="s">
        <v>94</v>
      </c>
      <c r="C322">
        <v>71362</v>
      </c>
      <c r="D322" s="2">
        <v>1478.3</v>
      </c>
      <c r="E322" s="1">
        <v>42922</v>
      </c>
      <c r="F322" t="s">
        <v>11</v>
      </c>
      <c r="G322" t="str">
        <f>"201707063470"</f>
        <v>201707063470</v>
      </c>
      <c r="H322" t="str">
        <f>"ACCT # 2959074-2 / 062917"</f>
        <v>ACCT # 2959074-2 / 062917</v>
      </c>
      <c r="I322" s="2">
        <v>40.659999999999997</v>
      </c>
      <c r="J322" t="str">
        <f>"CENTERPOINT ENERGY"</f>
        <v>CENTERPOINT ENERGY</v>
      </c>
    </row>
    <row r="323" spans="1:10" x14ac:dyDescent="0.3">
      <c r="A323" t="str">
        <f>""</f>
        <v/>
      </c>
      <c r="G323" t="str">
        <f>"201707063471"</f>
        <v>201707063471</v>
      </c>
      <c r="H323" t="str">
        <f>"ACCT # 2974567-6 / 062917"</f>
        <v>ACCT # 2974567-6 / 062917</v>
      </c>
      <c r="I323" s="2">
        <v>1330.12</v>
      </c>
      <c r="J323" t="str">
        <f>"CENTERPOINT ENERGY"</f>
        <v>CENTERPOINT ENERGY</v>
      </c>
    </row>
    <row r="324" spans="1:10" x14ac:dyDescent="0.3">
      <c r="A324" t="str">
        <f>""</f>
        <v/>
      </c>
      <c r="G324" t="str">
        <f>"201707063472"</f>
        <v>201707063472</v>
      </c>
      <c r="H324" t="str">
        <f>"ACCT # 3204433-1 / 06262017"</f>
        <v>ACCT # 3204433-1 / 06262017</v>
      </c>
      <c r="I324" s="2">
        <v>35.840000000000003</v>
      </c>
      <c r="J324" t="str">
        <f>"CENTERPOINT ENERGY"</f>
        <v>CENTERPOINT ENERGY</v>
      </c>
    </row>
    <row r="325" spans="1:10" x14ac:dyDescent="0.3">
      <c r="A325" t="str">
        <f>""</f>
        <v/>
      </c>
      <c r="G325" t="str">
        <f>"201707063473"</f>
        <v>201707063473</v>
      </c>
      <c r="H325" t="str">
        <f>"ACCT # 3204434-9 / 06292017"</f>
        <v>ACCT # 3204434-9 / 06292017</v>
      </c>
      <c r="I325" s="2">
        <v>35.840000000000003</v>
      </c>
      <c r="J325" t="str">
        <f>"CENTERPOINT ENERGY"</f>
        <v>CENTERPOINT ENERGY</v>
      </c>
    </row>
    <row r="326" spans="1:10" x14ac:dyDescent="0.3">
      <c r="A326" t="str">
        <f>""</f>
        <v/>
      </c>
      <c r="G326" t="str">
        <f>"201707063474"</f>
        <v>201707063474</v>
      </c>
      <c r="H326" t="str">
        <f>"ACCT # 6400890108-0 / 06262017"</f>
        <v>ACCT # 6400890108-0 / 06262017</v>
      </c>
      <c r="I326" s="2">
        <v>35.840000000000003</v>
      </c>
      <c r="J326" t="str">
        <f>"CENTERPOINT ENERGY"</f>
        <v>CENTERPOINT ENERGY</v>
      </c>
    </row>
    <row r="327" spans="1:10" x14ac:dyDescent="0.3">
      <c r="A327" t="str">
        <f>"CTRPNT"</f>
        <v>CTRPNT</v>
      </c>
      <c r="B327" t="s">
        <v>94</v>
      </c>
      <c r="C327">
        <v>71547</v>
      </c>
      <c r="D327" s="2">
        <v>111.26</v>
      </c>
      <c r="E327" s="1">
        <v>42935</v>
      </c>
      <c r="F327" t="s">
        <v>11</v>
      </c>
      <c r="G327" t="str">
        <f>"201707193796"</f>
        <v>201707193796</v>
      </c>
      <c r="H327" t="str">
        <f>"ACCT #6400893680-5 / 07072017"</f>
        <v>ACCT #6400893680-5 / 07072017</v>
      </c>
      <c r="I327" s="2">
        <v>39.200000000000003</v>
      </c>
      <c r="J327" t="str">
        <f>"ACCT #6400893680-5 / 07072017"</f>
        <v>ACCT #6400893680-5 / 07072017</v>
      </c>
    </row>
    <row r="328" spans="1:10" x14ac:dyDescent="0.3">
      <c r="A328" t="str">
        <f>""</f>
        <v/>
      </c>
      <c r="G328" t="str">
        <f>"201707193797"</f>
        <v>201707193797</v>
      </c>
      <c r="H328" t="str">
        <f>"ACCT #2959097-3 / 07072017"</f>
        <v>ACCT #2959097-3 / 07072017</v>
      </c>
      <c r="I328" s="2">
        <v>36.22</v>
      </c>
      <c r="J328" t="str">
        <f>"ACCT #2959097-3 / 07072017"</f>
        <v>ACCT #2959097-3 / 07072017</v>
      </c>
    </row>
    <row r="329" spans="1:10" x14ac:dyDescent="0.3">
      <c r="A329" t="str">
        <f>""</f>
        <v/>
      </c>
      <c r="G329" t="str">
        <f>"201707193798"</f>
        <v>201707193798</v>
      </c>
      <c r="H329" t="str">
        <f>"ACCT #2814197-6 / 07072017"</f>
        <v>ACCT #2814197-6 / 07072017</v>
      </c>
      <c r="I329" s="2">
        <v>35.840000000000003</v>
      </c>
      <c r="J329" t="str">
        <f>"ACCT #2814197-6 / 07072017"</f>
        <v>ACCT #2814197-6 / 07072017</v>
      </c>
    </row>
    <row r="330" spans="1:10" x14ac:dyDescent="0.3">
      <c r="A330" t="str">
        <f>"CENTEX"</f>
        <v>CENTEX</v>
      </c>
      <c r="B330" t="s">
        <v>95</v>
      </c>
      <c r="C330">
        <v>71398</v>
      </c>
      <c r="D330" s="2">
        <v>17506.96</v>
      </c>
      <c r="E330" s="1">
        <v>42926</v>
      </c>
      <c r="F330" t="s">
        <v>11</v>
      </c>
      <c r="G330" t="str">
        <f>"30116640"</f>
        <v>30116640</v>
      </c>
      <c r="H330" t="str">
        <f>"CUST#BASPCT3/BASE/PCT#3"</f>
        <v>CUST#BASPCT3/BASE/PCT#3</v>
      </c>
      <c r="I330" s="2">
        <v>2373.37</v>
      </c>
      <c r="J330" t="str">
        <f>"CUST#BASPCT3/BASE/PCT#3"</f>
        <v>CUST#BASPCT3/BASE/PCT#3</v>
      </c>
    </row>
    <row r="331" spans="1:10" x14ac:dyDescent="0.3">
      <c r="A331" t="str">
        <f>""</f>
        <v/>
      </c>
      <c r="G331" t="str">
        <f>"30119046"</f>
        <v>30119046</v>
      </c>
      <c r="H331" t="str">
        <f>"CUST#BASPCT3/BASE/PCT#3"</f>
        <v>CUST#BASPCT3/BASE/PCT#3</v>
      </c>
      <c r="I331" s="2">
        <v>1421.37</v>
      </c>
      <c r="J331" t="str">
        <f>"CUST#BASPCT3/BASE/PCT#3"</f>
        <v>CUST#BASPCT3/BASE/PCT#3</v>
      </c>
    </row>
    <row r="332" spans="1:10" x14ac:dyDescent="0.3">
      <c r="A332" t="str">
        <f>""</f>
        <v/>
      </c>
      <c r="G332" t="str">
        <f>"30119125"</f>
        <v>30119125</v>
      </c>
      <c r="H332" t="str">
        <f>"CUST#BASPCT3/BASE/PCT#3"</f>
        <v>CUST#BASPCT3/BASE/PCT#3</v>
      </c>
      <c r="I332" s="2">
        <v>1852.02</v>
      </c>
      <c r="J332" t="str">
        <f>"CUST#BASPCT3/BASE/PCT#3"</f>
        <v>CUST#BASPCT3/BASE/PCT#3</v>
      </c>
    </row>
    <row r="333" spans="1:10" x14ac:dyDescent="0.3">
      <c r="A333" t="str">
        <f>""</f>
        <v/>
      </c>
      <c r="G333" t="str">
        <f>"30119153"</f>
        <v>30119153</v>
      </c>
      <c r="H333" t="str">
        <f>"CUST#BASPCT3/ORD#37-19287"</f>
        <v>CUST#BASPCT3/ORD#37-19287</v>
      </c>
      <c r="I333" s="2">
        <v>2437.65</v>
      </c>
      <c r="J333" t="str">
        <f>"CUST#BASPCT3/ORD#37-19287"</f>
        <v>CUST#BASPCT3/ORD#37-19287</v>
      </c>
    </row>
    <row r="334" spans="1:10" x14ac:dyDescent="0.3">
      <c r="A334" t="str">
        <f>""</f>
        <v/>
      </c>
      <c r="G334" t="str">
        <f>"30119186"</f>
        <v>30119186</v>
      </c>
      <c r="H334" t="str">
        <f>"CUST#BASPCT3/ORD#37-19287"</f>
        <v>CUST#BASPCT3/ORD#37-19287</v>
      </c>
      <c r="I334" s="2">
        <v>2489.85</v>
      </c>
      <c r="J334" t="str">
        <f>"CUST#BASPCT3/ORD#37-19287"</f>
        <v>CUST#BASPCT3/ORD#37-19287</v>
      </c>
    </row>
    <row r="335" spans="1:10" x14ac:dyDescent="0.3">
      <c r="A335" t="str">
        <f>""</f>
        <v/>
      </c>
      <c r="G335" t="str">
        <f>"30119227"</f>
        <v>30119227</v>
      </c>
      <c r="H335" t="str">
        <f>"CUST#BASPCT3/ORD#37-19287"</f>
        <v>CUST#BASPCT3/ORD#37-19287</v>
      </c>
      <c r="I335" s="2">
        <v>1417.23</v>
      </c>
      <c r="J335" t="str">
        <f>"CUST#BASPCT3/ORD#37-19287"</f>
        <v>CUST#BASPCT3/ORD#37-19287</v>
      </c>
    </row>
    <row r="336" spans="1:10" x14ac:dyDescent="0.3">
      <c r="A336" t="str">
        <f>""</f>
        <v/>
      </c>
      <c r="G336" t="str">
        <f>"30119326"</f>
        <v>30119326</v>
      </c>
      <c r="H336" t="str">
        <f>"CUST#BASPCT3/ORD#37-19287"</f>
        <v>CUST#BASPCT3/ORD#37-19287</v>
      </c>
      <c r="I336" s="2">
        <v>614.34</v>
      </c>
      <c r="J336" t="str">
        <f>"CUST#BASPCT3/ORD#37-19287"</f>
        <v>CUST#BASPCT3/ORD#37-19287</v>
      </c>
    </row>
    <row r="337" spans="1:10" x14ac:dyDescent="0.3">
      <c r="A337" t="str">
        <f>""</f>
        <v/>
      </c>
      <c r="G337" t="str">
        <f>"30119360"</f>
        <v>30119360</v>
      </c>
      <c r="H337" t="str">
        <f>"CUST#BASPCT3/ORD#37-16862"</f>
        <v>CUST#BASPCT3/ORD#37-16862</v>
      </c>
      <c r="I337" s="2">
        <v>417.87</v>
      </c>
      <c r="J337" t="str">
        <f>"CUST#BASPCT3/ORD#37-16862"</f>
        <v>CUST#BASPCT3/ORD#37-16862</v>
      </c>
    </row>
    <row r="338" spans="1:10" x14ac:dyDescent="0.3">
      <c r="A338" t="str">
        <f>""</f>
        <v/>
      </c>
      <c r="G338" t="str">
        <f>"30119361"</f>
        <v>30119361</v>
      </c>
      <c r="H338" t="str">
        <f>"CUST#BASPCT3/ORD#37-19287"</f>
        <v>CUST#BASPCT3/ORD#37-19287</v>
      </c>
      <c r="I338" s="2">
        <v>1250.28</v>
      </c>
      <c r="J338" t="str">
        <f>"CUST#BASPCT3/ORD#37-19287"</f>
        <v>CUST#BASPCT3/ORD#37-19287</v>
      </c>
    </row>
    <row r="339" spans="1:10" x14ac:dyDescent="0.3">
      <c r="A339" t="str">
        <f>""</f>
        <v/>
      </c>
      <c r="G339" t="str">
        <f>"30119396"</f>
        <v>30119396</v>
      </c>
      <c r="H339" t="str">
        <f>"CUST#BASPCT3/ORD#37-19287"</f>
        <v>CUST#BASPCT3/ORD#37-19287</v>
      </c>
      <c r="I339" s="2">
        <v>1636.02</v>
      </c>
      <c r="J339" t="str">
        <f>"CUST#BASPCT3/ORD#37-19287"</f>
        <v>CUST#BASPCT3/ORD#37-19287</v>
      </c>
    </row>
    <row r="340" spans="1:10" x14ac:dyDescent="0.3">
      <c r="A340" t="str">
        <f>""</f>
        <v/>
      </c>
      <c r="G340" t="str">
        <f>"30119482"</f>
        <v>30119482</v>
      </c>
      <c r="H340" t="str">
        <f>"CUST#BASPCT3/ORD#37-19287"</f>
        <v>CUST#BASPCT3/ORD#37-19287</v>
      </c>
      <c r="I340" s="2">
        <v>1596.96</v>
      </c>
      <c r="J340" t="str">
        <f>"CUST#BASPCT3/ORD#37-19287"</f>
        <v>CUST#BASPCT3/ORD#37-19287</v>
      </c>
    </row>
    <row r="341" spans="1:10" x14ac:dyDescent="0.3">
      <c r="A341" t="str">
        <f>"CENTEX"</f>
        <v>CENTEX</v>
      </c>
      <c r="B341" t="s">
        <v>95</v>
      </c>
      <c r="C341">
        <v>71655</v>
      </c>
      <c r="D341" s="2">
        <v>2654.1</v>
      </c>
      <c r="E341" s="1">
        <v>42940</v>
      </c>
      <c r="F341" t="s">
        <v>11</v>
      </c>
      <c r="G341" t="str">
        <f>"30119538"</f>
        <v>30119538</v>
      </c>
      <c r="H341" t="str">
        <f>"CUST#BASPCT3/ORD#37-19287/PCT3"</f>
        <v>CUST#BASPCT3/ORD#37-19287/PCT3</v>
      </c>
      <c r="I341" s="2">
        <v>1423.44</v>
      </c>
      <c r="J341" t="str">
        <f>"CUST#BASPCT3/ORD#37-19287/PCT3"</f>
        <v>CUST#BASPCT3/ORD#37-19287/PCT3</v>
      </c>
    </row>
    <row r="342" spans="1:10" x14ac:dyDescent="0.3">
      <c r="A342" t="str">
        <f>""</f>
        <v/>
      </c>
      <c r="G342" t="str">
        <f>"30119623"</f>
        <v>30119623</v>
      </c>
      <c r="H342" t="str">
        <f>"CUST#BASPCT3/BASE/PCT#3"</f>
        <v>CUST#BASPCT3/BASE/PCT#3</v>
      </c>
      <c r="I342" s="2">
        <v>1230.6600000000001</v>
      </c>
      <c r="J342" t="str">
        <f>"CUST#BASPCT3/BASE/PCT#3"</f>
        <v>CUST#BASPCT3/BASE/PCT#3</v>
      </c>
    </row>
    <row r="343" spans="1:10" x14ac:dyDescent="0.3">
      <c r="A343" t="str">
        <f>"003739"</f>
        <v>003739</v>
      </c>
      <c r="B343" t="s">
        <v>96</v>
      </c>
      <c r="C343">
        <v>71399</v>
      </c>
      <c r="D343" s="2">
        <v>850</v>
      </c>
      <c r="E343" s="1">
        <v>42926</v>
      </c>
      <c r="F343" t="s">
        <v>11</v>
      </c>
      <c r="G343" t="str">
        <f>"0000042451"</f>
        <v>0000042451</v>
      </c>
      <c r="H343" t="str">
        <f>"EVAPORATOR COIL"</f>
        <v>EVAPORATOR COIL</v>
      </c>
      <c r="I343" s="2">
        <v>850</v>
      </c>
      <c r="J343" t="str">
        <f>"EVAPORATOR COIL"</f>
        <v>EVAPORATOR COIL</v>
      </c>
    </row>
    <row r="344" spans="1:10" x14ac:dyDescent="0.3">
      <c r="A344" t="str">
        <f>"004648"</f>
        <v>004648</v>
      </c>
      <c r="B344" t="s">
        <v>97</v>
      </c>
      <c r="C344">
        <v>71400</v>
      </c>
      <c r="D344" s="2">
        <v>250</v>
      </c>
      <c r="E344" s="1">
        <v>42926</v>
      </c>
      <c r="F344" t="s">
        <v>11</v>
      </c>
      <c r="G344" t="str">
        <f>"201707063379"</f>
        <v>201707063379</v>
      </c>
      <c r="H344" t="str">
        <f>"17-18119"</f>
        <v>17-18119</v>
      </c>
      <c r="I344" s="2">
        <v>250</v>
      </c>
      <c r="J344" t="str">
        <f>"17-18119"</f>
        <v>17-18119</v>
      </c>
    </row>
    <row r="345" spans="1:10" x14ac:dyDescent="0.3">
      <c r="A345" t="str">
        <f>"T11831"</f>
        <v>T11831</v>
      </c>
      <c r="B345" t="s">
        <v>98</v>
      </c>
      <c r="C345">
        <v>71401</v>
      </c>
      <c r="D345" s="2">
        <v>6200.8</v>
      </c>
      <c r="E345" s="1">
        <v>42926</v>
      </c>
      <c r="F345" t="s">
        <v>11</v>
      </c>
      <c r="G345" t="str">
        <f>"0142446-IN"</f>
        <v>0142446-IN</v>
      </c>
      <c r="H345" t="str">
        <f>"JAIL SHOES 0142446-IN"</f>
        <v>JAIL SHOES 0142446-IN</v>
      </c>
      <c r="I345" s="2">
        <v>1828.8</v>
      </c>
      <c r="J345" t="str">
        <f>"JAIL SHOES 0142446-IN"</f>
        <v>JAIL SHOES 0142446-IN</v>
      </c>
    </row>
    <row r="346" spans="1:10" x14ac:dyDescent="0.3">
      <c r="A346" t="str">
        <f>""</f>
        <v/>
      </c>
      <c r="G346" t="str">
        <f>"0142447-IN"</f>
        <v>0142447-IN</v>
      </c>
      <c r="H346" t="str">
        <f>"BATH TOWELS 0142447-IN"</f>
        <v>BATH TOWELS 0142447-IN</v>
      </c>
      <c r="I346" s="2">
        <v>1077</v>
      </c>
      <c r="J346" t="str">
        <f>"BATH TOWELS 0142447-IN"</f>
        <v>BATH TOWELS 0142447-IN</v>
      </c>
    </row>
    <row r="347" spans="1:10" x14ac:dyDescent="0.3">
      <c r="A347" t="str">
        <f>""</f>
        <v/>
      </c>
      <c r="G347" t="str">
        <f>"0142549-IN"</f>
        <v>0142549-IN</v>
      </c>
      <c r="H347" t="str">
        <f>"MATTRESS/PILLOW"</f>
        <v>MATTRESS/PILLOW</v>
      </c>
      <c r="I347" s="2">
        <v>3295</v>
      </c>
      <c r="J347" t="str">
        <f>"MATTRESS/PILLOW"</f>
        <v>MATTRESS/PILLOW</v>
      </c>
    </row>
    <row r="348" spans="1:10" x14ac:dyDescent="0.3">
      <c r="A348" t="str">
        <f>"T7886"</f>
        <v>T7886</v>
      </c>
      <c r="B348" t="s">
        <v>99</v>
      </c>
      <c r="C348">
        <v>71656</v>
      </c>
      <c r="D348" s="2">
        <v>379.95</v>
      </c>
      <c r="E348" s="1">
        <v>42940</v>
      </c>
      <c r="F348" t="s">
        <v>11</v>
      </c>
      <c r="G348" t="str">
        <f>"0000100"</f>
        <v>0000100</v>
      </c>
      <c r="H348" t="str">
        <f>"KLORMAN COMPACT/TABS/SHIPPING"</f>
        <v>KLORMAN COMPACT/TABS/SHIPPING</v>
      </c>
      <c r="I348" s="2">
        <v>379.95</v>
      </c>
      <c r="J348" t="str">
        <f>"KLORMAN COMPACT/TABS/SHIPPING"</f>
        <v>KLORMAN COMPACT/TABS/SHIPPING</v>
      </c>
    </row>
    <row r="349" spans="1:10" x14ac:dyDescent="0.3">
      <c r="A349" t="str">
        <f>"T9145"</f>
        <v>T9145</v>
      </c>
      <c r="B349" t="s">
        <v>100</v>
      </c>
      <c r="C349">
        <v>71402</v>
      </c>
      <c r="D349" s="2">
        <v>400</v>
      </c>
      <c r="E349" s="1">
        <v>42926</v>
      </c>
      <c r="F349" t="s">
        <v>11</v>
      </c>
      <c r="G349" t="str">
        <f>"201707063381"</f>
        <v>201707063381</v>
      </c>
      <c r="H349" t="str">
        <f>"17-18119"</f>
        <v>17-18119</v>
      </c>
      <c r="I349" s="2">
        <v>150</v>
      </c>
      <c r="J349" t="str">
        <f>"17-18119"</f>
        <v>17-18119</v>
      </c>
    </row>
    <row r="350" spans="1:10" x14ac:dyDescent="0.3">
      <c r="A350" t="str">
        <f>""</f>
        <v/>
      </c>
      <c r="G350" t="str">
        <f>"201707063382"</f>
        <v>201707063382</v>
      </c>
      <c r="H350" t="str">
        <f>"54 946"</f>
        <v>54 946</v>
      </c>
      <c r="I350" s="2">
        <v>250</v>
      </c>
      <c r="J350" t="str">
        <f>"54 946"</f>
        <v>54 946</v>
      </c>
    </row>
    <row r="351" spans="1:10" x14ac:dyDescent="0.3">
      <c r="A351" t="str">
        <f>"T9145"</f>
        <v>T9145</v>
      </c>
      <c r="B351" t="s">
        <v>100</v>
      </c>
      <c r="C351">
        <v>71657</v>
      </c>
      <c r="D351" s="2">
        <v>2550</v>
      </c>
      <c r="E351" s="1">
        <v>42940</v>
      </c>
      <c r="F351" t="s">
        <v>11</v>
      </c>
      <c r="G351" t="str">
        <f>"201707113596"</f>
        <v>201707113596</v>
      </c>
      <c r="H351" t="str">
        <f>"16 127"</f>
        <v>16 127</v>
      </c>
      <c r="I351" s="2">
        <v>400</v>
      </c>
      <c r="J351" t="str">
        <f>"16 127"</f>
        <v>16 127</v>
      </c>
    </row>
    <row r="352" spans="1:10" x14ac:dyDescent="0.3">
      <c r="A352" t="str">
        <f>""</f>
        <v/>
      </c>
      <c r="G352" t="str">
        <f>"201707113597"</f>
        <v>201707113597</v>
      </c>
      <c r="H352" t="str">
        <f>"16 257"</f>
        <v>16 257</v>
      </c>
      <c r="I352" s="2">
        <v>400</v>
      </c>
      <c r="J352" t="str">
        <f>"16 257"</f>
        <v>16 257</v>
      </c>
    </row>
    <row r="353" spans="1:10" x14ac:dyDescent="0.3">
      <c r="A353" t="str">
        <f>""</f>
        <v/>
      </c>
      <c r="G353" t="str">
        <f>"201707113598"</f>
        <v>201707113598</v>
      </c>
      <c r="H353" t="str">
        <f>"C16-0067A"</f>
        <v>C16-0067A</v>
      </c>
      <c r="I353" s="2">
        <v>400</v>
      </c>
      <c r="J353" t="str">
        <f>"C16-0067A"</f>
        <v>C16-0067A</v>
      </c>
    </row>
    <row r="354" spans="1:10" x14ac:dyDescent="0.3">
      <c r="A354" t="str">
        <f>""</f>
        <v/>
      </c>
      <c r="G354" t="str">
        <f>"201707183686"</f>
        <v>201707183686</v>
      </c>
      <c r="H354" t="str">
        <f>"3010421015B"</f>
        <v>3010421015B</v>
      </c>
      <c r="I354" s="2">
        <v>400</v>
      </c>
      <c r="J354" t="str">
        <f>"3010421015B"</f>
        <v>3010421015B</v>
      </c>
    </row>
    <row r="355" spans="1:10" x14ac:dyDescent="0.3">
      <c r="A355" t="str">
        <f>""</f>
        <v/>
      </c>
      <c r="G355" t="str">
        <f>"201707183687"</f>
        <v>201707183687</v>
      </c>
      <c r="H355" t="str">
        <f>"02.0113.4/02.0113.3"</f>
        <v>02.0113.4/02.0113.3</v>
      </c>
      <c r="I355" s="2">
        <v>600</v>
      </c>
      <c r="J355" t="str">
        <f>"02.0113.4/02.0113.3"</f>
        <v>02.0113.4/02.0113.3</v>
      </c>
    </row>
    <row r="356" spans="1:10" x14ac:dyDescent="0.3">
      <c r="A356" t="str">
        <f>""</f>
        <v/>
      </c>
      <c r="G356" t="str">
        <f>"201707193729"</f>
        <v>201707193729</v>
      </c>
      <c r="H356" t="str">
        <f>"16-17765"</f>
        <v>16-17765</v>
      </c>
      <c r="I356" s="2">
        <v>100</v>
      </c>
      <c r="J356" t="str">
        <f>"16-17765"</f>
        <v>16-17765</v>
      </c>
    </row>
    <row r="357" spans="1:10" x14ac:dyDescent="0.3">
      <c r="A357" t="str">
        <f>""</f>
        <v/>
      </c>
      <c r="G357" t="str">
        <f>"201707193730"</f>
        <v>201707193730</v>
      </c>
      <c r="H357" t="str">
        <f>"2-3084"</f>
        <v>2-3084</v>
      </c>
      <c r="I357" s="2">
        <v>250</v>
      </c>
      <c r="J357" t="str">
        <f>"2-3084"</f>
        <v>2-3084</v>
      </c>
    </row>
    <row r="358" spans="1:10" x14ac:dyDescent="0.3">
      <c r="A358" t="str">
        <f>"005030"</f>
        <v>005030</v>
      </c>
      <c r="B358" t="s">
        <v>101</v>
      </c>
      <c r="C358">
        <v>71403</v>
      </c>
      <c r="D358" s="2">
        <v>212.08</v>
      </c>
      <c r="E358" s="1">
        <v>42926</v>
      </c>
      <c r="F358" t="s">
        <v>11</v>
      </c>
      <c r="G358" t="str">
        <f>"1004"</f>
        <v>1004</v>
      </c>
      <c r="H358" t="str">
        <f>"SCALPEL BLADES-ANIMAL SHELTER"</f>
        <v>SCALPEL BLADES-ANIMAL SHELTER</v>
      </c>
      <c r="I358" s="2">
        <v>60</v>
      </c>
      <c r="J358" t="str">
        <f>"SCALPEL BLADES-ANIMAL SHELTER"</f>
        <v>SCALPEL BLADES-ANIMAL SHELTER</v>
      </c>
    </row>
    <row r="359" spans="1:10" x14ac:dyDescent="0.3">
      <c r="A359" t="str">
        <f>""</f>
        <v/>
      </c>
      <c r="G359" t="str">
        <f>"1005"</f>
        <v>1005</v>
      </c>
      <c r="H359" t="str">
        <f>"SURGICAL DRAPE/ANIMAL SHELTER"</f>
        <v>SURGICAL DRAPE/ANIMAL SHELTER</v>
      </c>
      <c r="I359" s="2">
        <v>152.08000000000001</v>
      </c>
      <c r="J359" t="str">
        <f>"SURGICAL DRAPE/ANIMAL SHELTER"</f>
        <v>SURGICAL DRAPE/ANIMAL SHELTER</v>
      </c>
    </row>
    <row r="360" spans="1:10" x14ac:dyDescent="0.3">
      <c r="A360" t="str">
        <f>"T14263"</f>
        <v>T14263</v>
      </c>
      <c r="B360" t="s">
        <v>102</v>
      </c>
      <c r="C360">
        <v>71658</v>
      </c>
      <c r="D360" s="2">
        <v>450</v>
      </c>
      <c r="E360" s="1">
        <v>42940</v>
      </c>
      <c r="F360" t="s">
        <v>11</v>
      </c>
      <c r="G360" t="str">
        <f>"201707123602"</f>
        <v>201707123602</v>
      </c>
      <c r="H360" t="str">
        <f>"REVIEW TITLE COMMIT-PROPERTY"</f>
        <v>REVIEW TITLE COMMIT-PROPERTY</v>
      </c>
      <c r="I360" s="2">
        <v>450</v>
      </c>
      <c r="J360" t="str">
        <f>"REVIEW TITLE COMMIT-PROPERTY"</f>
        <v>REVIEW TITLE COMMIT-PROPERTY</v>
      </c>
    </row>
    <row r="361" spans="1:10" x14ac:dyDescent="0.3">
      <c r="A361" t="str">
        <f>"004228"</f>
        <v>004228</v>
      </c>
      <c r="B361" t="s">
        <v>103</v>
      </c>
      <c r="C361">
        <v>71404</v>
      </c>
      <c r="D361" s="2">
        <v>395.48</v>
      </c>
      <c r="E361" s="1">
        <v>42926</v>
      </c>
      <c r="F361" t="s">
        <v>11</v>
      </c>
      <c r="G361" t="str">
        <f>"201707053357"</f>
        <v>201707053357</v>
      </c>
      <c r="H361" t="str">
        <f>"POSTAGE/HOTEL REIMBURSMENT"</f>
        <v>POSTAGE/HOTEL REIMBURSMENT</v>
      </c>
      <c r="I361" s="2">
        <v>395.48</v>
      </c>
      <c r="J361" t="str">
        <f>"POSTAGE/HOTEL REIMBURSMENT"</f>
        <v>POSTAGE/HOTEL REIMBURSMENT</v>
      </c>
    </row>
    <row r="362" spans="1:10" x14ac:dyDescent="0.3">
      <c r="A362" t="str">
        <f>"004228"</f>
        <v>004228</v>
      </c>
      <c r="B362" t="s">
        <v>103</v>
      </c>
      <c r="C362">
        <v>71659</v>
      </c>
      <c r="D362" s="2">
        <v>235.45</v>
      </c>
      <c r="E362" s="1">
        <v>42940</v>
      </c>
      <c r="F362" t="s">
        <v>11</v>
      </c>
      <c r="G362" t="str">
        <f>"201707183676"</f>
        <v>201707183676</v>
      </c>
      <c r="H362" t="str">
        <f>"REIMBURSE-IDEA SUB/MAILINGS"</f>
        <v>REIMBURSE-IDEA SUB/MAILINGS</v>
      </c>
      <c r="I362" s="2">
        <v>186.23</v>
      </c>
      <c r="J362" t="str">
        <f>"REIMBURSE-IDEA SUB/MAILINGS"</f>
        <v>REIMBURSE-IDEA SUB/MAILINGS</v>
      </c>
    </row>
    <row r="363" spans="1:10" x14ac:dyDescent="0.3">
      <c r="A363" t="str">
        <f>""</f>
        <v/>
      </c>
      <c r="G363" t="str">
        <f>""</f>
        <v/>
      </c>
      <c r="H363" t="str">
        <f>""</f>
        <v/>
      </c>
      <c r="J363" t="str">
        <f>"REIMBURSE-IDEA SUB/MAILINGS"</f>
        <v>REIMBURSE-IDEA SUB/MAILINGS</v>
      </c>
    </row>
    <row r="364" spans="1:10" x14ac:dyDescent="0.3">
      <c r="A364" t="str">
        <f>""</f>
        <v/>
      </c>
      <c r="G364" t="str">
        <f>"201707183677"</f>
        <v>201707183677</v>
      </c>
      <c r="H364" t="str">
        <f>"REIMBURSE-MILEAGE"</f>
        <v>REIMBURSE-MILEAGE</v>
      </c>
      <c r="I364" s="2">
        <v>49.22</v>
      </c>
      <c r="J364" t="str">
        <f>"REIMBURSE-MILEAGE"</f>
        <v>REIMBURSE-MILEAGE</v>
      </c>
    </row>
    <row r="365" spans="1:10" x14ac:dyDescent="0.3">
      <c r="A365" t="str">
        <f>"005120"</f>
        <v>005120</v>
      </c>
      <c r="B365" t="s">
        <v>104</v>
      </c>
      <c r="C365">
        <v>71405</v>
      </c>
      <c r="D365" s="2">
        <v>173.72</v>
      </c>
      <c r="E365" s="1">
        <v>42926</v>
      </c>
      <c r="F365" t="s">
        <v>11</v>
      </c>
      <c r="G365" t="str">
        <f>"8403226150"</f>
        <v>8403226150</v>
      </c>
      <c r="H365" t="str">
        <f>"CUST#10342487/PCT#3"</f>
        <v>CUST#10342487/PCT#3</v>
      </c>
      <c r="I365" s="2">
        <v>173.72</v>
      </c>
      <c r="J365" t="str">
        <f>"CUST#10342487/PCT#3"</f>
        <v>CUST#10342487/PCT#3</v>
      </c>
    </row>
    <row r="366" spans="1:10" x14ac:dyDescent="0.3">
      <c r="A366" t="str">
        <f>"005132"</f>
        <v>005132</v>
      </c>
      <c r="B366" t="s">
        <v>105</v>
      </c>
      <c r="C366">
        <v>71406</v>
      </c>
      <c r="D366" s="2">
        <v>85.99</v>
      </c>
      <c r="E366" s="1">
        <v>42926</v>
      </c>
      <c r="F366" t="s">
        <v>11</v>
      </c>
      <c r="G366" t="str">
        <f>"8403219111"</f>
        <v>8403219111</v>
      </c>
      <c r="H366" t="str">
        <f>"CUST#10342486/PCT#2"</f>
        <v>CUST#10342486/PCT#2</v>
      </c>
      <c r="I366" s="2">
        <v>85.99</v>
      </c>
      <c r="J366" t="str">
        <f>"CUST#10342486/PCT#2"</f>
        <v>CUST#10342486/PCT#2</v>
      </c>
    </row>
    <row r="367" spans="1:10" x14ac:dyDescent="0.3">
      <c r="A367" t="str">
        <f>"005132"</f>
        <v>005132</v>
      </c>
      <c r="B367" t="s">
        <v>105</v>
      </c>
      <c r="C367">
        <v>71660</v>
      </c>
      <c r="D367" s="2">
        <v>29.45</v>
      </c>
      <c r="E367" s="1">
        <v>42940</v>
      </c>
      <c r="F367" t="s">
        <v>11</v>
      </c>
      <c r="G367" t="str">
        <f>"8403243392"</f>
        <v>8403243392</v>
      </c>
      <c r="H367" t="str">
        <f>"CUST#10342486/PCT#2"</f>
        <v>CUST#10342486/PCT#2</v>
      </c>
      <c r="I367" s="2">
        <v>29.45</v>
      </c>
      <c r="J367" t="str">
        <f>"CUST#10342486/PCT#2"</f>
        <v>CUST#10342486/PCT#2</v>
      </c>
    </row>
    <row r="368" spans="1:10" x14ac:dyDescent="0.3">
      <c r="A368" t="str">
        <f>"004728"</f>
        <v>004728</v>
      </c>
      <c r="B368" t="s">
        <v>106</v>
      </c>
      <c r="C368">
        <v>71661</v>
      </c>
      <c r="D368" s="2">
        <v>3098.87</v>
      </c>
      <c r="E368" s="1">
        <v>42940</v>
      </c>
      <c r="F368" t="s">
        <v>11</v>
      </c>
      <c r="G368" t="str">
        <f>"086559205"</f>
        <v>086559205</v>
      </c>
      <c r="H368" t="str">
        <f>"ACCT#086-11451"</f>
        <v>ACCT#086-11451</v>
      </c>
      <c r="I368" s="2">
        <v>10.39</v>
      </c>
      <c r="J368" t="str">
        <f>"ACCT#086-11451"</f>
        <v>ACCT#086-11451</v>
      </c>
    </row>
    <row r="369" spans="1:10" x14ac:dyDescent="0.3">
      <c r="A369" t="str">
        <f>""</f>
        <v/>
      </c>
      <c r="G369" t="str">
        <f>"201707113495"</f>
        <v>201707113495</v>
      </c>
      <c r="H369" t="str">
        <f>"ACCT#086-11451/PCT#1"</f>
        <v>ACCT#086-11451/PCT#1</v>
      </c>
      <c r="I369" s="2">
        <v>635.73</v>
      </c>
      <c r="J369" t="str">
        <f>"ACCT#086-11451/PCT#1"</f>
        <v>ACCT#086-11451/PCT#1</v>
      </c>
    </row>
    <row r="370" spans="1:10" x14ac:dyDescent="0.3">
      <c r="A370" t="str">
        <f>""</f>
        <v/>
      </c>
      <c r="G370" t="str">
        <f>"201707113499"</f>
        <v>201707113499</v>
      </c>
      <c r="H370" t="str">
        <f>"ACCT#086-11386/PCT#4"</f>
        <v>ACCT#086-11386/PCT#4</v>
      </c>
      <c r="I370" s="2">
        <v>649.79999999999995</v>
      </c>
      <c r="J370" t="str">
        <f>"ACCT#086-11386/PCT#4"</f>
        <v>ACCT#086-11386/PCT#4</v>
      </c>
    </row>
    <row r="371" spans="1:10" x14ac:dyDescent="0.3">
      <c r="A371" t="str">
        <f>""</f>
        <v/>
      </c>
      <c r="G371" t="str">
        <f>"201707133612"</f>
        <v>201707133612</v>
      </c>
      <c r="H371" t="str">
        <f>"ACCT#086-11458/ANIMAL SHELTER"</f>
        <v>ACCT#086-11458/ANIMAL SHELTER</v>
      </c>
      <c r="I371" s="2">
        <v>340.75</v>
      </c>
      <c r="J371" t="str">
        <f>"ACCT#086-11458/ANIMAL SHELTER"</f>
        <v>ACCT#086-11458/ANIMAL SHELTER</v>
      </c>
    </row>
    <row r="372" spans="1:10" x14ac:dyDescent="0.3">
      <c r="A372" t="str">
        <f>""</f>
        <v/>
      </c>
      <c r="G372" t="str">
        <f>"201707133613"</f>
        <v>201707133613</v>
      </c>
      <c r="H372" t="str">
        <f>"ACCT#086-11381/GEN SVCS"</f>
        <v>ACCT#086-11381/GEN SVCS</v>
      </c>
      <c r="I372" s="2">
        <v>674.14</v>
      </c>
      <c r="J372" t="str">
        <f>"ACCT#086-11381/GEN SVCS"</f>
        <v>ACCT#086-11381/GEN SVCS</v>
      </c>
    </row>
    <row r="373" spans="1:10" x14ac:dyDescent="0.3">
      <c r="A373" t="str">
        <f>""</f>
        <v/>
      </c>
      <c r="G373" t="str">
        <f>"201707143648"</f>
        <v>201707143648</v>
      </c>
      <c r="H373" t="str">
        <f>"ACCT#086-11375/PCT#2"</f>
        <v>ACCT#086-11375/PCT#2</v>
      </c>
      <c r="I373" s="2">
        <v>788.06</v>
      </c>
      <c r="J373" t="str">
        <f>"ACCT#086-11375/PCT#2"</f>
        <v>ACCT#086-11375/PCT#2</v>
      </c>
    </row>
    <row r="374" spans="1:10" x14ac:dyDescent="0.3">
      <c r="A374" t="str">
        <f>"BCO"</f>
        <v>BCO</v>
      </c>
      <c r="B374" t="s">
        <v>107</v>
      </c>
      <c r="C374">
        <v>71361</v>
      </c>
      <c r="D374" s="2">
        <v>48861.03</v>
      </c>
      <c r="E374" s="1">
        <v>42922</v>
      </c>
      <c r="F374" t="s">
        <v>11</v>
      </c>
      <c r="G374" t="str">
        <f>"201707063465"</f>
        <v>201707063465</v>
      </c>
      <c r="H374" t="str">
        <f>"CTY DEV CR - 06/29/2017"</f>
        <v>CTY DEV CR - 06/29/2017</v>
      </c>
      <c r="I374" s="2">
        <v>2826.58</v>
      </c>
      <c r="J374" t="str">
        <f>"CITY OF BASTROP"</f>
        <v>CITY OF BASTROP</v>
      </c>
    </row>
    <row r="375" spans="1:10" x14ac:dyDescent="0.3">
      <c r="A375" t="str">
        <f>""</f>
        <v/>
      </c>
      <c r="G375" t="str">
        <f>"201707063466"</f>
        <v>201707063466</v>
      </c>
      <c r="H375" t="str">
        <f>"COUNTY - 06/29/2017"</f>
        <v>COUNTY - 06/29/2017</v>
      </c>
      <c r="I375" s="2">
        <v>29952.1</v>
      </c>
      <c r="J375" t="str">
        <f>"COUNTY - 06/29/2017"</f>
        <v>COUNTY - 06/29/2017</v>
      </c>
    </row>
    <row r="376" spans="1:10" x14ac:dyDescent="0.3">
      <c r="A376" t="str">
        <f>""</f>
        <v/>
      </c>
      <c r="G376" t="str">
        <f>"201707063467"</f>
        <v>201707063467</v>
      </c>
      <c r="H376" t="str">
        <f>"BASTROP CO - 06/29/2017"</f>
        <v>BASTROP CO - 06/29/2017</v>
      </c>
      <c r="I376" s="2">
        <v>16082.35</v>
      </c>
      <c r="J376" t="str">
        <f>"BASTROP CO - 06/29/2017"</f>
        <v>BASTROP CO - 06/29/2017</v>
      </c>
    </row>
    <row r="377" spans="1:10" x14ac:dyDescent="0.3">
      <c r="A377" t="str">
        <f>"BCO"</f>
        <v>BCO</v>
      </c>
      <c r="B377" t="s">
        <v>107</v>
      </c>
      <c r="C377">
        <v>71662</v>
      </c>
      <c r="D377" s="2">
        <v>51.54</v>
      </c>
      <c r="E377" s="1">
        <v>42940</v>
      </c>
      <c r="F377" t="s">
        <v>11</v>
      </c>
      <c r="G377" t="str">
        <f>"201707143631"</f>
        <v>201707143631</v>
      </c>
      <c r="H377" t="str">
        <f>"ARREST FEES-JAN TO MARCH 2017"</f>
        <v>ARREST FEES-JAN TO MARCH 2017</v>
      </c>
      <c r="I377" s="2">
        <v>51.54</v>
      </c>
      <c r="J377" t="str">
        <f>"ARREST FEES-JAN TO MARCH 2017"</f>
        <v>ARREST FEES-JAN TO MARCH 2017</v>
      </c>
    </row>
    <row r="378" spans="1:10" x14ac:dyDescent="0.3">
      <c r="A378" t="str">
        <f>"COB"</f>
        <v>COB</v>
      </c>
      <c r="B378" t="s">
        <v>107</v>
      </c>
      <c r="C378">
        <v>71663</v>
      </c>
      <c r="D378" s="2">
        <v>500</v>
      </c>
      <c r="E378" s="1">
        <v>42940</v>
      </c>
      <c r="F378" t="s">
        <v>11</v>
      </c>
      <c r="G378" t="str">
        <f>"201707113481"</f>
        <v>201707113481</v>
      </c>
      <c r="H378" t="str">
        <f>"RENTAL-PARKING LOT"</f>
        <v>RENTAL-PARKING LOT</v>
      </c>
      <c r="I378" s="2">
        <v>500</v>
      </c>
      <c r="J378" t="str">
        <f>"RENTAL-PARKING LOT"</f>
        <v>RENTAL-PARKING LOT</v>
      </c>
    </row>
    <row r="379" spans="1:10" x14ac:dyDescent="0.3">
      <c r="A379" t="str">
        <f>"ECO"</f>
        <v>ECO</v>
      </c>
      <c r="B379" t="s">
        <v>108</v>
      </c>
      <c r="C379">
        <v>71363</v>
      </c>
      <c r="D379" s="2">
        <v>823.05</v>
      </c>
      <c r="E379" s="1">
        <v>42922</v>
      </c>
      <c r="F379" t="s">
        <v>11</v>
      </c>
      <c r="G379" t="str">
        <f>"201707063450"</f>
        <v>201707063450</v>
      </c>
      <c r="H379" t="str">
        <f>"ACCT #007-0008410-002/06302017"</f>
        <v>ACCT #007-0008410-002/06302017</v>
      </c>
      <c r="I379" s="2">
        <v>116.16</v>
      </c>
      <c r="J379" t="str">
        <f>"CITY OF ELGIN"</f>
        <v>CITY OF ELGIN</v>
      </c>
    </row>
    <row r="380" spans="1:10" x14ac:dyDescent="0.3">
      <c r="A380" t="str">
        <f>""</f>
        <v/>
      </c>
      <c r="G380" t="str">
        <f>"201707063451"</f>
        <v>201707063451</v>
      </c>
      <c r="H380" t="str">
        <f>"ACCT #007-0011501-000/06302017"</f>
        <v>ACCT #007-0011501-000/06302017</v>
      </c>
      <c r="I380" s="2">
        <v>111.42</v>
      </c>
      <c r="J380" t="str">
        <f>"CITY OF ELGIN"</f>
        <v>CITY OF ELGIN</v>
      </c>
    </row>
    <row r="381" spans="1:10" x14ac:dyDescent="0.3">
      <c r="A381" t="str">
        <f>""</f>
        <v/>
      </c>
      <c r="G381" t="str">
        <f>"201707063452"</f>
        <v>201707063452</v>
      </c>
      <c r="H381" t="str">
        <f>"ACCT #007-0011510-000/06302017"</f>
        <v>ACCT #007-0011510-000/06302017</v>
      </c>
      <c r="I381" s="2">
        <v>204.21</v>
      </c>
      <c r="J381" t="str">
        <f>"ACCT #007-0011510-000/06302017"</f>
        <v>ACCT #007-0011510-000/06302017</v>
      </c>
    </row>
    <row r="382" spans="1:10" x14ac:dyDescent="0.3">
      <c r="A382" t="str">
        <f>""</f>
        <v/>
      </c>
      <c r="G382" t="str">
        <f>"201707063453"</f>
        <v>201707063453</v>
      </c>
      <c r="H382" t="str">
        <f>"ACCT #007-0011530-000/06302017"</f>
        <v>ACCT #007-0011530-000/06302017</v>
      </c>
      <c r="I382" s="2">
        <v>77.09</v>
      </c>
      <c r="J382" t="str">
        <f>"ACCT #007-0011530-000/06302017"</f>
        <v>ACCT #007-0011530-000/06302017</v>
      </c>
    </row>
    <row r="383" spans="1:10" x14ac:dyDescent="0.3">
      <c r="A383" t="str">
        <f>""</f>
        <v/>
      </c>
      <c r="G383" t="str">
        <f>"201707063454"</f>
        <v>201707063454</v>
      </c>
      <c r="H383" t="str">
        <f>"ACCT #007-0011534-001/06302017"</f>
        <v>ACCT #007-0011534-001/06302017</v>
      </c>
      <c r="I383" s="2">
        <v>128.81</v>
      </c>
      <c r="J383" t="str">
        <f>"ACCT #007-0011534-001/06302017"</f>
        <v>ACCT #007-0011534-001/06302017</v>
      </c>
    </row>
    <row r="384" spans="1:10" x14ac:dyDescent="0.3">
      <c r="A384" t="str">
        <f>""</f>
        <v/>
      </c>
      <c r="G384" t="str">
        <f>"201707063455"</f>
        <v>201707063455</v>
      </c>
      <c r="H384" t="str">
        <f>"ACCT #007-0011535-000/06302017"</f>
        <v>ACCT #007-0011535-000/06302017</v>
      </c>
      <c r="I384" s="2">
        <v>96.02</v>
      </c>
      <c r="J384" t="str">
        <f>"ACCT #007-0011535-000/06302017"</f>
        <v>ACCT #007-0011535-000/06302017</v>
      </c>
    </row>
    <row r="385" spans="1:10" x14ac:dyDescent="0.3">
      <c r="A385" t="str">
        <f>""</f>
        <v/>
      </c>
      <c r="G385" t="str">
        <f>"201707063456"</f>
        <v>201707063456</v>
      </c>
      <c r="H385" t="str">
        <f>"ACCT #007-0011544-001/06302017"</f>
        <v>ACCT #007-0011544-001/06302017</v>
      </c>
      <c r="I385" s="2">
        <v>89.34</v>
      </c>
      <c r="J385" t="str">
        <f>"ACCT #007-0011544-001/06302017"</f>
        <v>ACCT #007-0011544-001/06302017</v>
      </c>
    </row>
    <row r="386" spans="1:10" x14ac:dyDescent="0.3">
      <c r="A386" t="str">
        <f>"ECO"</f>
        <v>ECO</v>
      </c>
      <c r="B386" t="s">
        <v>108</v>
      </c>
      <c r="C386">
        <v>71664</v>
      </c>
      <c r="D386" s="2">
        <v>32.049999999999997</v>
      </c>
      <c r="E386" s="1">
        <v>42940</v>
      </c>
      <c r="F386" t="s">
        <v>11</v>
      </c>
      <c r="G386" t="str">
        <f>"201707143630"</f>
        <v>201707143630</v>
      </c>
      <c r="H386" t="str">
        <f>"ARREST FEES-JAN TO MARCH 2017"</f>
        <v>ARREST FEES-JAN TO MARCH 2017</v>
      </c>
      <c r="I386" s="2">
        <v>32.049999999999997</v>
      </c>
      <c r="J386" t="str">
        <f>"ARREST FEES-JAN TO MARCH 2017"</f>
        <v>ARREST FEES-JAN TO MARCH 2017</v>
      </c>
    </row>
    <row r="387" spans="1:10" x14ac:dyDescent="0.3">
      <c r="A387" t="str">
        <f>"SCO"</f>
        <v>SCO</v>
      </c>
      <c r="B387" t="s">
        <v>109</v>
      </c>
      <c r="C387">
        <v>71364</v>
      </c>
      <c r="D387" s="2">
        <v>2402.15</v>
      </c>
      <c r="E387" s="1">
        <v>42922</v>
      </c>
      <c r="F387" t="s">
        <v>11</v>
      </c>
      <c r="G387" t="str">
        <f>"201707063458"</f>
        <v>201707063458</v>
      </c>
      <c r="H387" t="str">
        <f>"ACCT #001-0000183-000/06272017"</f>
        <v>ACCT #001-0000183-000/06272017</v>
      </c>
      <c r="I387" s="2">
        <v>123.22</v>
      </c>
      <c r="J387" t="str">
        <f>"CITY OF SMITHVILLE"</f>
        <v>CITY OF SMITHVILLE</v>
      </c>
    </row>
    <row r="388" spans="1:10" x14ac:dyDescent="0.3">
      <c r="A388" t="str">
        <f>""</f>
        <v/>
      </c>
      <c r="G388" t="str">
        <f>"201707063459"</f>
        <v>201707063459</v>
      </c>
      <c r="H388" t="str">
        <f>"ACCT #007-0000388-000/06272017"</f>
        <v>ACCT #007-0000388-000/06272017</v>
      </c>
      <c r="I388" s="2">
        <v>614.77</v>
      </c>
      <c r="J388" t="str">
        <f>"ACCT #007-0000388-000/06272017"</f>
        <v>ACCT #007-0000388-000/06272017</v>
      </c>
    </row>
    <row r="389" spans="1:10" x14ac:dyDescent="0.3">
      <c r="A389" t="str">
        <f>""</f>
        <v/>
      </c>
      <c r="G389" t="str">
        <f>"201707063460"</f>
        <v>201707063460</v>
      </c>
      <c r="H389" t="str">
        <f>"ACCT #007-0000389-000"</f>
        <v>ACCT #007-0000389-000</v>
      </c>
      <c r="I389" s="2">
        <v>43.75</v>
      </c>
      <c r="J389" t="str">
        <f>"ACCT #007-0000389-000"</f>
        <v>ACCT #007-0000389-000</v>
      </c>
    </row>
    <row r="390" spans="1:10" x14ac:dyDescent="0.3">
      <c r="A390" t="str">
        <f>""</f>
        <v/>
      </c>
      <c r="G390" t="str">
        <f>"201707063461"</f>
        <v>201707063461</v>
      </c>
      <c r="H390" t="str">
        <f>"ACCT #044-0001240000"</f>
        <v>ACCT #044-0001240000</v>
      </c>
      <c r="I390" s="2">
        <v>340.07</v>
      </c>
      <c r="J390" t="str">
        <f>"ACCT #044-0001240000"</f>
        <v>ACCT #044-0001240000</v>
      </c>
    </row>
    <row r="391" spans="1:10" x14ac:dyDescent="0.3">
      <c r="A391" t="str">
        <f>""</f>
        <v/>
      </c>
      <c r="G391" t="str">
        <f>"201707063462"</f>
        <v>201707063462</v>
      </c>
      <c r="H391" t="str">
        <f>"ACCT #044-0001250-000/06272017"</f>
        <v>ACCT #044-0001250-000/06272017</v>
      </c>
      <c r="I391" s="2">
        <v>110.31</v>
      </c>
      <c r="J391" t="str">
        <f>"ACCT #044-0001250-000/06272017"</f>
        <v>ACCT #044-0001250-000/06272017</v>
      </c>
    </row>
    <row r="392" spans="1:10" x14ac:dyDescent="0.3">
      <c r="A392" t="str">
        <f>""</f>
        <v/>
      </c>
      <c r="G392" t="str">
        <f>"201707063463"</f>
        <v>201707063463</v>
      </c>
      <c r="H392" t="str">
        <f>"ACCT #044-0001252-000/06272017"</f>
        <v>ACCT #044-0001252-000/06272017</v>
      </c>
      <c r="I392" s="2">
        <v>827.77</v>
      </c>
      <c r="J392" t="str">
        <f>"ACCT #044-0001252-000/06272017"</f>
        <v>ACCT #044-0001252-000/06272017</v>
      </c>
    </row>
    <row r="393" spans="1:10" x14ac:dyDescent="0.3">
      <c r="A393" t="str">
        <f>""</f>
        <v/>
      </c>
      <c r="G393" t="str">
        <f>"201707063464"</f>
        <v>201707063464</v>
      </c>
      <c r="H393" t="str">
        <f>"ACCT #044-0001253-000"</f>
        <v>ACCT #044-0001253-000</v>
      </c>
      <c r="I393" s="2">
        <v>342.26</v>
      </c>
      <c r="J393" t="str">
        <f>"ACCT #044-0001253-000"</f>
        <v>ACCT #044-0001253-000</v>
      </c>
    </row>
    <row r="394" spans="1:10" x14ac:dyDescent="0.3">
      <c r="A394" t="str">
        <f>"SCO"</f>
        <v>SCO</v>
      </c>
      <c r="B394" t="s">
        <v>109</v>
      </c>
      <c r="C394">
        <v>71665</v>
      </c>
      <c r="D394" s="2">
        <v>21.97</v>
      </c>
      <c r="E394" s="1">
        <v>42940</v>
      </c>
      <c r="F394" t="s">
        <v>11</v>
      </c>
      <c r="G394" t="str">
        <f>"201707143629"</f>
        <v>201707143629</v>
      </c>
      <c r="H394" t="str">
        <f>"ARREST FEES-JAN TO MARCH 2017"</f>
        <v>ARREST FEES-JAN TO MARCH 2017</v>
      </c>
      <c r="I394" s="2">
        <v>21.97</v>
      </c>
      <c r="J394" t="str">
        <f>"ARREST FEES-JAN TO MARCH 2017"</f>
        <v>ARREST FEES-JAN TO MARCH 2017</v>
      </c>
    </row>
    <row r="395" spans="1:10" x14ac:dyDescent="0.3">
      <c r="A395" t="str">
        <f>"T11104"</f>
        <v>T11104</v>
      </c>
      <c r="B395" t="s">
        <v>110</v>
      </c>
      <c r="C395">
        <v>71407</v>
      </c>
      <c r="D395" s="2">
        <v>593.70000000000005</v>
      </c>
      <c r="E395" s="1">
        <v>42926</v>
      </c>
      <c r="F395" t="s">
        <v>11</v>
      </c>
      <c r="G395" t="str">
        <f>"201706303312"</f>
        <v>201706303312</v>
      </c>
      <c r="H395" t="str">
        <f>"REIMBURSE-CONFERENCE EXPENSE"</f>
        <v>REIMBURSE-CONFERENCE EXPENSE</v>
      </c>
      <c r="I395" s="2">
        <v>593.70000000000005</v>
      </c>
      <c r="J395" t="str">
        <f>"REIMBURSE-CONFERENCE EXPENSE"</f>
        <v>REIMBURSE-CONFERENCE EXPENSE</v>
      </c>
    </row>
    <row r="396" spans="1:10" x14ac:dyDescent="0.3">
      <c r="A396" t="str">
        <f>"CLINIC"</f>
        <v>CLINIC</v>
      </c>
      <c r="B396" t="s">
        <v>111</v>
      </c>
      <c r="C396">
        <v>71408</v>
      </c>
      <c r="D396" s="2">
        <v>132.57</v>
      </c>
      <c r="E396" s="1">
        <v>42926</v>
      </c>
      <c r="F396" t="s">
        <v>11</v>
      </c>
      <c r="G396" t="str">
        <f>"201707053328"</f>
        <v>201707053328</v>
      </c>
      <c r="H396" t="str">
        <f>"PHYSICIAN SVCS/XRAY/IND HEALTH"</f>
        <v>PHYSICIAN SVCS/XRAY/IND HEALTH</v>
      </c>
      <c r="I396" s="2">
        <v>132.57</v>
      </c>
      <c r="J396" t="str">
        <f>"PHYSICIAN SVCS/XRAY/IND HEALTH"</f>
        <v>PHYSICIAN SVCS/XRAY/IND HEALTH</v>
      </c>
    </row>
    <row r="397" spans="1:10" x14ac:dyDescent="0.3">
      <c r="A397" t="str">
        <f>""</f>
        <v/>
      </c>
      <c r="G397" t="str">
        <f>""</f>
        <v/>
      </c>
      <c r="H397" t="str">
        <f>""</f>
        <v/>
      </c>
      <c r="J397" t="str">
        <f>"PHYSICIAN SVCS/XRAY/IND HEALTH"</f>
        <v>PHYSICIAN SVCS/XRAY/IND HEALTH</v>
      </c>
    </row>
    <row r="398" spans="1:10" x14ac:dyDescent="0.3">
      <c r="A398" t="str">
        <f>"CLINIC"</f>
        <v>CLINIC</v>
      </c>
      <c r="B398" t="s">
        <v>111</v>
      </c>
      <c r="C398">
        <v>71666</v>
      </c>
      <c r="D398" s="2">
        <v>561.42999999999995</v>
      </c>
      <c r="E398" s="1">
        <v>42940</v>
      </c>
      <c r="F398" t="s">
        <v>11</v>
      </c>
      <c r="G398" t="str">
        <f>"201706-0"</f>
        <v>201706-0</v>
      </c>
      <c r="H398" t="str">
        <f>"INVOICE 201706-0 MEDS/LAB"</f>
        <v>INVOICE 201706-0 MEDS/LAB</v>
      </c>
      <c r="I398" s="2">
        <v>380.72</v>
      </c>
      <c r="J398" t="str">
        <f>"INVOICE 201706-0 MEDS/LAB"</f>
        <v>INVOICE 201706-0 MEDS/LAB</v>
      </c>
    </row>
    <row r="399" spans="1:10" x14ac:dyDescent="0.3">
      <c r="A399" t="str">
        <f>""</f>
        <v/>
      </c>
      <c r="G399" t="str">
        <f>"201707193777"</f>
        <v>201707193777</v>
      </c>
      <c r="H399" t="str">
        <f>"INDIGENT HEALTH"</f>
        <v>INDIGENT HEALTH</v>
      </c>
      <c r="I399" s="2">
        <v>180.71</v>
      </c>
      <c r="J399" t="str">
        <f>"INDIGENT HEALTH"</f>
        <v>INDIGENT HEALTH</v>
      </c>
    </row>
    <row r="400" spans="1:10" x14ac:dyDescent="0.3">
      <c r="A400" t="str">
        <f>""</f>
        <v/>
      </c>
      <c r="G400" t="str">
        <f>""</f>
        <v/>
      </c>
      <c r="H400" t="str">
        <f>""</f>
        <v/>
      </c>
      <c r="J400" t="str">
        <f>"INDIGENT HEALTH"</f>
        <v>INDIGENT HEALTH</v>
      </c>
    </row>
    <row r="401" spans="1:10" x14ac:dyDescent="0.3">
      <c r="A401" t="str">
        <f>"T8825"</f>
        <v>T8825</v>
      </c>
      <c r="B401" t="s">
        <v>112</v>
      </c>
      <c r="C401">
        <v>71667</v>
      </c>
      <c r="D401" s="2">
        <v>50</v>
      </c>
      <c r="E401" s="1">
        <v>42940</v>
      </c>
      <c r="F401" t="s">
        <v>11</v>
      </c>
      <c r="G401" t="str">
        <f>"201707183685"</f>
        <v>201707183685</v>
      </c>
      <c r="H401" t="str">
        <f>"BOND#13748237"</f>
        <v>BOND#13748237</v>
      </c>
      <c r="I401" s="2">
        <v>50</v>
      </c>
      <c r="J401" t="str">
        <f>"BOND#13748237"</f>
        <v>BOND#13748237</v>
      </c>
    </row>
    <row r="402" spans="1:10" x14ac:dyDescent="0.3">
      <c r="A402" t="str">
        <f>"T13596"</f>
        <v>T13596</v>
      </c>
      <c r="B402" t="s">
        <v>113</v>
      </c>
      <c r="C402">
        <v>71668</v>
      </c>
      <c r="D402" s="2">
        <v>19495</v>
      </c>
      <c r="E402" s="1">
        <v>42940</v>
      </c>
      <c r="F402" t="s">
        <v>11</v>
      </c>
      <c r="G402" t="str">
        <f>"30254"</f>
        <v>30254</v>
      </c>
      <c r="H402" t="str">
        <f>"HIgherGround Upgrade"</f>
        <v>HIgherGround Upgrade</v>
      </c>
      <c r="I402" s="2">
        <v>19495</v>
      </c>
      <c r="J402" t="str">
        <f>"Reinstall Capture911"</f>
        <v>Reinstall Capture911</v>
      </c>
    </row>
    <row r="403" spans="1:10" x14ac:dyDescent="0.3">
      <c r="A403" t="str">
        <f>""</f>
        <v/>
      </c>
      <c r="G403" t="str">
        <f>""</f>
        <v/>
      </c>
      <c r="H403" t="str">
        <f>""</f>
        <v/>
      </c>
      <c r="J403" t="str">
        <f>"Reinstall Recording"</f>
        <v>Reinstall Recording</v>
      </c>
    </row>
    <row r="404" spans="1:10" x14ac:dyDescent="0.3">
      <c r="A404" t="str">
        <f>""</f>
        <v/>
      </c>
      <c r="G404" t="str">
        <f>""</f>
        <v/>
      </c>
      <c r="H404" t="str">
        <f>""</f>
        <v/>
      </c>
      <c r="J404" t="str">
        <f>"Install &amp; Training"</f>
        <v>Install &amp; Training</v>
      </c>
    </row>
    <row r="405" spans="1:10" x14ac:dyDescent="0.3">
      <c r="A405" t="str">
        <f>""</f>
        <v/>
      </c>
      <c r="G405" t="str">
        <f>""</f>
        <v/>
      </c>
      <c r="H405" t="str">
        <f>""</f>
        <v/>
      </c>
      <c r="J405" t="str">
        <f>"Integration to Dispa"</f>
        <v>Integration to Dispa</v>
      </c>
    </row>
    <row r="406" spans="1:10" x14ac:dyDescent="0.3">
      <c r="A406" t="str">
        <f>""</f>
        <v/>
      </c>
      <c r="G406" t="str">
        <f>""</f>
        <v/>
      </c>
      <c r="H406" t="str">
        <f>""</f>
        <v/>
      </c>
      <c r="J406" t="str">
        <f>"Priority Dispatch"</f>
        <v>Priority Dispatch</v>
      </c>
    </row>
    <row r="407" spans="1:10" x14ac:dyDescent="0.3">
      <c r="A407" t="str">
        <f>""</f>
        <v/>
      </c>
      <c r="G407" t="str">
        <f>""</f>
        <v/>
      </c>
      <c r="H407" t="str">
        <f>""</f>
        <v/>
      </c>
      <c r="J407" t="str">
        <f>"PSAP Chassis"</f>
        <v>PSAP Chassis</v>
      </c>
    </row>
    <row r="408" spans="1:10" x14ac:dyDescent="0.3">
      <c r="A408" t="str">
        <f>""</f>
        <v/>
      </c>
      <c r="G408" t="str">
        <f>""</f>
        <v/>
      </c>
      <c r="H408" t="str">
        <f>""</f>
        <v/>
      </c>
      <c r="J408" t="str">
        <f>"Card  24-Port"</f>
        <v>Card  24-Port</v>
      </c>
    </row>
    <row r="409" spans="1:10" x14ac:dyDescent="0.3">
      <c r="A409" t="str">
        <f>"T14437"</f>
        <v>T14437</v>
      </c>
      <c r="B409" t="s">
        <v>114</v>
      </c>
      <c r="C409">
        <v>71409</v>
      </c>
      <c r="D409" s="2">
        <v>103.14</v>
      </c>
      <c r="E409" s="1">
        <v>42926</v>
      </c>
      <c r="F409" t="s">
        <v>11</v>
      </c>
      <c r="G409" t="str">
        <f>"201707053355"</f>
        <v>201707053355</v>
      </c>
      <c r="H409" t="str">
        <f>"MILEAGE REIMBURSEMENT"</f>
        <v>MILEAGE REIMBURSEMENT</v>
      </c>
      <c r="I409" s="2">
        <v>103.14</v>
      </c>
      <c r="J409" t="str">
        <f>"MILEAGE REIMBURSEMENT"</f>
        <v>MILEAGE REIMBURSEMENT</v>
      </c>
    </row>
    <row r="410" spans="1:10" x14ac:dyDescent="0.3">
      <c r="A410" t="str">
        <f>"CONTEC"</f>
        <v>CONTEC</v>
      </c>
      <c r="B410" t="s">
        <v>115</v>
      </c>
      <c r="C410">
        <v>71669</v>
      </c>
      <c r="D410" s="2">
        <v>3482.4</v>
      </c>
      <c r="E410" s="1">
        <v>42940</v>
      </c>
      <c r="F410" t="s">
        <v>11</v>
      </c>
      <c r="G410" t="str">
        <f>"15219100"</f>
        <v>15219100</v>
      </c>
      <c r="H410" t="str">
        <f>"REF#12109473 SO"</f>
        <v>REF#12109473 SO</v>
      </c>
      <c r="I410" s="2">
        <v>3482.4</v>
      </c>
      <c r="J410" t="str">
        <f>"REF#12109473 SO"</f>
        <v>REF#12109473 SO</v>
      </c>
    </row>
    <row r="411" spans="1:10" x14ac:dyDescent="0.3">
      <c r="A411" t="str">
        <f>"003723"</f>
        <v>003723</v>
      </c>
      <c r="B411" t="s">
        <v>116</v>
      </c>
      <c r="C411">
        <v>71670</v>
      </c>
      <c r="D411" s="2">
        <v>5359</v>
      </c>
      <c r="E411" s="1">
        <v>42940</v>
      </c>
      <c r="F411" t="s">
        <v>11</v>
      </c>
      <c r="G411" t="str">
        <f>"19204"</f>
        <v>19204</v>
      </c>
      <c r="H411" t="str">
        <f>"MATERIAL/LABOR/TEMP BUILDING"</f>
        <v>MATERIAL/LABOR/TEMP BUILDING</v>
      </c>
      <c r="I411" s="2">
        <v>1419</v>
      </c>
      <c r="J411" t="str">
        <f>"MATERIAL/LABOR"</f>
        <v>MATERIAL/LABOR</v>
      </c>
    </row>
    <row r="412" spans="1:10" x14ac:dyDescent="0.3">
      <c r="A412" t="str">
        <f>""</f>
        <v/>
      </c>
      <c r="G412" t="str">
        <f>"19325"</f>
        <v>19325</v>
      </c>
      <c r="H412" t="str">
        <f>"MATERIAL/LABOR/CC ANNEX"</f>
        <v>MATERIAL/LABOR/CC ANNEX</v>
      </c>
      <c r="I412" s="2">
        <v>3340</v>
      </c>
      <c r="J412" t="str">
        <f>"MATERIAL/LABOR/CC ANNEX"</f>
        <v>MATERIAL/LABOR/CC ANNEX</v>
      </c>
    </row>
    <row r="413" spans="1:10" x14ac:dyDescent="0.3">
      <c r="A413" t="str">
        <f>""</f>
        <v/>
      </c>
      <c r="G413" t="str">
        <f>"19329"</f>
        <v>19329</v>
      </c>
      <c r="H413" t="str">
        <f>"MATERIALS/LABOR/ELGIN ANNEX"</f>
        <v>MATERIALS/LABOR/ELGIN ANNEX</v>
      </c>
      <c r="I413" s="2">
        <v>600</v>
      </c>
      <c r="J413" t="str">
        <f>"MATERIALS/LABOR"</f>
        <v>MATERIALS/LABOR</v>
      </c>
    </row>
    <row r="414" spans="1:10" x14ac:dyDescent="0.3">
      <c r="A414" t="str">
        <f>"005059"</f>
        <v>005059</v>
      </c>
      <c r="B414" t="s">
        <v>117</v>
      </c>
      <c r="C414">
        <v>71671</v>
      </c>
      <c r="D414" s="2">
        <v>275</v>
      </c>
      <c r="E414" s="1">
        <v>42940</v>
      </c>
      <c r="F414" t="s">
        <v>11</v>
      </c>
      <c r="G414" t="str">
        <f>"249601"</f>
        <v>249601</v>
      </c>
      <c r="H414" t="str">
        <f>"INV 249601/UNIT 81"</f>
        <v>INV 249601/UNIT 81</v>
      </c>
      <c r="I414" s="2">
        <v>75</v>
      </c>
      <c r="J414" t="str">
        <f>"INV 249601/UNIT 81"</f>
        <v>INV 249601/UNIT 81</v>
      </c>
    </row>
    <row r="415" spans="1:10" x14ac:dyDescent="0.3">
      <c r="A415" t="str">
        <f>""</f>
        <v/>
      </c>
      <c r="G415" t="str">
        <f>"289227"</f>
        <v>289227</v>
      </c>
      <c r="H415" t="str">
        <f>"INV 289227/UNIT 0417"</f>
        <v>INV 289227/UNIT 0417</v>
      </c>
      <c r="I415" s="2">
        <v>200</v>
      </c>
      <c r="J415" t="str">
        <f>"INV 289227/UNIT 0417"</f>
        <v>INV 289227/UNIT 0417</v>
      </c>
    </row>
    <row r="416" spans="1:10" x14ac:dyDescent="0.3">
      <c r="A416" t="str">
        <f>"001894"</f>
        <v>001894</v>
      </c>
      <c r="B416" t="s">
        <v>118</v>
      </c>
      <c r="C416">
        <v>71672</v>
      </c>
      <c r="D416" s="2">
        <v>766.44</v>
      </c>
      <c r="E416" s="1">
        <v>42940</v>
      </c>
      <c r="F416" t="s">
        <v>11</v>
      </c>
      <c r="G416" t="str">
        <f>"P22058/P22231"</f>
        <v>P22058/P22231</v>
      </c>
      <c r="H416" t="str">
        <f>"PARTS/PCT#4"</f>
        <v>PARTS/PCT#4</v>
      </c>
      <c r="I416" s="2">
        <v>766.44</v>
      </c>
      <c r="J416" t="str">
        <f>"PARTS/PCT#4"</f>
        <v>PARTS/PCT#4</v>
      </c>
    </row>
    <row r="417" spans="1:11" x14ac:dyDescent="0.3">
      <c r="A417" t="str">
        <f>"T7302"</f>
        <v>T7302</v>
      </c>
      <c r="B417" t="s">
        <v>119</v>
      </c>
      <c r="C417">
        <v>71673</v>
      </c>
      <c r="D417" s="2">
        <v>33.9</v>
      </c>
      <c r="E417" s="1">
        <v>42940</v>
      </c>
      <c r="F417" t="s">
        <v>11</v>
      </c>
      <c r="G417" t="str">
        <f>"50759"</f>
        <v>50759</v>
      </c>
      <c r="H417" t="str">
        <f>"ACCT#1839/RABIES W/TECH EXAM"</f>
        <v>ACCT#1839/RABIES W/TECH EXAM</v>
      </c>
      <c r="I417" s="2">
        <v>16.95</v>
      </c>
      <c r="J417" t="str">
        <f>"ACCT#1839/RABIES W/TECH EXAM"</f>
        <v>ACCT#1839/RABIES W/TECH EXAM</v>
      </c>
    </row>
    <row r="418" spans="1:11" x14ac:dyDescent="0.3">
      <c r="A418" t="str">
        <f>""</f>
        <v/>
      </c>
      <c r="G418" t="str">
        <f>"52101"</f>
        <v>52101</v>
      </c>
      <c r="H418" t="str">
        <f>"ACCT#1839/RABIES-SPARTICUS"</f>
        <v>ACCT#1839/RABIES-SPARTICUS</v>
      </c>
      <c r="I418" s="2">
        <v>16.95</v>
      </c>
      <c r="J418" t="str">
        <f>"ACCT#1839/RABIES-SPARTICUS"</f>
        <v>ACCT#1839/RABIES-SPARTICUS</v>
      </c>
    </row>
    <row r="419" spans="1:11" x14ac:dyDescent="0.3">
      <c r="A419" t="str">
        <f>"T11708"</f>
        <v>T11708</v>
      </c>
      <c r="B419" t="s">
        <v>120</v>
      </c>
      <c r="C419">
        <v>71674</v>
      </c>
      <c r="D419" s="2">
        <v>200</v>
      </c>
      <c r="E419" s="1">
        <v>42940</v>
      </c>
      <c r="F419" t="s">
        <v>11</v>
      </c>
      <c r="G419" t="str">
        <f>"201707143647"</f>
        <v>201707143647</v>
      </c>
      <c r="H419" t="str">
        <f>"CLEANING-6/2 6/16 6/30"</f>
        <v>CLEANING-6/2 6/16 6/30</v>
      </c>
      <c r="I419" s="2">
        <v>200</v>
      </c>
      <c r="J419" t="str">
        <f>"CLEANING-6/2 6/16 6/30"</f>
        <v>CLEANING-6/2 6/16 6/30</v>
      </c>
    </row>
    <row r="420" spans="1:11" x14ac:dyDescent="0.3">
      <c r="A420" t="str">
        <f>"T9280"</f>
        <v>T9280</v>
      </c>
      <c r="B420" t="s">
        <v>121</v>
      </c>
      <c r="C420">
        <v>71411</v>
      </c>
      <c r="D420" s="2">
        <v>406.58</v>
      </c>
      <c r="E420" s="1">
        <v>42926</v>
      </c>
      <c r="F420" t="s">
        <v>11</v>
      </c>
      <c r="G420" t="str">
        <f>"291021"</f>
        <v>291021</v>
      </c>
      <c r="H420" t="str">
        <f>"CUST#BASTX/ORD#315146"</f>
        <v>CUST#BASTX/ORD#315146</v>
      </c>
      <c r="I420" s="2">
        <v>406.58</v>
      </c>
      <c r="J420" t="str">
        <f>"CUST#BASTX/ORD#315146"</f>
        <v>CUST#BASTX/ORD#315146</v>
      </c>
    </row>
    <row r="421" spans="1:11" x14ac:dyDescent="0.3">
      <c r="A421" t="str">
        <f>"T7935"</f>
        <v>T7935</v>
      </c>
      <c r="B421" t="s">
        <v>122</v>
      </c>
      <c r="C421">
        <v>71676</v>
      </c>
      <c r="D421" s="2">
        <v>140.32</v>
      </c>
      <c r="E421" s="1">
        <v>42940</v>
      </c>
      <c r="F421" t="s">
        <v>11</v>
      </c>
      <c r="G421" t="str">
        <f>"31512381-49"</f>
        <v>31512381-49</v>
      </c>
      <c r="H421" t="str">
        <f>"COPIER LEASE/PURCHASING"</f>
        <v>COPIER LEASE/PURCHASING</v>
      </c>
      <c r="I421" s="2">
        <v>140.32</v>
      </c>
      <c r="J421" t="str">
        <f>"COPIER LEASE/PURCHASING"</f>
        <v>COPIER LEASE/PURCHASING</v>
      </c>
    </row>
    <row r="422" spans="1:11" x14ac:dyDescent="0.3">
      <c r="A422" t="str">
        <f>"002352"</f>
        <v>002352</v>
      </c>
      <c r="B422" t="s">
        <v>123</v>
      </c>
      <c r="C422">
        <v>71412</v>
      </c>
      <c r="D422" s="2">
        <v>535</v>
      </c>
      <c r="E422" s="1">
        <v>42926</v>
      </c>
      <c r="F422" t="s">
        <v>11</v>
      </c>
      <c r="G422" t="s">
        <v>124</v>
      </c>
      <c r="H422" t="s">
        <v>125</v>
      </c>
      <c r="I422" s="2" t="str">
        <f>"SERVICE-5/1/2017"</f>
        <v>SERVICE-5/1/2017</v>
      </c>
      <c r="J422" t="str">
        <f>"995-4110"</f>
        <v>995-4110</v>
      </c>
      <c r="K422">
        <v>70</v>
      </c>
    </row>
    <row r="423" spans="1:11" x14ac:dyDescent="0.3">
      <c r="A423" t="str">
        <f>""</f>
        <v/>
      </c>
      <c r="G423" t="str">
        <f>"10346"</f>
        <v>10346</v>
      </c>
      <c r="H423" t="str">
        <f>"SERVICE-4/19/2017"</f>
        <v>SERVICE-4/19/2017</v>
      </c>
      <c r="I423" s="2">
        <v>70</v>
      </c>
      <c r="J423" t="str">
        <f>"SERVICE-4/19/2017"</f>
        <v>SERVICE-4/19/2017</v>
      </c>
    </row>
    <row r="424" spans="1:11" x14ac:dyDescent="0.3">
      <c r="A424" t="str">
        <f>""</f>
        <v/>
      </c>
      <c r="G424" t="s">
        <v>48</v>
      </c>
      <c r="H424" t="s">
        <v>49</v>
      </c>
      <c r="I424" s="2" t="str">
        <f>"SERVICE-4/28/17"</f>
        <v>SERVICE-4/28/17</v>
      </c>
      <c r="J424" t="str">
        <f>"995-4110"</f>
        <v>995-4110</v>
      </c>
      <c r="K424">
        <v>75</v>
      </c>
    </row>
    <row r="425" spans="1:11" x14ac:dyDescent="0.3">
      <c r="A425" t="str">
        <f>""</f>
        <v/>
      </c>
      <c r="G425" t="str">
        <f>"12588"</f>
        <v>12588</v>
      </c>
      <c r="H425" t="str">
        <f>"SERVICE-5/2/2017"</f>
        <v>SERVICE-5/2/2017</v>
      </c>
      <c r="I425" s="2">
        <v>160</v>
      </c>
      <c r="J425" t="str">
        <f>"SERVICE-5/2/2017"</f>
        <v>SERVICE-5/2/2017</v>
      </c>
    </row>
    <row r="426" spans="1:11" x14ac:dyDescent="0.3">
      <c r="A426" t="str">
        <f>""</f>
        <v/>
      </c>
      <c r="G426" t="str">
        <f>"12666"</f>
        <v>12666</v>
      </c>
      <c r="H426" t="str">
        <f>"SERVICE-4/19/2017"</f>
        <v>SERVICE-4/19/2017</v>
      </c>
      <c r="I426" s="2">
        <v>80</v>
      </c>
      <c r="J426" t="str">
        <f>"SERVICE-4/19/2017"</f>
        <v>SERVICE-4/19/2017</v>
      </c>
    </row>
    <row r="427" spans="1:11" x14ac:dyDescent="0.3">
      <c r="A427" t="str">
        <f>""</f>
        <v/>
      </c>
      <c r="G427" t="str">
        <f>"12697"</f>
        <v>12697</v>
      </c>
      <c r="H427" t="str">
        <f>"SERVICE-5/3/2017"</f>
        <v>SERVICE-5/3/2017</v>
      </c>
      <c r="I427" s="2">
        <v>80</v>
      </c>
      <c r="J427" t="str">
        <f>"SERVICE-5/3/2017"</f>
        <v>SERVICE-5/3/2017</v>
      </c>
    </row>
    <row r="428" spans="1:11" x14ac:dyDescent="0.3">
      <c r="A428" t="str">
        <f>"005148"</f>
        <v>005148</v>
      </c>
      <c r="B428" t="s">
        <v>126</v>
      </c>
      <c r="C428">
        <v>71677</v>
      </c>
      <c r="D428" s="2">
        <v>54.12</v>
      </c>
      <c r="E428" s="1">
        <v>42940</v>
      </c>
      <c r="F428" t="s">
        <v>11</v>
      </c>
      <c r="G428" t="str">
        <f>"1173"</f>
        <v>1173</v>
      </c>
      <c r="H428" t="str">
        <f>"MOUNT &amp; DISMOUNT-PCT#2"</f>
        <v>MOUNT &amp; DISMOUNT-PCT#2</v>
      </c>
      <c r="I428" s="2">
        <v>54.12</v>
      </c>
      <c r="J428" t="str">
        <f>"MOUNT &amp; DISMOUNT-PCT#2"</f>
        <v>MOUNT &amp; DISMOUNT-PCT#2</v>
      </c>
    </row>
    <row r="429" spans="1:11" x14ac:dyDescent="0.3">
      <c r="A429" t="str">
        <f>"001992"</f>
        <v>001992</v>
      </c>
      <c r="B429" t="s">
        <v>127</v>
      </c>
      <c r="C429">
        <v>71678</v>
      </c>
      <c r="D429" s="2">
        <v>140</v>
      </c>
      <c r="E429" s="1">
        <v>42940</v>
      </c>
      <c r="F429" t="s">
        <v>11</v>
      </c>
      <c r="G429" t="str">
        <f>"PER DIEM-D.WOFFORD"</f>
        <v>PER DIEM-D.WOFFORD</v>
      </c>
      <c r="H429" t="str">
        <f>"PER DIEM"</f>
        <v>PER DIEM</v>
      </c>
      <c r="I429" s="2">
        <v>140</v>
      </c>
      <c r="J429" t="str">
        <f>"PER DIEM"</f>
        <v>PER DIEM</v>
      </c>
    </row>
    <row r="430" spans="1:11" x14ac:dyDescent="0.3">
      <c r="A430" t="str">
        <f>"005092"</f>
        <v>005092</v>
      </c>
      <c r="B430" t="s">
        <v>128</v>
      </c>
      <c r="C430">
        <v>71413</v>
      </c>
      <c r="D430" s="2">
        <v>5371.81</v>
      </c>
      <c r="E430" s="1">
        <v>42926</v>
      </c>
      <c r="F430" t="s">
        <v>11</v>
      </c>
      <c r="G430" t="str">
        <f>"INV375171"</f>
        <v>INV375171</v>
      </c>
      <c r="H430" t="str">
        <f>"Inv# INV375171"</f>
        <v>Inv# INV375171</v>
      </c>
      <c r="I430" s="2">
        <v>5371.81</v>
      </c>
      <c r="J430" t="str">
        <f>"Monitors"</f>
        <v>Monitors</v>
      </c>
    </row>
    <row r="431" spans="1:11" x14ac:dyDescent="0.3">
      <c r="A431" t="str">
        <f>""</f>
        <v/>
      </c>
      <c r="G431" t="str">
        <f>""</f>
        <v/>
      </c>
      <c r="H431" t="str">
        <f>""</f>
        <v/>
      </c>
      <c r="J431" t="str">
        <f>"Shipping"</f>
        <v>Shipping</v>
      </c>
    </row>
    <row r="432" spans="1:11" x14ac:dyDescent="0.3">
      <c r="A432" t="str">
        <f>"BROOKS"</f>
        <v>BROOKS</v>
      </c>
      <c r="B432" t="s">
        <v>129</v>
      </c>
      <c r="C432">
        <v>71679</v>
      </c>
      <c r="D432" s="2">
        <v>100</v>
      </c>
      <c r="E432" s="1">
        <v>42940</v>
      </c>
      <c r="F432" t="s">
        <v>11</v>
      </c>
      <c r="G432" t="str">
        <f>"201707123603"</f>
        <v>201707123603</v>
      </c>
      <c r="H432" t="str">
        <f>"LEGAL SVCS-JUNE 2017"</f>
        <v>LEGAL SVCS-JUNE 2017</v>
      </c>
      <c r="I432" s="2">
        <v>100</v>
      </c>
      <c r="J432" t="str">
        <f>"LEGAL SVCS-JUNE 2017"</f>
        <v>LEGAL SVCS-JUNE 2017</v>
      </c>
    </row>
    <row r="433" spans="1:10" x14ac:dyDescent="0.3">
      <c r="A433" t="str">
        <f>"003335"</f>
        <v>003335</v>
      </c>
      <c r="B433" t="s">
        <v>130</v>
      </c>
      <c r="C433">
        <v>71414</v>
      </c>
      <c r="D433" s="2">
        <v>1345</v>
      </c>
      <c r="E433" s="1">
        <v>42926</v>
      </c>
      <c r="F433" t="s">
        <v>11</v>
      </c>
      <c r="G433" t="str">
        <f>"201707063383"</f>
        <v>201707063383</v>
      </c>
      <c r="H433" t="str">
        <f>"16-17819"</f>
        <v>16-17819</v>
      </c>
      <c r="I433" s="2">
        <v>535</v>
      </c>
      <c r="J433" t="str">
        <f>"16-17819"</f>
        <v>16-17819</v>
      </c>
    </row>
    <row r="434" spans="1:10" x14ac:dyDescent="0.3">
      <c r="A434" t="str">
        <f>""</f>
        <v/>
      </c>
      <c r="G434" t="str">
        <f>"201707063384"</f>
        <v>201707063384</v>
      </c>
      <c r="H434" t="str">
        <f>"16-18043"</f>
        <v>16-18043</v>
      </c>
      <c r="I434" s="2">
        <v>165</v>
      </c>
      <c r="J434" t="str">
        <f>"16-18043"</f>
        <v>16-18043</v>
      </c>
    </row>
    <row r="435" spans="1:10" x14ac:dyDescent="0.3">
      <c r="A435" t="str">
        <f>""</f>
        <v/>
      </c>
      <c r="G435" t="str">
        <f>"201707063385"</f>
        <v>201707063385</v>
      </c>
      <c r="H435" t="str">
        <f>"17-18273"</f>
        <v>17-18273</v>
      </c>
      <c r="I435" s="2">
        <v>430</v>
      </c>
      <c r="J435" t="str">
        <f>"17-18273"</f>
        <v>17-18273</v>
      </c>
    </row>
    <row r="436" spans="1:10" x14ac:dyDescent="0.3">
      <c r="A436" t="str">
        <f>""</f>
        <v/>
      </c>
      <c r="G436" t="str">
        <f>"201707063386"</f>
        <v>201707063386</v>
      </c>
      <c r="H436" t="str">
        <f>"13-15747"</f>
        <v>13-15747</v>
      </c>
      <c r="I436" s="2">
        <v>100</v>
      </c>
      <c r="J436" t="str">
        <f>"13-15747"</f>
        <v>13-15747</v>
      </c>
    </row>
    <row r="437" spans="1:10" x14ac:dyDescent="0.3">
      <c r="A437" t="str">
        <f>""</f>
        <v/>
      </c>
      <c r="G437" t="str">
        <f>"201707063387"</f>
        <v>201707063387</v>
      </c>
      <c r="H437" t="str">
        <f>"07-12260"</f>
        <v>07-12260</v>
      </c>
      <c r="I437" s="2">
        <v>115</v>
      </c>
      <c r="J437" t="str">
        <f>"07-12260"</f>
        <v>07-12260</v>
      </c>
    </row>
    <row r="438" spans="1:10" x14ac:dyDescent="0.3">
      <c r="A438" t="str">
        <f>"004770"</f>
        <v>004770</v>
      </c>
      <c r="B438" t="s">
        <v>131</v>
      </c>
      <c r="C438">
        <v>71415</v>
      </c>
      <c r="D438" s="2">
        <v>17625</v>
      </c>
      <c r="E438" s="1">
        <v>42926</v>
      </c>
      <c r="F438" t="s">
        <v>11</v>
      </c>
      <c r="G438" t="str">
        <f>"201707063371"</f>
        <v>201707063371</v>
      </c>
      <c r="H438" t="str">
        <f>"15934"</f>
        <v>15934</v>
      </c>
      <c r="I438" s="2">
        <v>17625</v>
      </c>
      <c r="J438" t="str">
        <f>"15934"</f>
        <v>15934</v>
      </c>
    </row>
    <row r="439" spans="1:10" x14ac:dyDescent="0.3">
      <c r="A439" t="str">
        <f>"DELL"</f>
        <v>DELL</v>
      </c>
      <c r="B439" t="s">
        <v>132</v>
      </c>
      <c r="C439">
        <v>71416</v>
      </c>
      <c r="D439" s="2">
        <v>6352.11</v>
      </c>
      <c r="E439" s="1">
        <v>42926</v>
      </c>
      <c r="F439" t="s">
        <v>11</v>
      </c>
      <c r="G439" t="str">
        <f>"10170138831"</f>
        <v>10170138831</v>
      </c>
      <c r="H439" t="str">
        <f>"CUST#7792907/ORD#221934010"</f>
        <v>CUST#7792907/ORD#221934010</v>
      </c>
      <c r="I439" s="2">
        <v>131.38</v>
      </c>
      <c r="J439" t="str">
        <f>"CUST#7792907/ORD#221934010"</f>
        <v>CUST#7792907/ORD#221934010</v>
      </c>
    </row>
    <row r="440" spans="1:10" x14ac:dyDescent="0.3">
      <c r="A440" t="str">
        <f>""</f>
        <v/>
      </c>
      <c r="G440" t="str">
        <f>"10170138970"</f>
        <v>10170138970</v>
      </c>
      <c r="H440" t="str">
        <f>"CUST#7792907/ORD#222899485"</f>
        <v>CUST#7792907/ORD#222899485</v>
      </c>
      <c r="I440" s="2">
        <v>44.98</v>
      </c>
      <c r="J440" t="str">
        <f>"CUST#7792907/ORD#222899485"</f>
        <v>CUST#7792907/ORD#222899485</v>
      </c>
    </row>
    <row r="441" spans="1:10" x14ac:dyDescent="0.3">
      <c r="A441" t="str">
        <f>""</f>
        <v/>
      </c>
      <c r="G441" t="str">
        <f>"10173143702"</f>
        <v>10173143702</v>
      </c>
      <c r="H441" t="str">
        <f>"CUST#7792907/ORD#228779749"</f>
        <v>CUST#7792907/ORD#228779749</v>
      </c>
      <c r="I441" s="2">
        <v>16.89</v>
      </c>
      <c r="J441" t="str">
        <f>"CUST#7792907/ORD#228779749"</f>
        <v>CUST#7792907/ORD#228779749</v>
      </c>
    </row>
    <row r="442" spans="1:10" x14ac:dyDescent="0.3">
      <c r="A442" t="str">
        <f>""</f>
        <v/>
      </c>
      <c r="G442" t="str">
        <f>"10173982327"</f>
        <v>10173982327</v>
      </c>
      <c r="H442" t="str">
        <f>"Quote# 3000014634563.1"</f>
        <v>Quote# 3000014634563.1</v>
      </c>
      <c r="I442" s="2">
        <v>524.99</v>
      </c>
      <c r="J442" t="str">
        <f>"QLogic 57810 Dual Po"</f>
        <v>QLogic 57810 Dual Po</v>
      </c>
    </row>
    <row r="443" spans="1:10" x14ac:dyDescent="0.3">
      <c r="A443" t="str">
        <f>""</f>
        <v/>
      </c>
      <c r="G443" t="str">
        <f>"10174270730"</f>
        <v>10174270730</v>
      </c>
      <c r="H443" t="str">
        <f>"CUST#7792907/ORD#230242983"</f>
        <v>CUST#7792907/ORD#230242983</v>
      </c>
      <c r="I443" s="2">
        <v>89.99</v>
      </c>
      <c r="J443" t="str">
        <f>"CUST#7792907/ORD#230242983"</f>
        <v>CUST#7792907/ORD#230242983</v>
      </c>
    </row>
    <row r="444" spans="1:10" x14ac:dyDescent="0.3">
      <c r="A444" t="str">
        <f>""</f>
        <v/>
      </c>
      <c r="G444" t="str">
        <f>"10174527407"</f>
        <v>10174527407</v>
      </c>
      <c r="H444" t="str">
        <f>"Hard Drives"</f>
        <v>Hard Drives</v>
      </c>
      <c r="I444" s="2">
        <v>5543.88</v>
      </c>
      <c r="J444" t="str">
        <f>"Hard Drives"</f>
        <v>Hard Drives</v>
      </c>
    </row>
    <row r="445" spans="1:10" x14ac:dyDescent="0.3">
      <c r="A445" t="str">
        <f>"004270"</f>
        <v>004270</v>
      </c>
      <c r="B445" t="s">
        <v>133</v>
      </c>
      <c r="C445">
        <v>71417</v>
      </c>
      <c r="D445" s="2">
        <v>963.27</v>
      </c>
      <c r="E445" s="1">
        <v>42926</v>
      </c>
      <c r="F445" t="s">
        <v>11</v>
      </c>
      <c r="G445" t="str">
        <f>"10171653570"</f>
        <v>10171653570</v>
      </c>
      <c r="H445" t="str">
        <f>"QUOTE 1025787501283"</f>
        <v>QUOTE 1025787501283</v>
      </c>
      <c r="I445" s="2">
        <v>963.27</v>
      </c>
      <c r="J445" t="str">
        <f>"QUOTE 1025787501283"</f>
        <v>QUOTE 1025787501283</v>
      </c>
    </row>
    <row r="446" spans="1:10" x14ac:dyDescent="0.3">
      <c r="A446" t="str">
        <f>"DENTRU"</f>
        <v>DENTRU</v>
      </c>
      <c r="B446" t="s">
        <v>134</v>
      </c>
      <c r="C446">
        <v>71681</v>
      </c>
      <c r="D446" s="2">
        <v>1715</v>
      </c>
      <c r="E446" s="1">
        <v>42940</v>
      </c>
      <c r="F446" t="s">
        <v>11</v>
      </c>
      <c r="G446" t="str">
        <f>"BATX014765"</f>
        <v>BATX014765</v>
      </c>
      <c r="H446" t="str">
        <f>"JUNE SERVICE"</f>
        <v>JUNE SERVICE</v>
      </c>
      <c r="I446" s="2">
        <v>1715</v>
      </c>
      <c r="J446" t="str">
        <f>"JUNE SERVICE"</f>
        <v>JUNE SERVICE</v>
      </c>
    </row>
    <row r="447" spans="1:10" x14ac:dyDescent="0.3">
      <c r="A447" t="str">
        <f>"T5686"</f>
        <v>T5686</v>
      </c>
      <c r="B447" t="s">
        <v>135</v>
      </c>
      <c r="C447">
        <v>71418</v>
      </c>
      <c r="D447" s="2">
        <v>12</v>
      </c>
      <c r="E447" s="1">
        <v>42926</v>
      </c>
      <c r="F447" t="s">
        <v>11</v>
      </c>
      <c r="G447" t="str">
        <f>"23569"</f>
        <v>23569</v>
      </c>
      <c r="H447" t="str">
        <f>"TOOL SHED KEYS/GENERAL SVCS"</f>
        <v>TOOL SHED KEYS/GENERAL SVCS</v>
      </c>
      <c r="I447" s="2">
        <v>12</v>
      </c>
      <c r="J447" t="str">
        <f>"TOOL SHED KEYS/GENERAL SVCS"</f>
        <v>TOOL SHED KEYS/GENERAL SVCS</v>
      </c>
    </row>
    <row r="448" spans="1:10" x14ac:dyDescent="0.3">
      <c r="A448" t="str">
        <f>"000573"</f>
        <v>000573</v>
      </c>
      <c r="B448" t="s">
        <v>136</v>
      </c>
      <c r="C448">
        <v>71419</v>
      </c>
      <c r="D448" s="2">
        <v>14.44</v>
      </c>
      <c r="E448" s="1">
        <v>42926</v>
      </c>
      <c r="F448" t="s">
        <v>11</v>
      </c>
      <c r="G448" t="str">
        <f>"85255"</f>
        <v>85255</v>
      </c>
      <c r="H448" t="str">
        <f>"#20037/WELD ON HOOKS/PCT#1"</f>
        <v>#20037/WELD ON HOOKS/PCT#1</v>
      </c>
      <c r="I448" s="2">
        <v>14.44</v>
      </c>
      <c r="J448" t="str">
        <f>"#20037/WELD ON HOOKS/PCT#1"</f>
        <v>#20037/WELD ON HOOKS/PCT#1</v>
      </c>
    </row>
    <row r="449" spans="1:11" x14ac:dyDescent="0.3">
      <c r="A449" t="str">
        <f>"000573"</f>
        <v>000573</v>
      </c>
      <c r="B449" t="s">
        <v>136</v>
      </c>
      <c r="C449">
        <v>71682</v>
      </c>
      <c r="D449" s="2">
        <v>240</v>
      </c>
      <c r="E449" s="1">
        <v>42940</v>
      </c>
      <c r="F449" t="s">
        <v>11</v>
      </c>
      <c r="G449" t="str">
        <f>"84662"</f>
        <v>84662</v>
      </c>
      <c r="H449" t="str">
        <f>"MATERIAL/PCT#4/SO#19523"</f>
        <v>MATERIAL/PCT#4/SO#19523</v>
      </c>
      <c r="I449" s="2">
        <v>240</v>
      </c>
      <c r="J449" t="str">
        <f>"MATERIAL/PCT#4/SO#19523"</f>
        <v>MATERIAL/PCT#4/SO#19523</v>
      </c>
    </row>
    <row r="450" spans="1:11" x14ac:dyDescent="0.3">
      <c r="A450" t="str">
        <f>"004275"</f>
        <v>004275</v>
      </c>
      <c r="B450" t="s">
        <v>137</v>
      </c>
      <c r="C450">
        <v>71683</v>
      </c>
      <c r="D450" s="2">
        <v>3.55</v>
      </c>
      <c r="E450" s="1">
        <v>42940</v>
      </c>
      <c r="F450" t="s">
        <v>11</v>
      </c>
      <c r="G450" t="s">
        <v>124</v>
      </c>
      <c r="H450" t="s">
        <v>138</v>
      </c>
      <c r="I450" s="2" t="str">
        <f>"RESTITUTION-R WRIGHT"</f>
        <v>RESTITUTION-R WRIGHT</v>
      </c>
      <c r="J450" t="str">
        <f>"210-0000"</f>
        <v>210-0000</v>
      </c>
      <c r="K450">
        <v>1.74</v>
      </c>
    </row>
    <row r="451" spans="1:11" x14ac:dyDescent="0.3">
      <c r="A451" t="str">
        <f>""</f>
        <v/>
      </c>
      <c r="G451" t="s">
        <v>124</v>
      </c>
      <c r="H451" t="s">
        <v>139</v>
      </c>
      <c r="I451" s="2" t="str">
        <f>"RESTITUTION-R. WRIGHT"</f>
        <v>RESTITUTION-R. WRIGHT</v>
      </c>
      <c r="J451" t="str">
        <f>"210-0000"</f>
        <v>210-0000</v>
      </c>
      <c r="K451">
        <v>1.81</v>
      </c>
    </row>
    <row r="452" spans="1:11" x14ac:dyDescent="0.3">
      <c r="A452" t="str">
        <f>"004924"</f>
        <v>004924</v>
      </c>
      <c r="B452" t="s">
        <v>140</v>
      </c>
      <c r="C452">
        <v>71881</v>
      </c>
      <c r="D452" s="2">
        <v>596.73</v>
      </c>
      <c r="E452" s="1">
        <v>42941</v>
      </c>
      <c r="F452" t="s">
        <v>11</v>
      </c>
      <c r="G452" t="str">
        <f>"201707253847"</f>
        <v>201707253847</v>
      </c>
      <c r="H452" t="str">
        <f>"ACCT# 2921 - AUGUST 2017"</f>
        <v>ACCT# 2921 - AUGUST 2017</v>
      </c>
      <c r="I452" s="2">
        <v>374.7</v>
      </c>
      <c r="J452" t="str">
        <f>"ACCT# 2921 - AUGUST 2017"</f>
        <v>ACCT# 2921 - AUGUST 2017</v>
      </c>
    </row>
    <row r="453" spans="1:11" x14ac:dyDescent="0.3">
      <c r="A453" t="str">
        <f>""</f>
        <v/>
      </c>
      <c r="G453" t="str">
        <f>"201707253848"</f>
        <v>201707253848</v>
      </c>
      <c r="H453" t="str">
        <f>"ACCT # 2878 - AUGUST 2017"</f>
        <v>ACCT # 2878 - AUGUST 2017</v>
      </c>
      <c r="I453" s="2">
        <v>187.35</v>
      </c>
      <c r="J453" t="str">
        <f>"ACCT # 2878 - AUGUST 2017"</f>
        <v>ACCT # 2878 - AUGUST 2017</v>
      </c>
    </row>
    <row r="454" spans="1:11" x14ac:dyDescent="0.3">
      <c r="A454" t="str">
        <f>""</f>
        <v/>
      </c>
      <c r="G454" t="str">
        <f>"201707253849"</f>
        <v>201707253849</v>
      </c>
      <c r="H454" t="str">
        <f>"ACCT # 2922 - AUGUST 2017"</f>
        <v>ACCT # 2922 - AUGUST 2017</v>
      </c>
      <c r="I454" s="2">
        <v>34.68</v>
      </c>
      <c r="J454" t="str">
        <f>"ACCT # 2922 - AUGUST 2017"</f>
        <v>ACCT # 2922 - AUGUST 2017</v>
      </c>
    </row>
    <row r="455" spans="1:11" x14ac:dyDescent="0.3">
      <c r="A455" t="str">
        <f>"T13918"</f>
        <v>T13918</v>
      </c>
      <c r="B455" t="s">
        <v>141</v>
      </c>
      <c r="C455">
        <v>71420</v>
      </c>
      <c r="D455" s="2">
        <v>34.5</v>
      </c>
      <c r="E455" s="1">
        <v>42926</v>
      </c>
      <c r="F455" t="s">
        <v>11</v>
      </c>
      <c r="G455" t="str">
        <f>"29926"</f>
        <v>29926</v>
      </c>
      <c r="H455" t="str">
        <f>"ROCKER SWITCH&amp;BRACKET/PCT#3"</f>
        <v>ROCKER SWITCH&amp;BRACKET/PCT#3</v>
      </c>
      <c r="I455" s="2">
        <v>34.5</v>
      </c>
      <c r="J455" t="str">
        <f>"ROCKER SWITCH&amp;BRACKET/PCT#3"</f>
        <v>ROCKER SWITCH&amp;BRACKET/PCT#3</v>
      </c>
    </row>
    <row r="456" spans="1:11" x14ac:dyDescent="0.3">
      <c r="A456" t="str">
        <f>"T9323"</f>
        <v>T9323</v>
      </c>
      <c r="B456" t="s">
        <v>142</v>
      </c>
      <c r="C456">
        <v>71421</v>
      </c>
      <c r="D456" s="2">
        <v>4195</v>
      </c>
      <c r="E456" s="1">
        <v>42926</v>
      </c>
      <c r="F456" t="s">
        <v>11</v>
      </c>
      <c r="G456" t="str">
        <f>"201706293294"</f>
        <v>201706293294</v>
      </c>
      <c r="H456" t="str">
        <f>"14925"</f>
        <v>14925</v>
      </c>
      <c r="I456" s="2">
        <v>400</v>
      </c>
      <c r="J456" t="str">
        <f>"14925"</f>
        <v>14925</v>
      </c>
    </row>
    <row r="457" spans="1:11" x14ac:dyDescent="0.3">
      <c r="A457" t="str">
        <f>""</f>
        <v/>
      </c>
      <c r="G457" t="str">
        <f>"201706293295"</f>
        <v>201706293295</v>
      </c>
      <c r="H457" t="str">
        <f>"13297B/13297C-6/21/2017"</f>
        <v>13297B/13297C-6/21/2017</v>
      </c>
      <c r="I457" s="2">
        <v>1000</v>
      </c>
      <c r="J457" t="str">
        <f>"13297B/13297C-6/21/2017"</f>
        <v>13297B/13297C-6/21/2017</v>
      </c>
    </row>
    <row r="458" spans="1:11" x14ac:dyDescent="0.3">
      <c r="A458" t="str">
        <f>""</f>
        <v/>
      </c>
      <c r="G458" t="str">
        <f>"201706293304"</f>
        <v>201706293304</v>
      </c>
      <c r="H458" t="str">
        <f>"15995"</f>
        <v>15995</v>
      </c>
      <c r="I458" s="2">
        <v>400</v>
      </c>
      <c r="J458" t="str">
        <f>"15995"</f>
        <v>15995</v>
      </c>
    </row>
    <row r="459" spans="1:11" x14ac:dyDescent="0.3">
      <c r="A459" t="str">
        <f>""</f>
        <v/>
      </c>
      <c r="G459" t="str">
        <f>"201706293305"</f>
        <v>201706293305</v>
      </c>
      <c r="H459" t="str">
        <f>"16119"</f>
        <v>16119</v>
      </c>
      <c r="I459" s="2">
        <v>400</v>
      </c>
      <c r="J459" t="str">
        <f>"16119"</f>
        <v>16119</v>
      </c>
    </row>
    <row r="460" spans="1:11" x14ac:dyDescent="0.3">
      <c r="A460" t="str">
        <f>""</f>
        <v/>
      </c>
      <c r="G460" t="str">
        <f>"201707063388"</f>
        <v>201707063388</v>
      </c>
      <c r="H460" t="str">
        <f>"20160624A"</f>
        <v>20160624A</v>
      </c>
      <c r="I460" s="2">
        <v>250</v>
      </c>
      <c r="J460" t="str">
        <f>"20160624A"</f>
        <v>20160624A</v>
      </c>
    </row>
    <row r="461" spans="1:11" x14ac:dyDescent="0.3">
      <c r="A461" t="str">
        <f>""</f>
        <v/>
      </c>
      <c r="G461" t="str">
        <f>"201707063389"</f>
        <v>201707063389</v>
      </c>
      <c r="H461" t="str">
        <f>"20170296"</f>
        <v>20170296</v>
      </c>
      <c r="I461" s="2">
        <v>100</v>
      </c>
      <c r="J461" t="str">
        <f>"20170296"</f>
        <v>20170296</v>
      </c>
    </row>
    <row r="462" spans="1:11" x14ac:dyDescent="0.3">
      <c r="A462" t="str">
        <f>""</f>
        <v/>
      </c>
      <c r="G462" t="str">
        <f>"201707063390"</f>
        <v>201707063390</v>
      </c>
      <c r="H462" t="str">
        <f>"AC-2017-0604"</f>
        <v>AC-2017-0604</v>
      </c>
      <c r="I462" s="2">
        <v>100</v>
      </c>
      <c r="J462" t="str">
        <f>"AC-2017-0604"</f>
        <v>AC-2017-0604</v>
      </c>
    </row>
    <row r="463" spans="1:11" x14ac:dyDescent="0.3">
      <c r="A463" t="str">
        <f>""</f>
        <v/>
      </c>
      <c r="G463" t="str">
        <f>"201707063391"</f>
        <v>201707063391</v>
      </c>
      <c r="H463" t="str">
        <f>"55246/20170179"</f>
        <v>55246/20170179</v>
      </c>
      <c r="I463" s="2">
        <v>375</v>
      </c>
      <c r="J463" t="str">
        <f>"55246/20170179"</f>
        <v>55246/20170179</v>
      </c>
    </row>
    <row r="464" spans="1:11" x14ac:dyDescent="0.3">
      <c r="A464" t="str">
        <f>""</f>
        <v/>
      </c>
      <c r="G464" t="str">
        <f>"201707063392"</f>
        <v>201707063392</v>
      </c>
      <c r="H464" t="str">
        <f>"54966"</f>
        <v>54966</v>
      </c>
      <c r="I464" s="2">
        <v>250</v>
      </c>
      <c r="J464" t="str">
        <f>"54966"</f>
        <v>54966</v>
      </c>
    </row>
    <row r="465" spans="1:10" x14ac:dyDescent="0.3">
      <c r="A465" t="str">
        <f>""</f>
        <v/>
      </c>
      <c r="G465" t="str">
        <f>"201707063393"</f>
        <v>201707063393</v>
      </c>
      <c r="H465" t="str">
        <f>"15-17078"</f>
        <v>15-17078</v>
      </c>
      <c r="I465" s="2">
        <v>140</v>
      </c>
      <c r="J465" t="str">
        <f>"15-17078"</f>
        <v>15-17078</v>
      </c>
    </row>
    <row r="466" spans="1:10" x14ac:dyDescent="0.3">
      <c r="A466" t="str">
        <f>""</f>
        <v/>
      </c>
      <c r="G466" t="str">
        <f>"201707063394"</f>
        <v>201707063394</v>
      </c>
      <c r="H466" t="str">
        <f>"16-17734"</f>
        <v>16-17734</v>
      </c>
      <c r="I466" s="2">
        <v>100</v>
      </c>
      <c r="J466" t="str">
        <f>"16-17734"</f>
        <v>16-17734</v>
      </c>
    </row>
    <row r="467" spans="1:10" x14ac:dyDescent="0.3">
      <c r="A467" t="str">
        <f>""</f>
        <v/>
      </c>
      <c r="G467" t="str">
        <f>"201707063395"</f>
        <v>201707063395</v>
      </c>
      <c r="H467" t="str">
        <f>"16 17716"</f>
        <v>16 17716</v>
      </c>
      <c r="I467" s="2">
        <v>220</v>
      </c>
      <c r="J467" t="str">
        <f>"16 17716"</f>
        <v>16 17716</v>
      </c>
    </row>
    <row r="468" spans="1:10" x14ac:dyDescent="0.3">
      <c r="A468" t="str">
        <f>""</f>
        <v/>
      </c>
      <c r="G468" t="str">
        <f>"201707063396"</f>
        <v>201707063396</v>
      </c>
      <c r="H468" t="str">
        <f>"17-18317"</f>
        <v>17-18317</v>
      </c>
      <c r="I468" s="2">
        <v>140</v>
      </c>
      <c r="J468" t="str">
        <f>"17-18317"</f>
        <v>17-18317</v>
      </c>
    </row>
    <row r="469" spans="1:10" x14ac:dyDescent="0.3">
      <c r="A469" t="str">
        <f>""</f>
        <v/>
      </c>
      <c r="G469" t="str">
        <f>"201707063397"</f>
        <v>201707063397</v>
      </c>
      <c r="H469" t="str">
        <f>"16-17910"</f>
        <v>16-17910</v>
      </c>
      <c r="I469" s="2">
        <v>220</v>
      </c>
      <c r="J469" t="str">
        <f>"16-17910"</f>
        <v>16-17910</v>
      </c>
    </row>
    <row r="470" spans="1:10" x14ac:dyDescent="0.3">
      <c r="A470" t="str">
        <f>""</f>
        <v/>
      </c>
      <c r="G470" t="str">
        <f>"201707063398"</f>
        <v>201707063398</v>
      </c>
      <c r="H470" t="str">
        <f>"17-18119"</f>
        <v>17-18119</v>
      </c>
      <c r="I470" s="2">
        <v>100</v>
      </c>
      <c r="J470" t="str">
        <f>"17-18119"</f>
        <v>17-18119</v>
      </c>
    </row>
    <row r="471" spans="1:10" x14ac:dyDescent="0.3">
      <c r="A471" t="str">
        <f>"T9323"</f>
        <v>T9323</v>
      </c>
      <c r="B471" t="s">
        <v>142</v>
      </c>
      <c r="C471">
        <v>71684</v>
      </c>
      <c r="D471" s="2">
        <v>1750</v>
      </c>
      <c r="E471" s="1">
        <v>42940</v>
      </c>
      <c r="F471" t="s">
        <v>11</v>
      </c>
      <c r="G471" t="str">
        <f>"201707143642"</f>
        <v>201707143642</v>
      </c>
      <c r="H471" t="str">
        <f>"403105-2M"</f>
        <v>403105-2M</v>
      </c>
      <c r="I471" s="2">
        <v>1000</v>
      </c>
      <c r="J471" t="str">
        <f>"403105-2M"</f>
        <v>403105-2M</v>
      </c>
    </row>
    <row r="472" spans="1:10" x14ac:dyDescent="0.3">
      <c r="A472" t="str">
        <f>""</f>
        <v/>
      </c>
      <c r="G472" t="str">
        <f>"201707143643"</f>
        <v>201707143643</v>
      </c>
      <c r="H472" t="str">
        <f>"15955"</f>
        <v>15955</v>
      </c>
      <c r="I472" s="2">
        <v>400</v>
      </c>
      <c r="J472" t="str">
        <f>"15955"</f>
        <v>15955</v>
      </c>
    </row>
    <row r="473" spans="1:10" x14ac:dyDescent="0.3">
      <c r="A473" t="str">
        <f>""</f>
        <v/>
      </c>
      <c r="G473" t="str">
        <f>"201707143644"</f>
        <v>201707143644</v>
      </c>
      <c r="H473" t="str">
        <f>"1JP526172"</f>
        <v>1JP526172</v>
      </c>
      <c r="I473" s="2">
        <v>100</v>
      </c>
      <c r="J473" t="str">
        <f>"1JP526172"</f>
        <v>1JP526172</v>
      </c>
    </row>
    <row r="474" spans="1:10" x14ac:dyDescent="0.3">
      <c r="A474" t="str">
        <f>""</f>
        <v/>
      </c>
      <c r="G474" t="str">
        <f>"201707183708"</f>
        <v>201707183708</v>
      </c>
      <c r="H474" t="str">
        <f>"C16-0015"</f>
        <v>C16-0015</v>
      </c>
      <c r="I474" s="2">
        <v>250</v>
      </c>
      <c r="J474" t="str">
        <f>"C16-0015"</f>
        <v>C16-0015</v>
      </c>
    </row>
    <row r="475" spans="1:10" x14ac:dyDescent="0.3">
      <c r="A475" t="str">
        <f>"ECOLAB"</f>
        <v>ECOLAB</v>
      </c>
      <c r="B475" t="s">
        <v>143</v>
      </c>
      <c r="C475">
        <v>71422</v>
      </c>
      <c r="D475" s="2">
        <v>1997.07</v>
      </c>
      <c r="E475" s="1">
        <v>42926</v>
      </c>
      <c r="F475" t="s">
        <v>11</v>
      </c>
      <c r="G475" t="str">
        <f>"5984379/5996428"</f>
        <v>5984379/5996428</v>
      </c>
      <c r="H475" t="str">
        <f>"LAUNDRY CLEANER"</f>
        <v>LAUNDRY CLEANER</v>
      </c>
      <c r="I475" s="2">
        <v>1055.31</v>
      </c>
      <c r="J475" t="str">
        <f>"INV5984379 LAUNDRY"</f>
        <v>INV5984379 LAUNDRY</v>
      </c>
    </row>
    <row r="476" spans="1:10" x14ac:dyDescent="0.3">
      <c r="A476" t="str">
        <f>""</f>
        <v/>
      </c>
      <c r="G476" t="str">
        <f>""</f>
        <v/>
      </c>
      <c r="H476" t="str">
        <f>""</f>
        <v/>
      </c>
      <c r="J476" t="str">
        <f>"INV5996428"</f>
        <v>INV5996428</v>
      </c>
    </row>
    <row r="477" spans="1:10" x14ac:dyDescent="0.3">
      <c r="A477" t="str">
        <f>""</f>
        <v/>
      </c>
      <c r="G477" t="str">
        <f>"6039279"</f>
        <v>6039279</v>
      </c>
      <c r="H477" t="str">
        <f>"CLEANERS 6039279"</f>
        <v>CLEANERS 6039279</v>
      </c>
      <c r="I477" s="2">
        <v>941.76</v>
      </c>
      <c r="J477" t="str">
        <f>"CLEANERS 6039279"</f>
        <v>CLEANERS 6039279</v>
      </c>
    </row>
    <row r="478" spans="1:10" x14ac:dyDescent="0.3">
      <c r="A478" t="str">
        <f>"ECOLAB"</f>
        <v>ECOLAB</v>
      </c>
      <c r="B478" t="s">
        <v>143</v>
      </c>
      <c r="C478">
        <v>71685</v>
      </c>
      <c r="D478" s="2">
        <v>1283.33</v>
      </c>
      <c r="E478" s="1">
        <v>42940</v>
      </c>
      <c r="F478" t="s">
        <v>11</v>
      </c>
      <c r="G478" t="str">
        <f>"6269927"</f>
        <v>6269927</v>
      </c>
      <c r="H478" t="str">
        <f>"LAUNDRY SUPPLIES"</f>
        <v>LAUNDRY SUPPLIES</v>
      </c>
      <c r="I478" s="2">
        <v>1283.33</v>
      </c>
      <c r="J478" t="str">
        <f>"LAUNDRY SUPPLIES"</f>
        <v>LAUNDRY SUPPLIES</v>
      </c>
    </row>
    <row r="479" spans="1:10" x14ac:dyDescent="0.3">
      <c r="A479" t="str">
        <f>"003710"</f>
        <v>003710</v>
      </c>
      <c r="B479" t="s">
        <v>144</v>
      </c>
      <c r="C479">
        <v>71686</v>
      </c>
      <c r="D479" s="2">
        <v>1045</v>
      </c>
      <c r="E479" s="1">
        <v>42940</v>
      </c>
      <c r="F479" t="s">
        <v>11</v>
      </c>
      <c r="G479" t="str">
        <f>"2017035"</f>
        <v>2017035</v>
      </c>
      <c r="H479" t="str">
        <f>"TRANSPORT"</f>
        <v>TRANSPORT</v>
      </c>
      <c r="I479" s="2">
        <v>350</v>
      </c>
      <c r="J479" t="str">
        <f>"TRANSPORT"</f>
        <v>TRANSPORT</v>
      </c>
    </row>
    <row r="480" spans="1:10" x14ac:dyDescent="0.3">
      <c r="A480" t="str">
        <f>""</f>
        <v/>
      </c>
      <c r="G480" t="str">
        <f>"2017052"</f>
        <v>2017052</v>
      </c>
      <c r="H480" t="str">
        <f>"TRANSPORT/CREMATORIUM FEES"</f>
        <v>TRANSPORT/CREMATORIUM FEES</v>
      </c>
      <c r="I480" s="2">
        <v>695</v>
      </c>
      <c r="J480" t="str">
        <f>"TRANSPORT/CREMATORIUM FEES"</f>
        <v>TRANSPORT/CREMATORIUM FEES</v>
      </c>
    </row>
    <row r="481" spans="1:10" x14ac:dyDescent="0.3">
      <c r="A481" t="str">
        <f>"T13343"</f>
        <v>T13343</v>
      </c>
      <c r="B481" t="s">
        <v>145</v>
      </c>
      <c r="C481">
        <v>71687</v>
      </c>
      <c r="D481" s="2">
        <v>1071.3399999999999</v>
      </c>
      <c r="E481" s="1">
        <v>42940</v>
      </c>
      <c r="F481" t="s">
        <v>11</v>
      </c>
      <c r="G481" t="str">
        <f>"10566"</f>
        <v>10566</v>
      </c>
      <c r="H481" t="str">
        <f>"INV680886 682277 686068 686601"</f>
        <v>INV680886 682277 686068 686601</v>
      </c>
      <c r="I481" s="2">
        <v>1071.3399999999999</v>
      </c>
      <c r="J481" t="str">
        <f>"INV680886 682277 686068 686601"</f>
        <v>INV680886 682277 686068 686601</v>
      </c>
    </row>
    <row r="482" spans="1:10" x14ac:dyDescent="0.3">
      <c r="A482" t="str">
        <f>"003027"</f>
        <v>003027</v>
      </c>
      <c r="B482" t="s">
        <v>146</v>
      </c>
      <c r="C482">
        <v>71423</v>
      </c>
      <c r="D482" s="2">
        <v>2266.02</v>
      </c>
      <c r="E482" s="1">
        <v>42926</v>
      </c>
      <c r="F482" t="s">
        <v>11</v>
      </c>
      <c r="G482" t="str">
        <f>"201706283285"</f>
        <v>201706283285</v>
      </c>
      <c r="H482" t="str">
        <f>"CUST ID#0888336/PCT#1"</f>
        <v>CUST ID#0888336/PCT#1</v>
      </c>
      <c r="I482" s="2">
        <v>2266.02</v>
      </c>
      <c r="J482" t="str">
        <f>"CUST ID#0888336/PCT#1"</f>
        <v>CUST ID#0888336/PCT#1</v>
      </c>
    </row>
    <row r="483" spans="1:10" x14ac:dyDescent="0.3">
      <c r="A483" t="str">
        <f>"003027"</f>
        <v>003027</v>
      </c>
      <c r="B483" t="s">
        <v>146</v>
      </c>
      <c r="C483">
        <v>71688</v>
      </c>
      <c r="D483" s="2">
        <v>7882.91</v>
      </c>
      <c r="E483" s="1">
        <v>42940</v>
      </c>
      <c r="F483" t="s">
        <v>11</v>
      </c>
      <c r="G483" t="str">
        <f>"145-08448-01"</f>
        <v>145-08448-01</v>
      </c>
      <c r="H483" t="str">
        <f>"ACCT#0888336/PCT#4"</f>
        <v>ACCT#0888336/PCT#4</v>
      </c>
      <c r="I483" s="2">
        <v>1444.19</v>
      </c>
      <c r="J483" t="str">
        <f>"ACCT#0888336/PCT#4"</f>
        <v>ACCT#0888336/PCT#4</v>
      </c>
    </row>
    <row r="484" spans="1:10" x14ac:dyDescent="0.3">
      <c r="A484" t="str">
        <f>""</f>
        <v/>
      </c>
      <c r="G484" t="str">
        <f>"201707133618"</f>
        <v>201707133618</v>
      </c>
      <c r="H484" t="str">
        <f>"CUST ID#0888336"</f>
        <v>CUST ID#0888336</v>
      </c>
      <c r="I484" s="2">
        <v>6153.72</v>
      </c>
      <c r="J484" t="str">
        <f>"CUST ID#0888336"</f>
        <v>CUST ID#0888336</v>
      </c>
    </row>
    <row r="485" spans="1:10" x14ac:dyDescent="0.3">
      <c r="A485" t="str">
        <f>""</f>
        <v/>
      </c>
      <c r="G485" t="str">
        <f>"201707143645"</f>
        <v>201707143645</v>
      </c>
      <c r="H485" t="str">
        <f>"CUST#0888336/PCT#1"</f>
        <v>CUST#0888336/PCT#1</v>
      </c>
      <c r="I485" s="2">
        <v>285</v>
      </c>
      <c r="J485" t="str">
        <f>"CUST#0888336/PCT#1"</f>
        <v>CUST#0888336/PCT#1</v>
      </c>
    </row>
    <row r="486" spans="1:10" x14ac:dyDescent="0.3">
      <c r="A486" t="str">
        <f>"000589"</f>
        <v>000589</v>
      </c>
      <c r="B486" t="s">
        <v>147</v>
      </c>
      <c r="C486">
        <v>71424</v>
      </c>
      <c r="D486" s="2">
        <v>47076.2</v>
      </c>
      <c r="E486" s="1">
        <v>42926</v>
      </c>
      <c r="F486" t="s">
        <v>11</v>
      </c>
      <c r="G486" t="str">
        <f>"9401655685"</f>
        <v>9401655685</v>
      </c>
      <c r="H486" t="str">
        <f>"CUST#912897/BOL#20218/PCT#3"</f>
        <v>CUST#912897/BOL#20218/PCT#3</v>
      </c>
      <c r="I486" s="2">
        <v>10385.67</v>
      </c>
      <c r="J486" t="str">
        <f>"CUST#912897/BOL#20218/PCT#3"</f>
        <v>CUST#912897/BOL#20218/PCT#3</v>
      </c>
    </row>
    <row r="487" spans="1:10" x14ac:dyDescent="0.3">
      <c r="A487" t="str">
        <f>""</f>
        <v/>
      </c>
      <c r="G487" t="str">
        <f>"9401659393"</f>
        <v>9401659393</v>
      </c>
      <c r="H487" t="str">
        <f>"CUST#912897/BOL#20271/PCT#3"</f>
        <v>CUST#912897/BOL#20271/PCT#3</v>
      </c>
      <c r="I487" s="2">
        <v>12269.62</v>
      </c>
      <c r="J487" t="str">
        <f>"CUST#912897/BOL#20271"</f>
        <v>CUST#912897/BOL#20271</v>
      </c>
    </row>
    <row r="488" spans="1:10" x14ac:dyDescent="0.3">
      <c r="A488" t="str">
        <f>""</f>
        <v/>
      </c>
      <c r="G488" t="str">
        <f>"9401660336"</f>
        <v>9401660336</v>
      </c>
      <c r="H488" t="str">
        <f>"CUST#912897/BOL#20276/PCT#3"</f>
        <v>CUST#912897/BOL#20276/PCT#3</v>
      </c>
      <c r="I488" s="2">
        <v>12166.09</v>
      </c>
      <c r="J488" t="str">
        <f>"CUST#912897/BOL#20276/PCT#3"</f>
        <v>CUST#912897/BOL#20276/PCT#3</v>
      </c>
    </row>
    <row r="489" spans="1:10" x14ac:dyDescent="0.3">
      <c r="A489" t="str">
        <f>""</f>
        <v/>
      </c>
      <c r="G489" t="str">
        <f>"9401660337"</f>
        <v>9401660337</v>
      </c>
      <c r="H489" t="str">
        <f>"ACCT#912897/BOL#20279/PCT#3"</f>
        <v>ACCT#912897/BOL#20279/PCT#3</v>
      </c>
      <c r="I489" s="2">
        <v>12254.82</v>
      </c>
      <c r="J489" t="str">
        <f>"ACCT#912897/BOL#20279/PCT#3"</f>
        <v>ACCT#912897/BOL#20279/PCT#3</v>
      </c>
    </row>
    <row r="490" spans="1:10" x14ac:dyDescent="0.3">
      <c r="A490" t="str">
        <f>"000589"</f>
        <v>000589</v>
      </c>
      <c r="B490" t="s">
        <v>147</v>
      </c>
      <c r="C490">
        <v>71689</v>
      </c>
      <c r="D490" s="2">
        <v>73946.27</v>
      </c>
      <c r="E490" s="1">
        <v>42940</v>
      </c>
      <c r="F490" t="s">
        <v>11</v>
      </c>
      <c r="G490" t="str">
        <f>"9401666245"</f>
        <v>9401666245</v>
      </c>
      <c r="H490" t="str">
        <f>"CUST#912897/BOL#20348"</f>
        <v>CUST#912897/BOL#20348</v>
      </c>
      <c r="I490" s="2">
        <v>13166.86</v>
      </c>
      <c r="J490" t="str">
        <f>"CUST#912897/BOL#20348"</f>
        <v>CUST#912897/BOL#20348</v>
      </c>
    </row>
    <row r="491" spans="1:10" x14ac:dyDescent="0.3">
      <c r="A491" t="str">
        <f>""</f>
        <v/>
      </c>
      <c r="G491" t="str">
        <f>"9401666246"</f>
        <v>9401666246</v>
      </c>
      <c r="H491" t="str">
        <f>"ACCT # 912922 / BASE / P1"</f>
        <v>ACCT # 912922 / BASE / P1</v>
      </c>
      <c r="I491" s="2">
        <v>3397.53</v>
      </c>
      <c r="J491" t="str">
        <f>"ACCT # 912922 / BASE / P1"</f>
        <v>ACCT # 912922 / BASE / P1</v>
      </c>
    </row>
    <row r="492" spans="1:10" x14ac:dyDescent="0.3">
      <c r="A492" t="str">
        <f>""</f>
        <v/>
      </c>
      <c r="G492" t="str">
        <f>"9401667441"</f>
        <v>9401667441</v>
      </c>
      <c r="H492" t="str">
        <f>"ACCT#912897/BOL#20381"</f>
        <v>ACCT#912897/BOL#20381</v>
      </c>
      <c r="I492" s="2">
        <v>11185.27</v>
      </c>
      <c r="J492" t="str">
        <f>"ACCT#912897/BOL#20381"</f>
        <v>ACCT#912897/BOL#20381</v>
      </c>
    </row>
    <row r="493" spans="1:10" x14ac:dyDescent="0.3">
      <c r="A493" t="str">
        <f>""</f>
        <v/>
      </c>
      <c r="G493" t="str">
        <f>"9401668101"</f>
        <v>9401668101</v>
      </c>
      <c r="H493" t="str">
        <f>"ACCT#912897/BOL#20385/PCT#3"</f>
        <v>ACCT#912897/BOL#20385/PCT#3</v>
      </c>
      <c r="I493" s="2">
        <v>12235.16</v>
      </c>
      <c r="J493" t="str">
        <f>"ACCT#912897/BOL#20385/PCT#3"</f>
        <v>ACCT#912897/BOL#20385/PCT#3</v>
      </c>
    </row>
    <row r="494" spans="1:10" x14ac:dyDescent="0.3">
      <c r="A494" t="str">
        <f>""</f>
        <v/>
      </c>
      <c r="G494" t="str">
        <f>"9401668102"</f>
        <v>9401668102</v>
      </c>
      <c r="H494" t="str">
        <f>"ACCT#912897/BOL#20402/PCT#3"</f>
        <v>ACCT#912897/BOL#20402/PCT#3</v>
      </c>
      <c r="I494" s="2">
        <v>11380.34</v>
      </c>
      <c r="J494" t="str">
        <f>"ACCT#912897/BOL#20402/PCT#3"</f>
        <v>ACCT#912897/BOL#20402/PCT#3</v>
      </c>
    </row>
    <row r="495" spans="1:10" x14ac:dyDescent="0.3">
      <c r="A495" t="str">
        <f>""</f>
        <v/>
      </c>
      <c r="G495" t="str">
        <f>"9401668289"</f>
        <v>9401668289</v>
      </c>
      <c r="H495" t="str">
        <f>"ACCT #912922 / BASE / P1"</f>
        <v>ACCT #912922 / BASE / P1</v>
      </c>
      <c r="I495" s="2">
        <v>11970.24</v>
      </c>
      <c r="J495" t="str">
        <f>"ACCT #912922 / BASE / P1"</f>
        <v>ACCT #912922 / BASE / P1</v>
      </c>
    </row>
    <row r="496" spans="1:10" x14ac:dyDescent="0.3">
      <c r="A496" t="str">
        <f>""</f>
        <v/>
      </c>
      <c r="G496" t="str">
        <f>"9401668538"</f>
        <v>9401668538</v>
      </c>
      <c r="H496" t="str">
        <f>"ACCT#912897/BOL#20407/PCT#3"</f>
        <v>ACCT#912897/BOL#20407/PCT#3</v>
      </c>
      <c r="I496" s="2">
        <v>10610.87</v>
      </c>
      <c r="J496" t="str">
        <f>"ACCT#912897/BOL#20407/PCT#3"</f>
        <v>ACCT#912897/BOL#20407/PCT#3</v>
      </c>
    </row>
    <row r="497" spans="1:11" x14ac:dyDescent="0.3">
      <c r="A497" t="str">
        <f>"T3719"</f>
        <v>T3719</v>
      </c>
      <c r="B497" t="s">
        <v>148</v>
      </c>
      <c r="C497">
        <v>71425</v>
      </c>
      <c r="D497" s="2">
        <v>68.7</v>
      </c>
      <c r="E497" s="1">
        <v>42926</v>
      </c>
      <c r="F497" t="s">
        <v>84</v>
      </c>
      <c r="G497" t="str">
        <f>"201707053330"</f>
        <v>201707053330</v>
      </c>
      <c r="H497" t="str">
        <f>"PHYSICIAN SVCS/INDIGENT HEALTH"</f>
        <v>PHYSICIAN SVCS/INDIGENT HEALTH</v>
      </c>
      <c r="I497" s="2">
        <v>68.7</v>
      </c>
    </row>
    <row r="498" spans="1:11" x14ac:dyDescent="0.3">
      <c r="A498" t="str">
        <f>"T3719"</f>
        <v>T3719</v>
      </c>
      <c r="B498" t="s">
        <v>148</v>
      </c>
      <c r="C498">
        <v>71425</v>
      </c>
      <c r="D498" s="2">
        <v>68.7</v>
      </c>
      <c r="E498" s="1">
        <v>42926</v>
      </c>
      <c r="F498" t="s">
        <v>84</v>
      </c>
      <c r="G498" t="str">
        <f>"CHECK"</f>
        <v>CHECK</v>
      </c>
      <c r="H498" t="str">
        <f>""</f>
        <v/>
      </c>
      <c r="I498" s="2">
        <v>68.7</v>
      </c>
    </row>
    <row r="499" spans="1:11" x14ac:dyDescent="0.3">
      <c r="A499" t="str">
        <f>"005137"</f>
        <v>005137</v>
      </c>
      <c r="B499" t="s">
        <v>149</v>
      </c>
      <c r="C499">
        <v>71690</v>
      </c>
      <c r="D499" s="2">
        <v>3993.29</v>
      </c>
      <c r="E499" s="1">
        <v>42940</v>
      </c>
      <c r="F499" t="s">
        <v>11</v>
      </c>
      <c r="G499" t="str">
        <f>"SAM41576"</f>
        <v>SAM41576</v>
      </c>
      <c r="H499" t="str">
        <f>"Inv# SAM41576"</f>
        <v>Inv# SAM41576</v>
      </c>
      <c r="I499" s="2">
        <v>3993.29</v>
      </c>
      <c r="J499" t="str">
        <f>"Inv# SAM41576"</f>
        <v>Inv# SAM41576</v>
      </c>
    </row>
    <row r="500" spans="1:11" x14ac:dyDescent="0.3">
      <c r="A500" t="str">
        <f>"T526"</f>
        <v>T526</v>
      </c>
      <c r="B500" t="s">
        <v>150</v>
      </c>
      <c r="C500">
        <v>71691</v>
      </c>
      <c r="D500" s="2">
        <v>79.45</v>
      </c>
      <c r="E500" s="1">
        <v>42940</v>
      </c>
      <c r="F500" t="s">
        <v>11</v>
      </c>
      <c r="G500" t="str">
        <f>"5-857-53159"</f>
        <v>5-857-53159</v>
      </c>
      <c r="H500" t="str">
        <f>"ACCT#1305-8295-8/DIST ATTORNEY"</f>
        <v>ACCT#1305-8295-8/DIST ATTORNEY</v>
      </c>
      <c r="I500" s="2">
        <v>79.45</v>
      </c>
      <c r="J500" t="str">
        <f>"ACCT#1305-8295-8/DIST ATTORNEY"</f>
        <v>ACCT#1305-8295-8/DIST ATTORNEY</v>
      </c>
    </row>
    <row r="501" spans="1:11" x14ac:dyDescent="0.3">
      <c r="A501" t="str">
        <f>"T9733"</f>
        <v>T9733</v>
      </c>
      <c r="B501" t="s">
        <v>151</v>
      </c>
      <c r="C501">
        <v>71692</v>
      </c>
      <c r="D501" s="2">
        <v>75</v>
      </c>
      <c r="E501" s="1">
        <v>42940</v>
      </c>
      <c r="F501" t="s">
        <v>11</v>
      </c>
      <c r="G501" t="s">
        <v>51</v>
      </c>
      <c r="H501" t="s">
        <v>152</v>
      </c>
      <c r="I501" s="2" t="str">
        <f>"RESTITUTION-A. KELLOUGH"</f>
        <v>RESTITUTION-A. KELLOUGH</v>
      </c>
      <c r="J501" t="str">
        <f>"210-0000"</f>
        <v>210-0000</v>
      </c>
      <c r="K501">
        <v>50</v>
      </c>
    </row>
    <row r="502" spans="1:11" x14ac:dyDescent="0.3">
      <c r="A502" t="str">
        <f>""</f>
        <v/>
      </c>
      <c r="G502" t="s">
        <v>153</v>
      </c>
      <c r="H502" t="s">
        <v>154</v>
      </c>
      <c r="I502" s="2" t="str">
        <f>"RESTITUTION-F. GREER JR."</f>
        <v>RESTITUTION-F. GREER JR.</v>
      </c>
      <c r="J502" t="str">
        <f>"210-0000"</f>
        <v>210-0000</v>
      </c>
      <c r="K502">
        <v>25</v>
      </c>
    </row>
    <row r="503" spans="1:11" x14ac:dyDescent="0.3">
      <c r="A503" t="str">
        <f>"005128"</f>
        <v>005128</v>
      </c>
      <c r="B503" t="s">
        <v>155</v>
      </c>
      <c r="C503">
        <v>71426</v>
      </c>
      <c r="D503" s="2">
        <v>218.1</v>
      </c>
      <c r="E503" s="1">
        <v>42926</v>
      </c>
      <c r="F503" t="s">
        <v>11</v>
      </c>
      <c r="G503" t="str">
        <f>"40417"</f>
        <v>40417</v>
      </c>
      <c r="H503" t="str">
        <f>"INV 40417"</f>
        <v>INV 40417</v>
      </c>
      <c r="I503" s="2">
        <v>218.1</v>
      </c>
      <c r="J503" t="str">
        <f>"INV 40417"</f>
        <v>INV 40417</v>
      </c>
    </row>
    <row r="504" spans="1:11" x14ac:dyDescent="0.3">
      <c r="A504" t="str">
        <f>"004691"</f>
        <v>004691</v>
      </c>
      <c r="B504" t="s">
        <v>156</v>
      </c>
      <c r="C504">
        <v>71427</v>
      </c>
      <c r="D504" s="2">
        <v>10579.94</v>
      </c>
      <c r="E504" s="1">
        <v>42926</v>
      </c>
      <c r="F504" t="s">
        <v>11</v>
      </c>
      <c r="G504" t="str">
        <f>"NP50700240"</f>
        <v>NP50700240</v>
      </c>
      <c r="H504" t="str">
        <f>"INV NP50700240"</f>
        <v>INV NP50700240</v>
      </c>
      <c r="I504" s="2">
        <v>10210.200000000001</v>
      </c>
      <c r="J504" t="str">
        <f>"INV NP50700240"</f>
        <v>INV NP50700240</v>
      </c>
    </row>
    <row r="505" spans="1:11" x14ac:dyDescent="0.3">
      <c r="A505" t="str">
        <f>""</f>
        <v/>
      </c>
      <c r="G505" t="str">
        <f>"NP50700277"</f>
        <v>NP50700277</v>
      </c>
      <c r="H505" t="str">
        <f>"Stmt# NP50700277"</f>
        <v>Stmt# NP50700277</v>
      </c>
      <c r="I505" s="2">
        <v>369.74</v>
      </c>
      <c r="J505" t="str">
        <f>"Animal Services"</f>
        <v>Animal Services</v>
      </c>
    </row>
    <row r="506" spans="1:11" x14ac:dyDescent="0.3">
      <c r="A506" t="str">
        <f>"004691"</f>
        <v>004691</v>
      </c>
      <c r="B506" t="s">
        <v>156</v>
      </c>
      <c r="C506">
        <v>71693</v>
      </c>
      <c r="D506" s="2">
        <v>886.98</v>
      </c>
      <c r="E506" s="1">
        <v>42940</v>
      </c>
      <c r="F506" t="s">
        <v>11</v>
      </c>
      <c r="G506" t="str">
        <f>"NP50854457"</f>
        <v>NP50854457</v>
      </c>
      <c r="H506" t="str">
        <f>"Stmt# NP50854457"</f>
        <v>Stmt# NP50854457</v>
      </c>
      <c r="I506" s="2">
        <v>565.96</v>
      </c>
      <c r="J506" t="str">
        <f>"General Services"</f>
        <v>General Services</v>
      </c>
    </row>
    <row r="507" spans="1:11" x14ac:dyDescent="0.3">
      <c r="A507" t="str">
        <f>""</f>
        <v/>
      </c>
      <c r="G507" t="str">
        <f>""</f>
        <v/>
      </c>
      <c r="H507" t="str">
        <f>""</f>
        <v/>
      </c>
      <c r="J507" t="str">
        <f>"Overnight Card"</f>
        <v>Overnight Card</v>
      </c>
    </row>
    <row r="508" spans="1:11" x14ac:dyDescent="0.3">
      <c r="A508" t="str">
        <f>""</f>
        <v/>
      </c>
      <c r="G508" t="str">
        <f>""</f>
        <v/>
      </c>
      <c r="H508" t="str">
        <f>""</f>
        <v/>
      </c>
      <c r="J508" t="str">
        <f>"Sign Shop"</f>
        <v>Sign Shop</v>
      </c>
    </row>
    <row r="509" spans="1:11" x14ac:dyDescent="0.3">
      <c r="A509" t="str">
        <f>""</f>
        <v/>
      </c>
      <c r="G509" t="str">
        <f>""</f>
        <v/>
      </c>
      <c r="H509" t="str">
        <f>""</f>
        <v/>
      </c>
      <c r="J509" t="str">
        <f>"Ag Extension"</f>
        <v>Ag Extension</v>
      </c>
    </row>
    <row r="510" spans="1:11" x14ac:dyDescent="0.3">
      <c r="A510" t="str">
        <f>""</f>
        <v/>
      </c>
      <c r="G510" t="str">
        <f>""</f>
        <v/>
      </c>
      <c r="H510" t="str">
        <f>""</f>
        <v/>
      </c>
      <c r="J510" t="str">
        <f>"Pct 2"</f>
        <v>Pct 2</v>
      </c>
    </row>
    <row r="511" spans="1:11" x14ac:dyDescent="0.3">
      <c r="A511" t="str">
        <f>""</f>
        <v/>
      </c>
      <c r="G511" t="str">
        <f>"NP50854714"</f>
        <v>NP50854714</v>
      </c>
      <c r="H511" t="str">
        <f>"Stmt# NP50854714"</f>
        <v>Stmt# NP50854714</v>
      </c>
      <c r="I511" s="2">
        <v>321.02</v>
      </c>
      <c r="J511" t="str">
        <f>"Fee"</f>
        <v>Fee</v>
      </c>
    </row>
    <row r="512" spans="1:11" x14ac:dyDescent="0.3">
      <c r="A512" t="str">
        <f>"004691"</f>
        <v>004691</v>
      </c>
      <c r="B512" t="s">
        <v>156</v>
      </c>
      <c r="C512">
        <v>971533</v>
      </c>
      <c r="D512" s="2">
        <v>707.25</v>
      </c>
      <c r="E512" s="1">
        <v>42926</v>
      </c>
      <c r="F512" t="s">
        <v>35</v>
      </c>
      <c r="G512" t="str">
        <f>"201707123610"</f>
        <v>201707123610</v>
      </c>
      <c r="H512" t="str">
        <f>"FLEET COR CORRECTION"</f>
        <v>FLEET COR CORRECTION</v>
      </c>
      <c r="I512" s="2">
        <v>707.25</v>
      </c>
      <c r="J512" t="str">
        <f>"FLEET COR CORRECTION"</f>
        <v>FLEET COR CORRECTION</v>
      </c>
    </row>
    <row r="513" spans="1:10" x14ac:dyDescent="0.3">
      <c r="A513" t="str">
        <f>""</f>
        <v/>
      </c>
      <c r="G513" t="str">
        <f>""</f>
        <v/>
      </c>
      <c r="H513" t="str">
        <f>""</f>
        <v/>
      </c>
      <c r="J513" t="str">
        <f>"FLEET COR CORRECTION"</f>
        <v>FLEET COR CORRECTION</v>
      </c>
    </row>
    <row r="514" spans="1:10" x14ac:dyDescent="0.3">
      <c r="A514" t="str">
        <f>""</f>
        <v/>
      </c>
      <c r="G514" t="str">
        <f>""</f>
        <v/>
      </c>
      <c r="H514" t="str">
        <f>""</f>
        <v/>
      </c>
      <c r="J514" t="str">
        <f>"FLEET COR CORRECTION"</f>
        <v>FLEET COR CORRECTION</v>
      </c>
    </row>
    <row r="515" spans="1:10" x14ac:dyDescent="0.3">
      <c r="A515" t="str">
        <f>""</f>
        <v/>
      </c>
      <c r="G515" t="str">
        <f>""</f>
        <v/>
      </c>
      <c r="H515" t="str">
        <f>""</f>
        <v/>
      </c>
      <c r="J515" t="str">
        <f>"FLEET COR CORRECTION"</f>
        <v>FLEET COR CORRECTION</v>
      </c>
    </row>
    <row r="516" spans="1:10" x14ac:dyDescent="0.3">
      <c r="A516" t="str">
        <f>"T5062"</f>
        <v>T5062</v>
      </c>
      <c r="B516" t="s">
        <v>157</v>
      </c>
      <c r="C516">
        <v>71428</v>
      </c>
      <c r="D516" s="2">
        <v>136.78</v>
      </c>
      <c r="E516" s="1">
        <v>42926</v>
      </c>
      <c r="F516" t="s">
        <v>11</v>
      </c>
      <c r="G516" t="str">
        <f>"85836062"</f>
        <v>85836062</v>
      </c>
      <c r="H516" t="str">
        <f>"ACCT#80975/PCT#1"</f>
        <v>ACCT#80975/PCT#1</v>
      </c>
      <c r="I516" s="2">
        <v>136.78</v>
      </c>
      <c r="J516" t="str">
        <f>"ACCT#80975/PCT#1"</f>
        <v>ACCT#80975/PCT#1</v>
      </c>
    </row>
    <row r="517" spans="1:10" x14ac:dyDescent="0.3">
      <c r="A517" t="str">
        <f>"T5062"</f>
        <v>T5062</v>
      </c>
      <c r="B517" t="s">
        <v>157</v>
      </c>
      <c r="C517">
        <v>71694</v>
      </c>
      <c r="D517" s="2">
        <v>567.27</v>
      </c>
      <c r="E517" s="1">
        <v>42940</v>
      </c>
      <c r="F517" t="s">
        <v>11</v>
      </c>
      <c r="G517" t="str">
        <f>"82320993/82673875"</f>
        <v>82320993/82673875</v>
      </c>
      <c r="H517" t="str">
        <f>"CUST#80975-001/PCT#3"</f>
        <v>CUST#80975-001/PCT#3</v>
      </c>
      <c r="I517" s="2">
        <v>555.08000000000004</v>
      </c>
      <c r="J517" t="str">
        <f>"CUST#80975-001/PCT#3"</f>
        <v>CUST#80975-001/PCT#3</v>
      </c>
    </row>
    <row r="518" spans="1:10" x14ac:dyDescent="0.3">
      <c r="A518" t="str">
        <f>""</f>
        <v/>
      </c>
      <c r="G518" t="str">
        <f>"82432094"</f>
        <v>82432094</v>
      </c>
      <c r="H518" t="str">
        <f>"CUST#80975-001/PCT #2"</f>
        <v>CUST#80975-001/PCT #2</v>
      </c>
      <c r="I518" s="2">
        <v>12.19</v>
      </c>
      <c r="J518" t="str">
        <f>"CUST#80975-001/PCT #2"</f>
        <v>CUST#80975-001/PCT #2</v>
      </c>
    </row>
    <row r="519" spans="1:10" x14ac:dyDescent="0.3">
      <c r="A519" t="str">
        <f>"FLS"</f>
        <v>FLS</v>
      </c>
      <c r="B519" t="s">
        <v>158</v>
      </c>
      <c r="C519">
        <v>71429</v>
      </c>
      <c r="D519" s="2">
        <v>1100</v>
      </c>
      <c r="E519" s="1">
        <v>42926</v>
      </c>
      <c r="F519" t="s">
        <v>11</v>
      </c>
      <c r="G519" t="str">
        <f>"201707063399"</f>
        <v>201707063399</v>
      </c>
      <c r="H519" t="str">
        <f>"54 203"</f>
        <v>54 203</v>
      </c>
      <c r="I519" s="2">
        <v>250</v>
      </c>
      <c r="J519" t="str">
        <f>"54 203"</f>
        <v>54 203</v>
      </c>
    </row>
    <row r="520" spans="1:10" x14ac:dyDescent="0.3">
      <c r="A520" t="str">
        <f>""</f>
        <v/>
      </c>
      <c r="G520" t="str">
        <f>"201707063400"</f>
        <v>201707063400</v>
      </c>
      <c r="H520" t="str">
        <f>"AC-2017-0511"</f>
        <v>AC-2017-0511</v>
      </c>
      <c r="I520" s="2">
        <v>250</v>
      </c>
      <c r="J520" t="str">
        <f>"AC-2017-0511"</f>
        <v>AC-2017-0511</v>
      </c>
    </row>
    <row r="521" spans="1:10" x14ac:dyDescent="0.3">
      <c r="A521" t="str">
        <f>""</f>
        <v/>
      </c>
      <c r="G521" t="str">
        <f>"201707063401"</f>
        <v>201707063401</v>
      </c>
      <c r="H521" t="str">
        <f>"54 520"</f>
        <v>54 520</v>
      </c>
      <c r="I521" s="2">
        <v>250</v>
      </c>
      <c r="J521" t="str">
        <f>"54 520"</f>
        <v>54 520</v>
      </c>
    </row>
    <row r="522" spans="1:10" x14ac:dyDescent="0.3">
      <c r="A522" t="str">
        <f>""</f>
        <v/>
      </c>
      <c r="G522" t="str">
        <f>"201707063402"</f>
        <v>201707063402</v>
      </c>
      <c r="H522" t="str">
        <f>"55 080"</f>
        <v>55 080</v>
      </c>
      <c r="I522" s="2">
        <v>250</v>
      </c>
      <c r="J522" t="str">
        <f>"55 080"</f>
        <v>55 080</v>
      </c>
    </row>
    <row r="523" spans="1:10" x14ac:dyDescent="0.3">
      <c r="A523" t="str">
        <f>""</f>
        <v/>
      </c>
      <c r="G523" t="str">
        <f>"201707063403"</f>
        <v>201707063403</v>
      </c>
      <c r="H523" t="str">
        <f>"N/A 6/29/17"</f>
        <v>N/A 6/29/17</v>
      </c>
      <c r="I523" s="2">
        <v>100</v>
      </c>
      <c r="J523" t="str">
        <f>"N/A 6/29/17"</f>
        <v>N/A 6/29/17</v>
      </c>
    </row>
    <row r="524" spans="1:10" x14ac:dyDescent="0.3">
      <c r="A524" t="str">
        <f>"FLS"</f>
        <v>FLS</v>
      </c>
      <c r="B524" t="s">
        <v>158</v>
      </c>
      <c r="C524">
        <v>71695</v>
      </c>
      <c r="D524" s="2">
        <v>800</v>
      </c>
      <c r="E524" s="1">
        <v>42940</v>
      </c>
      <c r="F524" t="s">
        <v>11</v>
      </c>
      <c r="G524" t="str">
        <f>"201707113595"</f>
        <v>201707113595</v>
      </c>
      <c r="H524" t="str">
        <f>"16 203"</f>
        <v>16 203</v>
      </c>
      <c r="I524" s="2">
        <v>400</v>
      </c>
      <c r="J524" t="str">
        <f>"16 203"</f>
        <v>16 203</v>
      </c>
    </row>
    <row r="525" spans="1:10" x14ac:dyDescent="0.3">
      <c r="A525" t="str">
        <f>""</f>
        <v/>
      </c>
      <c r="G525" t="str">
        <f>"201707143638"</f>
        <v>201707143638</v>
      </c>
      <c r="H525" t="str">
        <f>"16 122"</f>
        <v>16 122</v>
      </c>
      <c r="I525" s="2">
        <v>400</v>
      </c>
      <c r="J525" t="str">
        <f>"16 122"</f>
        <v>16 122</v>
      </c>
    </row>
    <row r="526" spans="1:10" x14ac:dyDescent="0.3">
      <c r="A526" t="str">
        <f>"002555"</f>
        <v>002555</v>
      </c>
      <c r="B526" t="s">
        <v>159</v>
      </c>
      <c r="C526">
        <v>71696</v>
      </c>
      <c r="D526" s="2">
        <v>80</v>
      </c>
      <c r="E526" s="1">
        <v>42940</v>
      </c>
      <c r="F526" t="s">
        <v>11</v>
      </c>
      <c r="G526" t="str">
        <f>"12456"</f>
        <v>12456</v>
      </c>
      <c r="H526" t="str">
        <f>"SERVICE 6/5/17"</f>
        <v>SERVICE 6/5/17</v>
      </c>
      <c r="I526" s="2">
        <v>80</v>
      </c>
      <c r="J526" t="str">
        <f>"SERVICE 6/5/17"</f>
        <v>SERVICE 6/5/17</v>
      </c>
    </row>
    <row r="527" spans="1:10" x14ac:dyDescent="0.3">
      <c r="A527" t="str">
        <f>"PPLAN"</f>
        <v>PPLAN</v>
      </c>
      <c r="B527" t="s">
        <v>160</v>
      </c>
      <c r="C527">
        <v>71697</v>
      </c>
      <c r="D527" s="2">
        <v>1043.24</v>
      </c>
      <c r="E527" s="1">
        <v>42940</v>
      </c>
      <c r="F527" t="s">
        <v>11</v>
      </c>
      <c r="G527" t="str">
        <f>"P48318"</f>
        <v>P48318</v>
      </c>
      <c r="H527" t="str">
        <f>"ACCT#8850283308/PCT#1"</f>
        <v>ACCT#8850283308/PCT#1</v>
      </c>
      <c r="I527" s="2">
        <v>1043.24</v>
      </c>
      <c r="J527" t="str">
        <f>"ACCT#8850283308"</f>
        <v>ACCT#8850283308</v>
      </c>
    </row>
    <row r="528" spans="1:10" x14ac:dyDescent="0.3">
      <c r="A528" t="str">
        <f>"T4453"</f>
        <v>T4453</v>
      </c>
      <c r="B528" t="s">
        <v>161</v>
      </c>
      <c r="C528">
        <v>71882</v>
      </c>
      <c r="D528" s="2">
        <v>238</v>
      </c>
      <c r="E528" s="1">
        <v>42941</v>
      </c>
      <c r="F528" t="s">
        <v>11</v>
      </c>
      <c r="G528" t="str">
        <f>"22378767"</f>
        <v>22378767</v>
      </c>
      <c r="H528" t="str">
        <f>"REGISTRATION FEE - B ESCOBEDO"</f>
        <v>REGISTRATION FEE - B ESCOBEDO</v>
      </c>
      <c r="I528" s="2">
        <v>119</v>
      </c>
      <c r="J528" t="str">
        <f>"REGISTRATION FEE - B ESCOBEDO"</f>
        <v>REGISTRATION FEE - B ESCOBEDO</v>
      </c>
    </row>
    <row r="529" spans="1:10" x14ac:dyDescent="0.3">
      <c r="A529" t="str">
        <f>""</f>
        <v/>
      </c>
      <c r="G529" t="str">
        <f>"22378769"</f>
        <v>22378769</v>
      </c>
      <c r="H529" t="str">
        <f>"REGISTRATION FEE - K MILES"</f>
        <v>REGISTRATION FEE - K MILES</v>
      </c>
      <c r="I529" s="2">
        <v>119</v>
      </c>
      <c r="J529" t="str">
        <f>"REGISTRATION FEE - K MILES"</f>
        <v>REGISTRATION FEE - K MILES</v>
      </c>
    </row>
    <row r="530" spans="1:10" x14ac:dyDescent="0.3">
      <c r="A530" t="str">
        <f>"AT&amp;EI"</f>
        <v>AT&amp;EI</v>
      </c>
      <c r="B530" t="s">
        <v>162</v>
      </c>
      <c r="C530">
        <v>71698</v>
      </c>
      <c r="D530" s="2">
        <v>2311.5100000000002</v>
      </c>
      <c r="E530" s="1">
        <v>42940</v>
      </c>
      <c r="F530" t="s">
        <v>11</v>
      </c>
      <c r="G530" t="str">
        <f>"201707143656"</f>
        <v>201707143656</v>
      </c>
      <c r="H530" t="str">
        <f>"ACCT#3325/PCT#2"</f>
        <v>ACCT#3325/PCT#2</v>
      </c>
      <c r="I530" s="2">
        <v>2311.5100000000002</v>
      </c>
      <c r="J530" t="str">
        <f>"ACCT#3325"</f>
        <v>ACCT#3325</v>
      </c>
    </row>
    <row r="531" spans="1:10" x14ac:dyDescent="0.3">
      <c r="A531" t="str">
        <f>"G&amp;C"</f>
        <v>G&amp;C</v>
      </c>
      <c r="B531" t="s">
        <v>163</v>
      </c>
      <c r="C531">
        <v>71430</v>
      </c>
      <c r="D531" s="2">
        <v>2014.66</v>
      </c>
      <c r="E531" s="1">
        <v>42926</v>
      </c>
      <c r="F531" t="s">
        <v>11</v>
      </c>
      <c r="G531" t="str">
        <f>"102178"</f>
        <v>102178</v>
      </c>
      <c r="H531" t="str">
        <f>"ORDER"</f>
        <v>ORDER</v>
      </c>
      <c r="I531" s="2">
        <v>1846</v>
      </c>
      <c r="J531" t="str">
        <f>"CITATION BOOKS"</f>
        <v>CITATION BOOKS</v>
      </c>
    </row>
    <row r="532" spans="1:10" x14ac:dyDescent="0.3">
      <c r="A532" t="str">
        <f>""</f>
        <v/>
      </c>
      <c r="G532" t="str">
        <f>"102212"</f>
        <v>102212</v>
      </c>
      <c r="H532" t="str">
        <f>"SELF INKING STAMPS/DISTRICT CT"</f>
        <v>SELF INKING STAMPS/DISTRICT CT</v>
      </c>
      <c r="I532" s="2">
        <v>48</v>
      </c>
      <c r="J532" t="str">
        <f>"SELF INKING STAMPS/DISTRICT CT"</f>
        <v>SELF INKING STAMPS/DISTRICT CT</v>
      </c>
    </row>
    <row r="533" spans="1:10" x14ac:dyDescent="0.3">
      <c r="A533" t="str">
        <f>""</f>
        <v/>
      </c>
      <c r="G533" t="str">
        <f>"102229"</f>
        <v>102229</v>
      </c>
      <c r="H533" t="str">
        <f>"INV GC 102229"</f>
        <v>INV GC 102229</v>
      </c>
      <c r="I533" s="2">
        <v>49.16</v>
      </c>
      <c r="J533" t="str">
        <f>"INV GC 102229"</f>
        <v>INV GC 102229</v>
      </c>
    </row>
    <row r="534" spans="1:10" x14ac:dyDescent="0.3">
      <c r="A534" t="str">
        <f>""</f>
        <v/>
      </c>
      <c r="G534" t="str">
        <f>"102266"</f>
        <v>102266</v>
      </c>
      <c r="H534" t="str">
        <f>"BUSINESS CARDS-LPHCP-C. CROFT"</f>
        <v>BUSINESS CARDS-LPHCP-C. CROFT</v>
      </c>
      <c r="I534" s="2">
        <v>71.5</v>
      </c>
      <c r="J534" t="str">
        <f>"BUSINESS CARDS-LPHCP-C. CROFT"</f>
        <v>BUSINESS CARDS-LPHCP-C. CROFT</v>
      </c>
    </row>
    <row r="535" spans="1:10" x14ac:dyDescent="0.3">
      <c r="A535" t="str">
        <f>"G&amp;C"</f>
        <v>G&amp;C</v>
      </c>
      <c r="B535" t="s">
        <v>163</v>
      </c>
      <c r="C535">
        <v>71699</v>
      </c>
      <c r="D535" s="2">
        <v>752.21</v>
      </c>
      <c r="E535" s="1">
        <v>42940</v>
      </c>
      <c r="F535" t="s">
        <v>11</v>
      </c>
      <c r="G535" t="str">
        <f>"102281"</f>
        <v>102281</v>
      </c>
      <c r="H535" t="str">
        <f>"INV GC 102281"</f>
        <v>INV GC 102281</v>
      </c>
      <c r="I535" s="2">
        <v>530.22</v>
      </c>
      <c r="J535" t="str">
        <f>"INV GC 102281"</f>
        <v>INV GC 102281</v>
      </c>
    </row>
    <row r="536" spans="1:10" x14ac:dyDescent="0.3">
      <c r="A536" t="str">
        <f>""</f>
        <v/>
      </c>
      <c r="G536" t="str">
        <f>"102286"</f>
        <v>102286</v>
      </c>
      <c r="H536" t="str">
        <f>"#10 WINDOW ENVELOPES/SAN SVCS"</f>
        <v>#10 WINDOW ENVELOPES/SAN SVCS</v>
      </c>
      <c r="I536" s="2">
        <v>120.66</v>
      </c>
      <c r="J536" t="str">
        <f>"#10 WINDOW ENVELOPES/SAN SVCS"</f>
        <v>#10 WINDOW ENVELOPES/SAN SVCS</v>
      </c>
    </row>
    <row r="537" spans="1:10" x14ac:dyDescent="0.3">
      <c r="A537" t="str">
        <f>""</f>
        <v/>
      </c>
      <c r="G537" t="str">
        <f>"102289"</f>
        <v>102289</v>
      </c>
      <c r="H537" t="str">
        <f>"WINDOW/REG ENVELOPES/JP#1"</f>
        <v>WINDOW/REG ENVELOPES/JP#1</v>
      </c>
      <c r="I537" s="2">
        <v>101.33</v>
      </c>
      <c r="J537" t="str">
        <f>"WINDOW/REG ENVELOPES/JP#1"</f>
        <v>WINDOW/REG ENVELOPES/JP#1</v>
      </c>
    </row>
    <row r="538" spans="1:10" x14ac:dyDescent="0.3">
      <c r="A538" t="str">
        <f>"002605"</f>
        <v>002605</v>
      </c>
      <c r="B538" t="s">
        <v>164</v>
      </c>
      <c r="C538">
        <v>71700</v>
      </c>
      <c r="D538" s="2">
        <v>352.48</v>
      </c>
      <c r="E538" s="1">
        <v>42940</v>
      </c>
      <c r="F538" t="s">
        <v>11</v>
      </c>
      <c r="G538" t="str">
        <f>"201707193713"</f>
        <v>201707193713</v>
      </c>
      <c r="H538" t="str">
        <f>"CUST#2179855/PCT#3"</f>
        <v>CUST#2179855/PCT#3</v>
      </c>
      <c r="I538" s="2">
        <v>352.48</v>
      </c>
      <c r="J538" t="str">
        <f>"CUST#2179855/PCT#3"</f>
        <v>CUST#2179855/PCT#3</v>
      </c>
    </row>
    <row r="539" spans="1:10" x14ac:dyDescent="0.3">
      <c r="A539" t="str">
        <f>"004055"</f>
        <v>004055</v>
      </c>
      <c r="B539" t="s">
        <v>165</v>
      </c>
      <c r="C539">
        <v>71431</v>
      </c>
      <c r="D539" s="2">
        <v>1005.74</v>
      </c>
      <c r="E539" s="1">
        <v>42926</v>
      </c>
      <c r="F539" t="s">
        <v>11</v>
      </c>
      <c r="G539" t="str">
        <f>"MULTIPLE INV #'S"</f>
        <v>MULTIPLE INV #'S</v>
      </c>
      <c r="H539" t="str">
        <f>"VEHICLE REPAIRS"</f>
        <v>VEHICLE REPAIRS</v>
      </c>
      <c r="I539" s="2">
        <v>991.74</v>
      </c>
      <c r="J539" t="str">
        <f>"UNIT4426 INV1123"</f>
        <v>UNIT4426 INV1123</v>
      </c>
    </row>
    <row r="540" spans="1:10" x14ac:dyDescent="0.3">
      <c r="A540" t="str">
        <f>""</f>
        <v/>
      </c>
      <c r="G540" t="str">
        <f>""</f>
        <v/>
      </c>
      <c r="H540" t="str">
        <f>""</f>
        <v/>
      </c>
      <c r="J540" t="str">
        <f>"UNIT 118 INV 1120"</f>
        <v>UNIT 118 INV 1120</v>
      </c>
    </row>
    <row r="541" spans="1:10" x14ac:dyDescent="0.3">
      <c r="A541" t="str">
        <f>""</f>
        <v/>
      </c>
      <c r="G541" t="str">
        <f>""</f>
        <v/>
      </c>
      <c r="H541" t="str">
        <f>""</f>
        <v/>
      </c>
      <c r="J541" t="str">
        <f>"UNIT 87 INV 1125"</f>
        <v>UNIT 87 INV 1125</v>
      </c>
    </row>
    <row r="542" spans="1:10" x14ac:dyDescent="0.3">
      <c r="A542" t="str">
        <f>""</f>
        <v/>
      </c>
      <c r="G542" t="str">
        <f>""</f>
        <v/>
      </c>
      <c r="H542" t="str">
        <f>""</f>
        <v/>
      </c>
      <c r="J542" t="str">
        <f>"UNIT 88 INV 1124"</f>
        <v>UNIT 88 INV 1124</v>
      </c>
    </row>
    <row r="543" spans="1:10" x14ac:dyDescent="0.3">
      <c r="A543" t="str">
        <f>""</f>
        <v/>
      </c>
      <c r="G543" t="str">
        <f>""</f>
        <v/>
      </c>
      <c r="H543" t="str">
        <f>""</f>
        <v/>
      </c>
      <c r="J543" t="str">
        <f>"UNIT 77 INV 1122"</f>
        <v>UNIT 77 INV 1122</v>
      </c>
    </row>
    <row r="544" spans="1:10" x14ac:dyDescent="0.3">
      <c r="A544" t="str">
        <f>""</f>
        <v/>
      </c>
      <c r="G544" t="str">
        <f>""</f>
        <v/>
      </c>
      <c r="H544" t="str">
        <f>""</f>
        <v/>
      </c>
      <c r="J544" t="str">
        <f>"UNIT 117 INV 1126"</f>
        <v>UNIT 117 INV 1126</v>
      </c>
    </row>
    <row r="545" spans="1:11" x14ac:dyDescent="0.3">
      <c r="A545" t="str">
        <f>""</f>
        <v/>
      </c>
      <c r="G545" t="str">
        <f>""</f>
        <v/>
      </c>
      <c r="H545" t="str">
        <f>""</f>
        <v/>
      </c>
      <c r="J545" t="str">
        <f>"UNIT 77 INV 1118"</f>
        <v>UNIT 77 INV 1118</v>
      </c>
    </row>
    <row r="546" spans="1:11" x14ac:dyDescent="0.3">
      <c r="A546" t="str">
        <f>""</f>
        <v/>
      </c>
      <c r="G546" t="str">
        <f>"REP ORD# 1119/1121"</f>
        <v>REP ORD# 1119/1121</v>
      </c>
      <c r="H546" t="str">
        <f>"UNITS  77 &amp; 84 INSPECTION"</f>
        <v>UNITS  77 &amp; 84 INSPECTION</v>
      </c>
      <c r="I546" s="2">
        <v>14</v>
      </c>
      <c r="J546" t="str">
        <f>"UNIT  77  INSPECTION"</f>
        <v>UNIT  77  INSPECTION</v>
      </c>
    </row>
    <row r="547" spans="1:11" x14ac:dyDescent="0.3">
      <c r="A547" t="str">
        <f>""</f>
        <v/>
      </c>
      <c r="G547" t="str">
        <f>""</f>
        <v/>
      </c>
      <c r="H547" t="str">
        <f>""</f>
        <v/>
      </c>
      <c r="J547" t="str">
        <f>"UNITS 84 INSPECTION"</f>
        <v>UNITS 84 INSPECTION</v>
      </c>
    </row>
    <row r="548" spans="1:11" x14ac:dyDescent="0.3">
      <c r="A548" t="str">
        <f>"GCR"</f>
        <v>GCR</v>
      </c>
      <c r="B548" t="s">
        <v>166</v>
      </c>
      <c r="C548">
        <v>71701</v>
      </c>
      <c r="D548" s="2">
        <v>406.95</v>
      </c>
      <c r="E548" s="1">
        <v>42940</v>
      </c>
      <c r="F548" t="s">
        <v>11</v>
      </c>
      <c r="G548" t="str">
        <f>"626-77900"</f>
        <v>626-77900</v>
      </c>
      <c r="H548" t="str">
        <f>"CUST#535538/ORD#80645"</f>
        <v>CUST#535538/ORD#80645</v>
      </c>
      <c r="I548" s="2">
        <v>406.95</v>
      </c>
      <c r="J548" t="str">
        <f>"CUST#535538/ORD#80645"</f>
        <v>CUST#535538/ORD#80645</v>
      </c>
    </row>
    <row r="549" spans="1:11" x14ac:dyDescent="0.3">
      <c r="A549" t="str">
        <f>"004605"</f>
        <v>004605</v>
      </c>
      <c r="B549" t="s">
        <v>167</v>
      </c>
      <c r="C549">
        <v>71702</v>
      </c>
      <c r="D549" s="2">
        <v>50</v>
      </c>
      <c r="E549" s="1">
        <v>42940</v>
      </c>
      <c r="F549" t="s">
        <v>11</v>
      </c>
      <c r="G549" t="s">
        <v>51</v>
      </c>
      <c r="H549" t="s">
        <v>168</v>
      </c>
      <c r="I549" s="2" t="str">
        <f>"RESTITUTION-E. ACOSTA"</f>
        <v>RESTITUTION-E. ACOSTA</v>
      </c>
      <c r="J549" t="str">
        <f>"210-0000"</f>
        <v>210-0000</v>
      </c>
      <c r="K549">
        <v>50</v>
      </c>
    </row>
    <row r="550" spans="1:11" x14ac:dyDescent="0.3">
      <c r="A550" t="str">
        <f>"T12726"</f>
        <v>T12726</v>
      </c>
      <c r="B550" t="s">
        <v>169</v>
      </c>
      <c r="C550">
        <v>71432</v>
      </c>
      <c r="D550" s="2">
        <v>595</v>
      </c>
      <c r="E550" s="1">
        <v>42926</v>
      </c>
      <c r="F550" t="s">
        <v>11</v>
      </c>
      <c r="G550" t="str">
        <f>"0142134-4/24/2017"</f>
        <v>0142134-4/24/2017</v>
      </c>
      <c r="H550" t="str">
        <f>"MEMBERSHIP #300142134"</f>
        <v>MEMBERSHIP #300142134</v>
      </c>
      <c r="I550" s="2">
        <v>595</v>
      </c>
      <c r="J550" t="str">
        <f>"MEMBERSHIP #300142134"</f>
        <v>MEMBERSHIP #300142134</v>
      </c>
    </row>
    <row r="551" spans="1:11" x14ac:dyDescent="0.3">
      <c r="A551" t="str">
        <f>"WWGI"</f>
        <v>WWGI</v>
      </c>
      <c r="B551" t="s">
        <v>170</v>
      </c>
      <c r="C551">
        <v>71433</v>
      </c>
      <c r="D551" s="2">
        <v>205.39</v>
      </c>
      <c r="E551" s="1">
        <v>42926</v>
      </c>
      <c r="F551" t="s">
        <v>11</v>
      </c>
      <c r="G551" t="str">
        <f>"814780730 A"</f>
        <v>814780730 A</v>
      </c>
      <c r="H551" t="str">
        <f>"Inv# 9280778433"</f>
        <v>Inv# 9280778433</v>
      </c>
      <c r="I551" s="2">
        <v>172.94</v>
      </c>
      <c r="J551" t="str">
        <f>"Inv# 9280778433"</f>
        <v>Inv# 9280778433</v>
      </c>
    </row>
    <row r="552" spans="1:11" x14ac:dyDescent="0.3">
      <c r="A552" t="str">
        <f>""</f>
        <v/>
      </c>
      <c r="G552" t="str">
        <f>"9478093801"</f>
        <v>9478093801</v>
      </c>
      <c r="H552" t="str">
        <f>"MAINT INVOICE 9478093801"</f>
        <v>MAINT INVOICE 9478093801</v>
      </c>
      <c r="I552" s="2">
        <v>32.450000000000003</v>
      </c>
      <c r="J552" t="str">
        <f>"MAINT INVOICE 9478093801"</f>
        <v>MAINT INVOICE 9478093801</v>
      </c>
    </row>
    <row r="553" spans="1:11" x14ac:dyDescent="0.3">
      <c r="A553" t="str">
        <f>"001515"</f>
        <v>001515</v>
      </c>
      <c r="B553" t="s">
        <v>171</v>
      </c>
      <c r="C553">
        <v>71703</v>
      </c>
      <c r="D553" s="2">
        <v>1642.5</v>
      </c>
      <c r="E553" s="1">
        <v>42940</v>
      </c>
      <c r="F553" t="s">
        <v>11</v>
      </c>
      <c r="G553" t="str">
        <f>"431238"</f>
        <v>431238</v>
      </c>
      <c r="H553" t="str">
        <f>"CLIENT#3366/PROJECT 3366-003"</f>
        <v>CLIENT#3366/PROJECT 3366-003</v>
      </c>
      <c r="I553" s="2">
        <v>1642.5</v>
      </c>
      <c r="J553" t="str">
        <f>"CLIENT#3366/PROJECT 3366-003"</f>
        <v>CLIENT#3366/PROJECT 3366-003</v>
      </c>
    </row>
    <row r="554" spans="1:11" x14ac:dyDescent="0.3">
      <c r="A554" t="str">
        <f>"003700"</f>
        <v>003700</v>
      </c>
      <c r="B554" t="s">
        <v>172</v>
      </c>
      <c r="C554">
        <v>71704</v>
      </c>
      <c r="D554" s="2">
        <v>12389.05</v>
      </c>
      <c r="E554" s="1">
        <v>42940</v>
      </c>
      <c r="F554" t="s">
        <v>11</v>
      </c>
      <c r="G554" t="str">
        <f>"15742"</f>
        <v>15742</v>
      </c>
      <c r="H554" t="str">
        <f>"DISPOSAL / P2"</f>
        <v>DISPOSAL / P2</v>
      </c>
      <c r="I554" s="2">
        <v>12389.05</v>
      </c>
      <c r="J554" t="str">
        <f>"DISPOSAL / P2"</f>
        <v>DISPOSAL / P2</v>
      </c>
    </row>
    <row r="555" spans="1:11" x14ac:dyDescent="0.3">
      <c r="A555" t="str">
        <f>"T3667"</f>
        <v>T3667</v>
      </c>
      <c r="B555" t="s">
        <v>173</v>
      </c>
      <c r="C555">
        <v>71434</v>
      </c>
      <c r="D555" s="2">
        <v>3462.25</v>
      </c>
      <c r="E555" s="1">
        <v>42926</v>
      </c>
      <c r="F555" t="s">
        <v>11</v>
      </c>
      <c r="G555" t="str">
        <f>"1324054"</f>
        <v>1324054</v>
      </c>
      <c r="H555" t="str">
        <f>"PAPER PRODUCTS1324054"</f>
        <v>PAPER PRODUCTS1324054</v>
      </c>
      <c r="I555" s="2">
        <v>2283.8000000000002</v>
      </c>
      <c r="J555" t="str">
        <f>"TOILET PAPER"</f>
        <v>TOILET PAPER</v>
      </c>
    </row>
    <row r="556" spans="1:11" x14ac:dyDescent="0.3">
      <c r="A556" t="str">
        <f>""</f>
        <v/>
      </c>
      <c r="G556" t="str">
        <f>""</f>
        <v/>
      </c>
      <c r="H556" t="str">
        <f>""</f>
        <v/>
      </c>
      <c r="J556" t="str">
        <f>"TOILET PAPER"</f>
        <v>TOILET PAPER</v>
      </c>
    </row>
    <row r="557" spans="1:11" x14ac:dyDescent="0.3">
      <c r="A557" t="str">
        <f>""</f>
        <v/>
      </c>
      <c r="G557" t="str">
        <f>""</f>
        <v/>
      </c>
      <c r="H557" t="str">
        <f>""</f>
        <v/>
      </c>
      <c r="J557" t="str">
        <f>"TOILET PAPER"</f>
        <v>TOILET PAPER</v>
      </c>
    </row>
    <row r="558" spans="1:11" x14ac:dyDescent="0.3">
      <c r="A558" t="str">
        <f>""</f>
        <v/>
      </c>
      <c r="G558" t="str">
        <f>"1324055"</f>
        <v>1324055</v>
      </c>
      <c r="H558" t="str">
        <f>"TRASH LINERS1324055"</f>
        <v>TRASH LINERS1324055</v>
      </c>
      <c r="I558" s="2">
        <v>342.6</v>
      </c>
      <c r="J558" t="str">
        <f>"TRASH LINERS1324055"</f>
        <v>TRASH LINERS1324055</v>
      </c>
    </row>
    <row r="559" spans="1:11" x14ac:dyDescent="0.3">
      <c r="A559" t="str">
        <f>""</f>
        <v/>
      </c>
      <c r="G559" t="str">
        <f>""</f>
        <v/>
      </c>
      <c r="H559" t="str">
        <f>""</f>
        <v/>
      </c>
      <c r="J559" t="str">
        <f>"TRASH LINERS1324055"</f>
        <v>TRASH LINERS1324055</v>
      </c>
    </row>
    <row r="560" spans="1:11" x14ac:dyDescent="0.3">
      <c r="A560" t="str">
        <f>""</f>
        <v/>
      </c>
      <c r="G560" t="str">
        <f>"1340208"</f>
        <v>1340208</v>
      </c>
      <c r="H560" t="str">
        <f>"CUST#01/0008007267/ORD#KU3U4"</f>
        <v>CUST#01/0008007267/ORD#KU3U4</v>
      </c>
      <c r="I560" s="2">
        <v>119.9</v>
      </c>
      <c r="J560" t="str">
        <f>"CUST#01/0008007267/ORD#KU3U4"</f>
        <v>CUST#01/0008007267/ORD#KU3U4</v>
      </c>
    </row>
    <row r="561" spans="1:11" x14ac:dyDescent="0.3">
      <c r="A561" t="str">
        <f>""</f>
        <v/>
      </c>
      <c r="G561" t="str">
        <f>"1343227"</f>
        <v>1343227</v>
      </c>
      <c r="H561" t="str">
        <f>"CUST#01/0007014928"</f>
        <v>CUST#01/0007014928</v>
      </c>
      <c r="I561" s="2">
        <v>715.95</v>
      </c>
      <c r="J561" t="str">
        <f>"CUST#01/0007014928"</f>
        <v>CUST#01/0007014928</v>
      </c>
    </row>
    <row r="562" spans="1:11" x14ac:dyDescent="0.3">
      <c r="A562" t="str">
        <f>"T3667"</f>
        <v>T3667</v>
      </c>
      <c r="B562" t="s">
        <v>173</v>
      </c>
      <c r="C562">
        <v>71705</v>
      </c>
      <c r="D562" s="2">
        <v>3217.78</v>
      </c>
      <c r="E562" s="1">
        <v>42940</v>
      </c>
      <c r="F562" t="s">
        <v>11</v>
      </c>
      <c r="G562" t="str">
        <f>"1345506"</f>
        <v>1345506</v>
      </c>
      <c r="H562" t="str">
        <f>"REPLENISH STOCK"</f>
        <v>REPLENISH STOCK</v>
      </c>
      <c r="I562" s="2">
        <v>3217.78</v>
      </c>
      <c r="J562" t="str">
        <f>"REPLENISH STOCK"</f>
        <v>REPLENISH STOCK</v>
      </c>
    </row>
    <row r="563" spans="1:11" x14ac:dyDescent="0.3">
      <c r="A563" t="str">
        <f>"005122"</f>
        <v>005122</v>
      </c>
      <c r="B563" t="s">
        <v>174</v>
      </c>
      <c r="C563">
        <v>71435</v>
      </c>
      <c r="D563" s="2">
        <v>18.18</v>
      </c>
      <c r="E563" s="1">
        <v>42926</v>
      </c>
      <c r="F563" t="s">
        <v>11</v>
      </c>
      <c r="G563" t="str">
        <f>"201707053329"</f>
        <v>201707053329</v>
      </c>
      <c r="H563" t="str">
        <f>"PHYSICIAN SVCS/INDIGENT HEALTH"</f>
        <v>PHYSICIAN SVCS/INDIGENT HEALTH</v>
      </c>
      <c r="I563" s="2">
        <v>18.18</v>
      </c>
      <c r="J563" t="str">
        <f>"PHYSICIAN SVCS/INDIGENT HEALTH"</f>
        <v>PHYSICIAN SVCS/INDIGENT HEALTH</v>
      </c>
    </row>
    <row r="564" spans="1:11" x14ac:dyDescent="0.3">
      <c r="A564" t="str">
        <f>"T14327"</f>
        <v>T14327</v>
      </c>
      <c r="B564" t="s">
        <v>175</v>
      </c>
      <c r="C564">
        <v>71436</v>
      </c>
      <c r="D564" s="2">
        <v>55</v>
      </c>
      <c r="E564" s="1">
        <v>42926</v>
      </c>
      <c r="F564" t="s">
        <v>11</v>
      </c>
      <c r="G564" t="str">
        <f>"201706293290"</f>
        <v>201706293290</v>
      </c>
      <c r="H564" t="str">
        <f>"MILEAGE-5/3/2017"</f>
        <v>MILEAGE-5/3/2017</v>
      </c>
      <c r="I564" s="2">
        <v>55</v>
      </c>
      <c r="J564" t="str">
        <f>"MILEAGE-5/3/2017"</f>
        <v>MILEAGE-5/3/2017</v>
      </c>
    </row>
    <row r="565" spans="1:11" x14ac:dyDescent="0.3">
      <c r="A565" t="str">
        <f>"003170"</f>
        <v>003170</v>
      </c>
      <c r="B565" t="s">
        <v>176</v>
      </c>
      <c r="C565">
        <v>71437</v>
      </c>
      <c r="D565" s="2">
        <v>225</v>
      </c>
      <c r="E565" s="1">
        <v>42926</v>
      </c>
      <c r="F565" t="s">
        <v>11</v>
      </c>
      <c r="G565" t="str">
        <f>"12655"</f>
        <v>12655</v>
      </c>
      <c r="H565" t="str">
        <f>"SERVICE-4/19/2017"</f>
        <v>SERVICE-4/19/2017</v>
      </c>
      <c r="I565" s="2">
        <v>75</v>
      </c>
      <c r="J565" t="str">
        <f>"SERVICE-4/19/2017"</f>
        <v>SERVICE-4/19/2017</v>
      </c>
    </row>
    <row r="566" spans="1:11" x14ac:dyDescent="0.3">
      <c r="A566" t="str">
        <f>""</f>
        <v/>
      </c>
      <c r="G566" t="str">
        <f>"12666"</f>
        <v>12666</v>
      </c>
      <c r="H566" t="str">
        <f>"SERVICE-4/19/2017"</f>
        <v>SERVICE-4/19/2017</v>
      </c>
      <c r="I566" s="2">
        <v>150</v>
      </c>
      <c r="J566" t="str">
        <f>"SERVICE-4/19/2017"</f>
        <v>SERVICE-4/19/2017</v>
      </c>
    </row>
    <row r="567" spans="1:11" x14ac:dyDescent="0.3">
      <c r="A567" t="str">
        <f>"T4987"</f>
        <v>T4987</v>
      </c>
      <c r="B567" t="s">
        <v>177</v>
      </c>
      <c r="C567">
        <v>71438</v>
      </c>
      <c r="D567" s="2">
        <v>120</v>
      </c>
      <c r="E567" s="1">
        <v>42926</v>
      </c>
      <c r="F567" t="s">
        <v>11</v>
      </c>
      <c r="G567" t="str">
        <f>"TRAINING-S.GASKAMP"</f>
        <v>TRAINING-S.GASKAMP</v>
      </c>
      <c r="H567" t="str">
        <f>"TRAINING"</f>
        <v>TRAINING</v>
      </c>
      <c r="I567" s="2">
        <v>120</v>
      </c>
      <c r="J567" t="str">
        <f>"TRAINING"</f>
        <v>TRAINING</v>
      </c>
    </row>
    <row r="568" spans="1:11" x14ac:dyDescent="0.3">
      <c r="A568" t="str">
        <f>"001798"</f>
        <v>001798</v>
      </c>
      <c r="B568" t="s">
        <v>178</v>
      </c>
      <c r="C568">
        <v>71439</v>
      </c>
      <c r="D568" s="2">
        <v>364.95</v>
      </c>
      <c r="E568" s="1">
        <v>42926</v>
      </c>
      <c r="F568" t="s">
        <v>11</v>
      </c>
      <c r="G568" t="str">
        <f>"47695"</f>
        <v>47695</v>
      </c>
      <c r="H568" t="str">
        <f>"Quote# 062014-01"</f>
        <v>Quote# 062014-01</v>
      </c>
      <c r="I568" s="2">
        <v>364.95</v>
      </c>
      <c r="J568" t="str">
        <f>"1CAD12CD-S"</f>
        <v>1CAD12CD-S</v>
      </c>
    </row>
    <row r="569" spans="1:11" x14ac:dyDescent="0.3">
      <c r="A569" t="str">
        <f>""</f>
        <v/>
      </c>
      <c r="G569" t="str">
        <f>""</f>
        <v/>
      </c>
      <c r="H569" t="str">
        <f>""</f>
        <v/>
      </c>
      <c r="J569" t="str">
        <f>"SHIPPING"</f>
        <v>SHIPPING</v>
      </c>
    </row>
    <row r="570" spans="1:11" x14ac:dyDescent="0.3">
      <c r="A570" t="str">
        <f>"004624"</f>
        <v>004624</v>
      </c>
      <c r="B570" t="s">
        <v>179</v>
      </c>
      <c r="C570">
        <v>71706</v>
      </c>
      <c r="D570" s="2">
        <v>100</v>
      </c>
      <c r="E570" s="1">
        <v>42940</v>
      </c>
      <c r="F570" t="s">
        <v>11</v>
      </c>
      <c r="G570" t="s">
        <v>124</v>
      </c>
      <c r="H570" t="s">
        <v>180</v>
      </c>
      <c r="I570" s="2" t="str">
        <f>"RESTITUTION-M. FELTS"</f>
        <v>RESTITUTION-M. FELTS</v>
      </c>
      <c r="J570" t="str">
        <f>"210-0000"</f>
        <v>210-0000</v>
      </c>
      <c r="K570">
        <v>100</v>
      </c>
    </row>
    <row r="571" spans="1:11" x14ac:dyDescent="0.3">
      <c r="A571" t="str">
        <f>"004351"</f>
        <v>004351</v>
      </c>
      <c r="B571" t="s">
        <v>181</v>
      </c>
      <c r="C571">
        <v>71707</v>
      </c>
      <c r="D571" s="2">
        <v>572.5</v>
      </c>
      <c r="E571" s="1">
        <v>42940</v>
      </c>
      <c r="F571" t="s">
        <v>11</v>
      </c>
      <c r="G571" t="str">
        <f>"201707113489"</f>
        <v>201707113489</v>
      </c>
      <c r="H571" t="str">
        <f>"TRAVEL REIMBURSE-LDRSHP LAB"</f>
        <v>TRAVEL REIMBURSE-LDRSHP LAB</v>
      </c>
      <c r="I571" s="2">
        <v>175</v>
      </c>
      <c r="J571" t="str">
        <f>"TRAVEL REIMBURSE-LDRSHP LAB"</f>
        <v>TRAVEL REIMBURSE-LDRSHP LAB</v>
      </c>
    </row>
    <row r="572" spans="1:11" x14ac:dyDescent="0.3">
      <c r="A572" t="str">
        <f>""</f>
        <v/>
      </c>
      <c r="G572" t="str">
        <f>"201707113490"</f>
        <v>201707113490</v>
      </c>
      <c r="H572" t="str">
        <f>"MILEAGE REIMBURSEMENT"</f>
        <v>MILEAGE REIMBURSEMENT</v>
      </c>
      <c r="I572" s="2">
        <v>397.5</v>
      </c>
      <c r="J572" t="str">
        <f>"MILEAGE REIMBURSEMENT"</f>
        <v>MILEAGE REIMBURSEMENT</v>
      </c>
    </row>
    <row r="573" spans="1:11" x14ac:dyDescent="0.3">
      <c r="A573" t="str">
        <f>"HPC"</f>
        <v>HPC</v>
      </c>
      <c r="B573" t="s">
        <v>182</v>
      </c>
      <c r="C573">
        <v>71708</v>
      </c>
      <c r="D573" s="2">
        <v>650</v>
      </c>
      <c r="E573" s="1">
        <v>42940</v>
      </c>
      <c r="F573" t="s">
        <v>11</v>
      </c>
      <c r="G573" t="str">
        <f>"JULY SERVICE"</f>
        <v>JULY SERVICE</v>
      </c>
      <c r="H573" t="str">
        <f>"JULY SERVICE"</f>
        <v>JULY SERVICE</v>
      </c>
      <c r="I573" s="2">
        <v>650</v>
      </c>
      <c r="J573" t="str">
        <f>"JULY SERVICE"</f>
        <v>JULY SERVICE</v>
      </c>
    </row>
    <row r="574" spans="1:11" x14ac:dyDescent="0.3">
      <c r="A574" t="str">
        <f>"ECKEL"</f>
        <v>ECKEL</v>
      </c>
      <c r="B574" t="s">
        <v>183</v>
      </c>
      <c r="C574">
        <v>71440</v>
      </c>
      <c r="D574" s="2">
        <v>325</v>
      </c>
      <c r="E574" s="1">
        <v>42926</v>
      </c>
      <c r="F574" t="s">
        <v>11</v>
      </c>
      <c r="G574" t="str">
        <f>"201707063404"</f>
        <v>201707063404</v>
      </c>
      <c r="H574" t="str">
        <f>"17-18119"</f>
        <v>17-18119</v>
      </c>
      <c r="I574" s="2">
        <v>325</v>
      </c>
      <c r="J574" t="str">
        <f>"17-18119"</f>
        <v>17-18119</v>
      </c>
    </row>
    <row r="575" spans="1:11" x14ac:dyDescent="0.3">
      <c r="A575" t="str">
        <f>"ECKEL"</f>
        <v>ECKEL</v>
      </c>
      <c r="B575" t="s">
        <v>183</v>
      </c>
      <c r="C575">
        <v>71709</v>
      </c>
      <c r="D575" s="2">
        <v>987.5</v>
      </c>
      <c r="E575" s="1">
        <v>42940</v>
      </c>
      <c r="F575" t="s">
        <v>11</v>
      </c>
      <c r="G575" t="str">
        <f>"201707193731"</f>
        <v>201707193731</v>
      </c>
      <c r="H575" t="str">
        <f>"16-17601"</f>
        <v>16-17601</v>
      </c>
      <c r="I575" s="2">
        <v>637.5</v>
      </c>
      <c r="J575" t="str">
        <f>"16-17601"</f>
        <v>16-17601</v>
      </c>
    </row>
    <row r="576" spans="1:11" x14ac:dyDescent="0.3">
      <c r="A576" t="str">
        <f>""</f>
        <v/>
      </c>
      <c r="G576" t="str">
        <f>"201707193732"</f>
        <v>201707193732</v>
      </c>
      <c r="H576" t="str">
        <f>"17-18277"</f>
        <v>17-18277</v>
      </c>
      <c r="I576" s="2">
        <v>250</v>
      </c>
      <c r="J576" t="str">
        <f>"17-18277"</f>
        <v>17-18277</v>
      </c>
    </row>
    <row r="577" spans="1:10" x14ac:dyDescent="0.3">
      <c r="A577" t="str">
        <f>""</f>
        <v/>
      </c>
      <c r="G577" t="str">
        <f>"201707193733"</f>
        <v>201707193733</v>
      </c>
      <c r="H577" t="str">
        <f>"16-18010"</f>
        <v>16-18010</v>
      </c>
      <c r="I577" s="2">
        <v>100</v>
      </c>
      <c r="J577" t="str">
        <f>"16-18010"</f>
        <v>16-18010</v>
      </c>
    </row>
    <row r="578" spans="1:10" x14ac:dyDescent="0.3">
      <c r="A578" t="str">
        <f>"T7901"</f>
        <v>T7901</v>
      </c>
      <c r="B578" t="s">
        <v>184</v>
      </c>
      <c r="C578">
        <v>71710</v>
      </c>
      <c r="D578" s="2">
        <v>310.33</v>
      </c>
      <c r="E578" s="1">
        <v>42940</v>
      </c>
      <c r="F578" t="s">
        <v>11</v>
      </c>
      <c r="G578" t="str">
        <f>"201707183684"</f>
        <v>201707183684</v>
      </c>
      <c r="H578" t="str">
        <f>"REIMBURSE-CONVENTION/HOTEL/MIL"</f>
        <v>REIMBURSE-CONVENTION/HOTEL/MIL</v>
      </c>
      <c r="I578" s="2">
        <v>310.33</v>
      </c>
      <c r="J578" t="str">
        <f>"REIMBURSE-CONVENTION/HOTEL/MIL"</f>
        <v>REIMBURSE-CONVENTION/HOTEL/MIL</v>
      </c>
    </row>
    <row r="579" spans="1:10" x14ac:dyDescent="0.3">
      <c r="A579" t="str">
        <f>"HM"</f>
        <v>HM</v>
      </c>
      <c r="B579" t="s">
        <v>185</v>
      </c>
      <c r="C579">
        <v>71711</v>
      </c>
      <c r="D579" s="2">
        <v>102680.75</v>
      </c>
      <c r="E579" s="1">
        <v>42940</v>
      </c>
      <c r="F579" t="s">
        <v>11</v>
      </c>
      <c r="G579" t="str">
        <f>"201707193712"</f>
        <v>201707193712</v>
      </c>
      <c r="H579" t="str">
        <f>"CUST#0129200/PCT#4"</f>
        <v>CUST#0129200/PCT#4</v>
      </c>
      <c r="I579" s="2">
        <v>108.75</v>
      </c>
      <c r="J579" t="str">
        <f>"CUST#0129200/PCT#4"</f>
        <v>CUST#0129200/PCT#4</v>
      </c>
    </row>
    <row r="580" spans="1:10" x14ac:dyDescent="0.3">
      <c r="A580" t="str">
        <f>""</f>
        <v/>
      </c>
      <c r="G580" t="str">
        <f>"SIMA41407010"</f>
        <v>SIMA41407010</v>
      </c>
      <c r="H580" t="str">
        <f>"CATERPILLAR INC 308E CR"</f>
        <v>CATERPILLAR INC 308E CR</v>
      </c>
      <c r="I580" s="2">
        <v>102572</v>
      </c>
      <c r="J580" t="str">
        <f>"CATERPILLAR INC 308E CR"</f>
        <v>CATERPILLAR INC 308E CR</v>
      </c>
    </row>
    <row r="581" spans="1:10" x14ac:dyDescent="0.3">
      <c r="A581" t="str">
        <f>""</f>
        <v/>
      </c>
      <c r="G581" t="str">
        <f>""</f>
        <v/>
      </c>
      <c r="H581" t="str">
        <f>""</f>
        <v/>
      </c>
      <c r="J581" t="str">
        <f>"BUCKET DITCH CLEAN"</f>
        <v>BUCKET DITCH CLEAN</v>
      </c>
    </row>
    <row r="582" spans="1:10" x14ac:dyDescent="0.3">
      <c r="A582" t="str">
        <f>"T8869"</f>
        <v>T8869</v>
      </c>
      <c r="B582" t="s">
        <v>186</v>
      </c>
      <c r="C582">
        <v>71441</v>
      </c>
      <c r="D582" s="2">
        <v>2897.65</v>
      </c>
      <c r="E582" s="1">
        <v>42926</v>
      </c>
      <c r="F582" t="s">
        <v>11</v>
      </c>
      <c r="G582" t="str">
        <f>"ACCT#7656"</f>
        <v>ACCT#7656</v>
      </c>
      <c r="H582" t="str">
        <f>"Acct# 7656"</f>
        <v>Acct# 7656</v>
      </c>
      <c r="I582" s="2">
        <v>2897.65</v>
      </c>
      <c r="J582" t="str">
        <f>"Inv# 6900559"</f>
        <v>Inv# 6900559</v>
      </c>
    </row>
    <row r="583" spans="1:10" x14ac:dyDescent="0.3">
      <c r="A583" t="str">
        <f>""</f>
        <v/>
      </c>
      <c r="G583" t="str">
        <f>""</f>
        <v/>
      </c>
      <c r="H583" t="str">
        <f>""</f>
        <v/>
      </c>
      <c r="J583" t="str">
        <f>"Inv# 6900560"</f>
        <v>Inv# 6900560</v>
      </c>
    </row>
    <row r="584" spans="1:10" x14ac:dyDescent="0.3">
      <c r="A584" t="str">
        <f>""</f>
        <v/>
      </c>
      <c r="G584" t="str">
        <f>""</f>
        <v/>
      </c>
      <c r="H584" t="str">
        <f>""</f>
        <v/>
      </c>
      <c r="J584" t="str">
        <f>"Inv# 6973799"</f>
        <v>Inv# 6973799</v>
      </c>
    </row>
    <row r="585" spans="1:10" x14ac:dyDescent="0.3">
      <c r="A585" t="str">
        <f>""</f>
        <v/>
      </c>
      <c r="G585" t="str">
        <f>""</f>
        <v/>
      </c>
      <c r="H585" t="str">
        <f>""</f>
        <v/>
      </c>
      <c r="J585" t="str">
        <f>"Inv# 5090776"</f>
        <v>Inv# 5090776</v>
      </c>
    </row>
    <row r="586" spans="1:10" x14ac:dyDescent="0.3">
      <c r="A586" t="str">
        <f>""</f>
        <v/>
      </c>
      <c r="G586" t="str">
        <f>""</f>
        <v/>
      </c>
      <c r="H586" t="str">
        <f>""</f>
        <v/>
      </c>
      <c r="J586" t="str">
        <f>"Inv# 1101438"</f>
        <v>Inv# 1101438</v>
      </c>
    </row>
    <row r="587" spans="1:10" x14ac:dyDescent="0.3">
      <c r="A587" t="str">
        <f>""</f>
        <v/>
      </c>
      <c r="G587" t="str">
        <f>""</f>
        <v/>
      </c>
      <c r="H587" t="str">
        <f>""</f>
        <v/>
      </c>
      <c r="J587" t="str">
        <f>"Inv# 6024678"</f>
        <v>Inv# 6024678</v>
      </c>
    </row>
    <row r="588" spans="1:10" x14ac:dyDescent="0.3">
      <c r="A588" t="str">
        <f>""</f>
        <v/>
      </c>
      <c r="G588" t="str">
        <f>""</f>
        <v/>
      </c>
      <c r="H588" t="str">
        <f>""</f>
        <v/>
      </c>
      <c r="J588" t="str">
        <f>"Inv# 2024036"</f>
        <v>Inv# 2024036</v>
      </c>
    </row>
    <row r="589" spans="1:10" x14ac:dyDescent="0.3">
      <c r="A589" t="str">
        <f>""</f>
        <v/>
      </c>
      <c r="G589" t="str">
        <f>""</f>
        <v/>
      </c>
      <c r="H589" t="str">
        <f>""</f>
        <v/>
      </c>
      <c r="J589" t="str">
        <f>"Inv# 1012515"</f>
        <v>Inv# 1012515</v>
      </c>
    </row>
    <row r="590" spans="1:10" x14ac:dyDescent="0.3">
      <c r="A590" t="str">
        <f>""</f>
        <v/>
      </c>
      <c r="G590" t="str">
        <f>""</f>
        <v/>
      </c>
      <c r="H590" t="str">
        <f>""</f>
        <v/>
      </c>
      <c r="J590" t="str">
        <f>"Inv# 24201"</f>
        <v>Inv# 24201</v>
      </c>
    </row>
    <row r="591" spans="1:10" x14ac:dyDescent="0.3">
      <c r="A591" t="str">
        <f>""</f>
        <v/>
      </c>
      <c r="G591" t="str">
        <f>""</f>
        <v/>
      </c>
      <c r="H591" t="str">
        <f>""</f>
        <v/>
      </c>
      <c r="J591" t="str">
        <f>"Inv# 7024503"</f>
        <v>Inv# 7024503</v>
      </c>
    </row>
    <row r="592" spans="1:10" x14ac:dyDescent="0.3">
      <c r="A592" t="str">
        <f>""</f>
        <v/>
      </c>
      <c r="G592" t="str">
        <f>""</f>
        <v/>
      </c>
      <c r="H592" t="str">
        <f>""</f>
        <v/>
      </c>
      <c r="J592" t="str">
        <f>"Inv# 5013115"</f>
        <v>Inv# 5013115</v>
      </c>
    </row>
    <row r="593" spans="1:10" x14ac:dyDescent="0.3">
      <c r="A593" t="str">
        <f>""</f>
        <v/>
      </c>
      <c r="G593" t="str">
        <f>""</f>
        <v/>
      </c>
      <c r="H593" t="str">
        <f>""</f>
        <v/>
      </c>
      <c r="J593" t="str">
        <f>"Inv# 8973717"</f>
        <v>Inv# 8973717</v>
      </c>
    </row>
    <row r="594" spans="1:10" x14ac:dyDescent="0.3">
      <c r="A594" t="str">
        <f>""</f>
        <v/>
      </c>
      <c r="G594" t="str">
        <f>""</f>
        <v/>
      </c>
      <c r="H594" t="str">
        <f>""</f>
        <v/>
      </c>
      <c r="J594" t="str">
        <f>"Inv# 3020303"</f>
        <v>Inv# 3020303</v>
      </c>
    </row>
    <row r="595" spans="1:10" x14ac:dyDescent="0.3">
      <c r="A595" t="str">
        <f>""</f>
        <v/>
      </c>
      <c r="G595" t="str">
        <f>""</f>
        <v/>
      </c>
      <c r="H595" t="str">
        <f>""</f>
        <v/>
      </c>
      <c r="J595" t="str">
        <f>"Inv# 3151030"</f>
        <v>Inv# 3151030</v>
      </c>
    </row>
    <row r="596" spans="1:10" x14ac:dyDescent="0.3">
      <c r="A596" t="str">
        <f>""</f>
        <v/>
      </c>
      <c r="G596" t="str">
        <f>""</f>
        <v/>
      </c>
      <c r="H596" t="str">
        <f>""</f>
        <v/>
      </c>
      <c r="J596" t="str">
        <f>"Inv# 6014977"</f>
        <v>Inv# 6014977</v>
      </c>
    </row>
    <row r="597" spans="1:10" x14ac:dyDescent="0.3">
      <c r="A597" t="str">
        <f>""</f>
        <v/>
      </c>
      <c r="G597" t="str">
        <f>""</f>
        <v/>
      </c>
      <c r="H597" t="str">
        <f>""</f>
        <v/>
      </c>
      <c r="J597" t="str">
        <f>"Inv# 5021083"</f>
        <v>Inv# 5021083</v>
      </c>
    </row>
    <row r="598" spans="1:10" x14ac:dyDescent="0.3">
      <c r="A598" t="str">
        <f>""</f>
        <v/>
      </c>
      <c r="G598" t="str">
        <f>""</f>
        <v/>
      </c>
      <c r="H598" t="str">
        <f>""</f>
        <v/>
      </c>
      <c r="J598" t="str">
        <f>"Inv# 5021095"</f>
        <v>Inv# 5021095</v>
      </c>
    </row>
    <row r="599" spans="1:10" x14ac:dyDescent="0.3">
      <c r="A599" t="str">
        <f>""</f>
        <v/>
      </c>
      <c r="G599" t="str">
        <f>""</f>
        <v/>
      </c>
      <c r="H599" t="str">
        <f>""</f>
        <v/>
      </c>
      <c r="J599" t="str">
        <f>"Inv# 2163741"</f>
        <v>Inv# 2163741</v>
      </c>
    </row>
    <row r="600" spans="1:10" x14ac:dyDescent="0.3">
      <c r="A600" t="str">
        <f>""</f>
        <v/>
      </c>
      <c r="G600" t="str">
        <f>""</f>
        <v/>
      </c>
      <c r="H600" t="str">
        <f>""</f>
        <v/>
      </c>
      <c r="J600" t="str">
        <f>"Inv# 3151028"</f>
        <v>Inv# 3151028</v>
      </c>
    </row>
    <row r="601" spans="1:10" x14ac:dyDescent="0.3">
      <c r="A601" t="str">
        <f>""</f>
        <v/>
      </c>
      <c r="G601" t="str">
        <f>""</f>
        <v/>
      </c>
      <c r="H601" t="str">
        <f>""</f>
        <v/>
      </c>
      <c r="J601" t="str">
        <f>"Inv# 5044196"</f>
        <v>Inv# 5044196</v>
      </c>
    </row>
    <row r="602" spans="1:10" x14ac:dyDescent="0.3">
      <c r="A602" t="str">
        <f>""</f>
        <v/>
      </c>
      <c r="G602" t="str">
        <f>""</f>
        <v/>
      </c>
      <c r="H602" t="str">
        <f>""</f>
        <v/>
      </c>
      <c r="J602" t="str">
        <f>"Inv# 2090445"</f>
        <v>Inv# 2090445</v>
      </c>
    </row>
    <row r="603" spans="1:10" x14ac:dyDescent="0.3">
      <c r="A603" t="str">
        <f>""</f>
        <v/>
      </c>
      <c r="G603" t="str">
        <f>""</f>
        <v/>
      </c>
      <c r="H603" t="str">
        <f>""</f>
        <v/>
      </c>
      <c r="J603" t="str">
        <f>"Inv# 5010035"</f>
        <v>Inv# 5010035</v>
      </c>
    </row>
    <row r="604" spans="1:10" x14ac:dyDescent="0.3">
      <c r="A604" t="str">
        <f>""</f>
        <v/>
      </c>
      <c r="G604" t="str">
        <f>""</f>
        <v/>
      </c>
      <c r="H604" t="str">
        <f>""</f>
        <v/>
      </c>
      <c r="J604" t="str">
        <f>"Inv# 90121"</f>
        <v>Inv# 90121</v>
      </c>
    </row>
    <row r="605" spans="1:10" x14ac:dyDescent="0.3">
      <c r="A605" t="str">
        <f>""</f>
        <v/>
      </c>
      <c r="G605" t="str">
        <f>""</f>
        <v/>
      </c>
      <c r="H605" t="str">
        <f>""</f>
        <v/>
      </c>
      <c r="J605" t="str">
        <f>"Inv# 3571437"</f>
        <v>Inv# 3571437</v>
      </c>
    </row>
    <row r="606" spans="1:10" x14ac:dyDescent="0.3">
      <c r="A606" t="str">
        <f>""</f>
        <v/>
      </c>
      <c r="G606" t="str">
        <f>""</f>
        <v/>
      </c>
      <c r="H606" t="str">
        <f>""</f>
        <v/>
      </c>
      <c r="J606" t="str">
        <f>"Inv# 2012449"</f>
        <v>Inv# 2012449</v>
      </c>
    </row>
    <row r="607" spans="1:10" x14ac:dyDescent="0.3">
      <c r="A607" t="str">
        <f>""</f>
        <v/>
      </c>
      <c r="G607" t="str">
        <f>""</f>
        <v/>
      </c>
      <c r="H607" t="str">
        <f>""</f>
        <v/>
      </c>
      <c r="J607" t="str">
        <f>"Inv# 2571491"</f>
        <v>Inv# 2571491</v>
      </c>
    </row>
    <row r="608" spans="1:10" x14ac:dyDescent="0.3">
      <c r="A608" t="str">
        <f>""</f>
        <v/>
      </c>
      <c r="G608" t="str">
        <f>""</f>
        <v/>
      </c>
      <c r="H608" t="str">
        <f>""</f>
        <v/>
      </c>
      <c r="J608" t="str">
        <f>"Inv# 90121"</f>
        <v>Inv# 90121</v>
      </c>
    </row>
    <row r="609" spans="1:10" x14ac:dyDescent="0.3">
      <c r="A609" t="str">
        <f>""</f>
        <v/>
      </c>
      <c r="G609" t="str">
        <f>""</f>
        <v/>
      </c>
      <c r="H609" t="str">
        <f>""</f>
        <v/>
      </c>
      <c r="J609" t="str">
        <f>"Inv# 90121"</f>
        <v>Inv# 90121</v>
      </c>
    </row>
    <row r="610" spans="1:10" x14ac:dyDescent="0.3">
      <c r="A610" t="str">
        <f>""</f>
        <v/>
      </c>
      <c r="G610" t="str">
        <f>""</f>
        <v/>
      </c>
      <c r="H610" t="str">
        <f>""</f>
        <v/>
      </c>
      <c r="J610" t="str">
        <f>"Inv# 1024085"</f>
        <v>Inv# 1024085</v>
      </c>
    </row>
    <row r="611" spans="1:10" x14ac:dyDescent="0.3">
      <c r="A611" t="str">
        <f>""</f>
        <v/>
      </c>
      <c r="G611" t="str">
        <f>""</f>
        <v/>
      </c>
      <c r="H611" t="str">
        <f>""</f>
        <v/>
      </c>
      <c r="J611" t="str">
        <f>"Inv# 13553"</f>
        <v>Inv# 13553</v>
      </c>
    </row>
    <row r="612" spans="1:10" x14ac:dyDescent="0.3">
      <c r="A612" t="str">
        <f>""</f>
        <v/>
      </c>
      <c r="G612" t="str">
        <f>""</f>
        <v/>
      </c>
      <c r="H612" t="str">
        <f>""</f>
        <v/>
      </c>
      <c r="J612" t="str">
        <f>"Inv# 2020376"</f>
        <v>Inv# 2020376</v>
      </c>
    </row>
    <row r="613" spans="1:10" x14ac:dyDescent="0.3">
      <c r="A613" t="str">
        <f>""</f>
        <v/>
      </c>
      <c r="G613" t="str">
        <f>""</f>
        <v/>
      </c>
      <c r="H613" t="str">
        <f>""</f>
        <v/>
      </c>
      <c r="J613" t="str">
        <f>"Inv# 8025457"</f>
        <v>Inv# 8025457</v>
      </c>
    </row>
    <row r="614" spans="1:10" x14ac:dyDescent="0.3">
      <c r="A614" t="str">
        <f>""</f>
        <v/>
      </c>
      <c r="G614" t="str">
        <f>""</f>
        <v/>
      </c>
      <c r="H614" t="str">
        <f>""</f>
        <v/>
      </c>
      <c r="J614" t="str">
        <f>"Inv# 2171903"</f>
        <v>Inv# 2171903</v>
      </c>
    </row>
    <row r="615" spans="1:10" x14ac:dyDescent="0.3">
      <c r="A615" t="str">
        <f>""</f>
        <v/>
      </c>
      <c r="G615" t="str">
        <f>""</f>
        <v/>
      </c>
      <c r="H615" t="str">
        <f>""</f>
        <v/>
      </c>
      <c r="J615" t="str">
        <f>"Inv# 11719473"</f>
        <v>Inv# 11719473</v>
      </c>
    </row>
    <row r="616" spans="1:10" x14ac:dyDescent="0.3">
      <c r="A616" t="str">
        <f>""</f>
        <v/>
      </c>
      <c r="G616" t="str">
        <f>""</f>
        <v/>
      </c>
      <c r="H616" t="str">
        <f>""</f>
        <v/>
      </c>
      <c r="J616" t="str">
        <f>"Inv# 1171944"</f>
        <v>Inv# 1171944</v>
      </c>
    </row>
    <row r="617" spans="1:10" x14ac:dyDescent="0.3">
      <c r="A617" t="str">
        <f>""</f>
        <v/>
      </c>
      <c r="G617" t="str">
        <f>""</f>
        <v/>
      </c>
      <c r="H617" t="str">
        <f>""</f>
        <v/>
      </c>
      <c r="J617" t="str">
        <f>"Inv# 7024513"</f>
        <v>Inv# 7024513</v>
      </c>
    </row>
    <row r="618" spans="1:10" x14ac:dyDescent="0.3">
      <c r="A618" t="str">
        <f>""</f>
        <v/>
      </c>
      <c r="G618" t="str">
        <f>""</f>
        <v/>
      </c>
      <c r="H618" t="str">
        <f>""</f>
        <v/>
      </c>
      <c r="J618" t="str">
        <f>"Inv# 6024655"</f>
        <v>Inv# 6024655</v>
      </c>
    </row>
    <row r="619" spans="1:10" x14ac:dyDescent="0.3">
      <c r="A619" t="str">
        <f>""</f>
        <v/>
      </c>
      <c r="G619" t="str">
        <f>""</f>
        <v/>
      </c>
      <c r="H619" t="str">
        <f>""</f>
        <v/>
      </c>
      <c r="J619" t="str">
        <f>"Inv# 6024677"</f>
        <v>Inv# 6024677</v>
      </c>
    </row>
    <row r="620" spans="1:10" x14ac:dyDescent="0.3">
      <c r="A620" t="str">
        <f>""</f>
        <v/>
      </c>
      <c r="G620" t="str">
        <f>""</f>
        <v/>
      </c>
      <c r="H620" t="str">
        <f>""</f>
        <v/>
      </c>
      <c r="J620" t="str">
        <f>"Inv# 9013752"</f>
        <v>Inv# 9013752</v>
      </c>
    </row>
    <row r="621" spans="1:10" x14ac:dyDescent="0.3">
      <c r="A621" t="str">
        <f>""</f>
        <v/>
      </c>
      <c r="G621" t="str">
        <f>""</f>
        <v/>
      </c>
      <c r="H621" t="str">
        <f>""</f>
        <v/>
      </c>
      <c r="J621" t="str">
        <f>"Inv# 8013899"</f>
        <v>Inv# 8013899</v>
      </c>
    </row>
    <row r="622" spans="1:10" x14ac:dyDescent="0.3">
      <c r="A622" t="str">
        <f>""</f>
        <v/>
      </c>
      <c r="G622" t="str">
        <f>""</f>
        <v/>
      </c>
      <c r="H622" t="str">
        <f>""</f>
        <v/>
      </c>
      <c r="J622" t="str">
        <f>"Inv# 20623"</f>
        <v>Inv# 20623</v>
      </c>
    </row>
    <row r="623" spans="1:10" x14ac:dyDescent="0.3">
      <c r="A623" t="str">
        <f>""</f>
        <v/>
      </c>
      <c r="G623" t="str">
        <f>""</f>
        <v/>
      </c>
      <c r="H623" t="str">
        <f>""</f>
        <v/>
      </c>
      <c r="J623" t="str">
        <f>"Inv# 6015022"</f>
        <v>Inv# 6015022</v>
      </c>
    </row>
    <row r="624" spans="1:10" x14ac:dyDescent="0.3">
      <c r="A624" t="str">
        <f>""</f>
        <v/>
      </c>
      <c r="G624" t="str">
        <f>""</f>
        <v/>
      </c>
      <c r="H624" t="str">
        <f>""</f>
        <v/>
      </c>
      <c r="J624" t="str">
        <f>"Inv# 5010001"</f>
        <v>Inv# 5010001</v>
      </c>
    </row>
    <row r="625" spans="1:10" x14ac:dyDescent="0.3">
      <c r="A625" t="str">
        <f>""</f>
        <v/>
      </c>
      <c r="G625" t="str">
        <f>""</f>
        <v/>
      </c>
      <c r="H625" t="str">
        <f>""</f>
        <v/>
      </c>
      <c r="J625" t="str">
        <f>"Inv# 6164145"</f>
        <v>Inv# 6164145</v>
      </c>
    </row>
    <row r="626" spans="1:10" x14ac:dyDescent="0.3">
      <c r="A626" t="str">
        <f>"T8157"</f>
        <v>T8157</v>
      </c>
      <c r="B626" t="s">
        <v>187</v>
      </c>
      <c r="C626">
        <v>71712</v>
      </c>
      <c r="D626" s="2">
        <v>86.04</v>
      </c>
      <c r="E626" s="1">
        <v>42940</v>
      </c>
      <c r="F626" t="s">
        <v>11</v>
      </c>
      <c r="G626" t="str">
        <f>"201707193778"</f>
        <v>201707193778</v>
      </c>
      <c r="H626" t="str">
        <f>"INDIGENT HEALTH"</f>
        <v>INDIGENT HEALTH</v>
      </c>
      <c r="I626" s="2">
        <v>86.04</v>
      </c>
      <c r="J626" t="str">
        <f>"INDIGENT HEALTH"</f>
        <v>INDIGENT HEALTH</v>
      </c>
    </row>
    <row r="627" spans="1:10" x14ac:dyDescent="0.3">
      <c r="A627" t="str">
        <f>"005164"</f>
        <v>005164</v>
      </c>
      <c r="B627" t="s">
        <v>188</v>
      </c>
      <c r="C627">
        <v>71885</v>
      </c>
      <c r="D627" s="2">
        <v>68.7</v>
      </c>
      <c r="E627" s="1">
        <v>42944</v>
      </c>
      <c r="F627" t="s">
        <v>11</v>
      </c>
      <c r="G627" t="str">
        <f>"201707283940"</f>
        <v>201707283940</v>
      </c>
      <c r="H627" t="str">
        <f>"INDIGENT HEALTH"</f>
        <v>INDIGENT HEALTH</v>
      </c>
      <c r="I627" s="2">
        <v>68.7</v>
      </c>
      <c r="J627" t="str">
        <f>"INDIGENT HEALTH"</f>
        <v>INDIGENT HEALTH</v>
      </c>
    </row>
    <row r="628" spans="1:10" x14ac:dyDescent="0.3">
      <c r="A628" t="str">
        <f>"003653"</f>
        <v>003653</v>
      </c>
      <c r="B628" t="s">
        <v>189</v>
      </c>
      <c r="C628">
        <v>71713</v>
      </c>
      <c r="D628" s="2">
        <v>2436.7399999999998</v>
      </c>
      <c r="E628" s="1">
        <v>42940</v>
      </c>
      <c r="F628" t="s">
        <v>11</v>
      </c>
      <c r="G628" t="str">
        <f>"201707113492"</f>
        <v>201707113492</v>
      </c>
      <c r="H628" t="str">
        <f>"STATEMENT#S1707030002-00062"</f>
        <v>STATEMENT#S1707030002-00062</v>
      </c>
      <c r="I628" s="2">
        <v>1954.32</v>
      </c>
      <c r="J628" t="str">
        <f>"STATEMENT#S1707030002-00062"</f>
        <v>STATEMENT#S1707030002-00062</v>
      </c>
    </row>
    <row r="629" spans="1:10" x14ac:dyDescent="0.3">
      <c r="A629" t="str">
        <f>""</f>
        <v/>
      </c>
      <c r="G629" t="str">
        <f>""</f>
        <v/>
      </c>
      <c r="H629" t="str">
        <f>""</f>
        <v/>
      </c>
      <c r="J629" t="str">
        <f>"STATEMENT#S1707030002-00062"</f>
        <v>STATEMENT#S1707030002-00062</v>
      </c>
    </row>
    <row r="630" spans="1:10" x14ac:dyDescent="0.3">
      <c r="A630" t="str">
        <f>""</f>
        <v/>
      </c>
      <c r="G630" t="str">
        <f>"201707113498"</f>
        <v>201707113498</v>
      </c>
      <c r="H630" t="str">
        <f>"ACCT#100402264"</f>
        <v>ACCT#100402264</v>
      </c>
      <c r="I630" s="2">
        <v>482.42</v>
      </c>
      <c r="J630" t="str">
        <f>"ACCT#100402264"</f>
        <v>ACCT#100402264</v>
      </c>
    </row>
    <row r="631" spans="1:10" x14ac:dyDescent="0.3">
      <c r="A631" t="str">
        <f>"003545"</f>
        <v>003545</v>
      </c>
      <c r="B631" t="s">
        <v>190</v>
      </c>
      <c r="C631">
        <v>71442</v>
      </c>
      <c r="D631" s="2">
        <v>108.52</v>
      </c>
      <c r="E631" s="1">
        <v>42926</v>
      </c>
      <c r="F631" t="s">
        <v>11</v>
      </c>
      <c r="G631" t="str">
        <f>"99639"</f>
        <v>99639</v>
      </c>
      <c r="H631" t="str">
        <f>"WIRE BRAID HOSE/PCT#3"</f>
        <v>WIRE BRAID HOSE/PCT#3</v>
      </c>
      <c r="I631" s="2">
        <v>108.52</v>
      </c>
      <c r="J631" t="str">
        <f>"WIRE BRAID HOSE/PCT#3"</f>
        <v>WIRE BRAID HOSE/PCT#3</v>
      </c>
    </row>
    <row r="632" spans="1:10" x14ac:dyDescent="0.3">
      <c r="A632" t="str">
        <f>"003545"</f>
        <v>003545</v>
      </c>
      <c r="B632" t="s">
        <v>190</v>
      </c>
      <c r="C632">
        <v>71714</v>
      </c>
      <c r="D632" s="2">
        <v>77.69</v>
      </c>
      <c r="E632" s="1">
        <v>42940</v>
      </c>
      <c r="F632" t="s">
        <v>11</v>
      </c>
      <c r="G632" t="str">
        <f>"99850"</f>
        <v>99850</v>
      </c>
      <c r="H632" t="str">
        <f>"MATERIALS"</f>
        <v>MATERIALS</v>
      </c>
      <c r="I632" s="2">
        <v>77.69</v>
      </c>
      <c r="J632" t="str">
        <f>"MATERIALS"</f>
        <v>MATERIALS</v>
      </c>
    </row>
    <row r="633" spans="1:10" x14ac:dyDescent="0.3">
      <c r="A633" t="str">
        <f>"T11576"</f>
        <v>T11576</v>
      </c>
      <c r="B633" t="s">
        <v>191</v>
      </c>
      <c r="C633">
        <v>71715</v>
      </c>
      <c r="D633" s="2">
        <v>2430</v>
      </c>
      <c r="E633" s="1">
        <v>42940</v>
      </c>
      <c r="F633" t="s">
        <v>11</v>
      </c>
      <c r="G633" t="str">
        <f>"64339"</f>
        <v>64339</v>
      </c>
      <c r="H633" t="str">
        <f>"PROF SVCS-AUGUST 2017"</f>
        <v>PROF SVCS-AUGUST 2017</v>
      </c>
      <c r="I633" s="2">
        <v>2430</v>
      </c>
      <c r="J633" t="str">
        <f>"PROF SVCS-AUGUST 2017"</f>
        <v>PROF SVCS-AUGUST 2017</v>
      </c>
    </row>
    <row r="634" spans="1:10" x14ac:dyDescent="0.3">
      <c r="A634" t="str">
        <f>""</f>
        <v/>
      </c>
      <c r="G634" t="str">
        <f>""</f>
        <v/>
      </c>
      <c r="H634" t="str">
        <f>""</f>
        <v/>
      </c>
      <c r="J634" t="str">
        <f>"PROF SVCS-AUGUST 2017"</f>
        <v>PROF SVCS-AUGUST 2017</v>
      </c>
    </row>
    <row r="635" spans="1:10" x14ac:dyDescent="0.3">
      <c r="A635" t="str">
        <f>"IRON"</f>
        <v>IRON</v>
      </c>
      <c r="B635" t="s">
        <v>192</v>
      </c>
      <c r="C635">
        <v>71716</v>
      </c>
      <c r="D635" s="2">
        <v>66.12</v>
      </c>
      <c r="E635" s="1">
        <v>42940</v>
      </c>
      <c r="F635" t="s">
        <v>11</v>
      </c>
      <c r="G635" t="str">
        <f>"NYK2620"</f>
        <v>NYK2620</v>
      </c>
      <c r="H635" t="str">
        <f>"CUST ID#AX773/CNTY CLERK"</f>
        <v>CUST ID#AX773/CNTY CLERK</v>
      </c>
      <c r="I635" s="2">
        <v>66.12</v>
      </c>
      <c r="J635" t="str">
        <f>"CUST ID#AX773/CNTY CLERK"</f>
        <v>CUST ID#AX773/CNTY CLERK</v>
      </c>
    </row>
    <row r="636" spans="1:10" x14ac:dyDescent="0.3">
      <c r="A636" t="str">
        <f>"T7585"</f>
        <v>T7585</v>
      </c>
      <c r="B636" t="s">
        <v>193</v>
      </c>
      <c r="C636">
        <v>71443</v>
      </c>
      <c r="D636" s="2">
        <v>260</v>
      </c>
      <c r="E636" s="1">
        <v>42926</v>
      </c>
      <c r="F636" t="s">
        <v>11</v>
      </c>
      <c r="G636" t="str">
        <f>"14259"</f>
        <v>14259</v>
      </c>
      <c r="H636" t="str">
        <f>"UNIT RENTAL/5540 FM 535"</f>
        <v>UNIT RENTAL/5540 FM 535</v>
      </c>
      <c r="I636" s="2">
        <v>260</v>
      </c>
      <c r="J636" t="str">
        <f>"UNIT RENTAL/5540 FM 535"</f>
        <v>UNIT RENTAL/5540 FM 535</v>
      </c>
    </row>
    <row r="637" spans="1:10" x14ac:dyDescent="0.3">
      <c r="A637" t="str">
        <f>"005135"</f>
        <v>005135</v>
      </c>
      <c r="B637" t="s">
        <v>194</v>
      </c>
      <c r="C637">
        <v>71444</v>
      </c>
      <c r="D637" s="2">
        <v>800.5</v>
      </c>
      <c r="E637" s="1">
        <v>42926</v>
      </c>
      <c r="F637" t="s">
        <v>11</v>
      </c>
      <c r="G637" t="str">
        <f>"201707063370"</f>
        <v>201707063370</v>
      </c>
      <c r="H637" t="str">
        <f>"TRAVEL EXP-SERVICE 2/15 &amp;2/21"</f>
        <v>TRAVEL EXP-SERVICE 2/15 &amp;2/21</v>
      </c>
      <c r="I637" s="2">
        <v>800.5</v>
      </c>
      <c r="J637" t="str">
        <f>"TRAVEL EXP-SERVICE 2/15 &amp;2/21"</f>
        <v>TRAVEL EXP-SERVICE 2/15 &amp;2/21</v>
      </c>
    </row>
    <row r="638" spans="1:10" x14ac:dyDescent="0.3">
      <c r="A638" t="str">
        <f>"JOB"</f>
        <v>JOB</v>
      </c>
      <c r="B638" t="s">
        <v>195</v>
      </c>
      <c r="C638">
        <v>71717</v>
      </c>
      <c r="D638" s="2">
        <v>750</v>
      </c>
      <c r="E638" s="1">
        <v>42940</v>
      </c>
      <c r="F638" t="s">
        <v>11</v>
      </c>
      <c r="G638" t="str">
        <f>"201707183694"</f>
        <v>201707183694</v>
      </c>
      <c r="H638" t="str">
        <f>"54 324"</f>
        <v>54 324</v>
      </c>
      <c r="I638" s="2">
        <v>250</v>
      </c>
      <c r="J638" t="str">
        <f>"54 324"</f>
        <v>54 324</v>
      </c>
    </row>
    <row r="639" spans="1:10" x14ac:dyDescent="0.3">
      <c r="A639" t="str">
        <f>""</f>
        <v/>
      </c>
      <c r="G639" t="str">
        <f>"201707183695"</f>
        <v>201707183695</v>
      </c>
      <c r="H639" t="str">
        <f>"50 247"</f>
        <v>50 247</v>
      </c>
      <c r="I639" s="2">
        <v>250</v>
      </c>
      <c r="J639" t="str">
        <f>"50 247"</f>
        <v>50 247</v>
      </c>
    </row>
    <row r="640" spans="1:10" x14ac:dyDescent="0.3">
      <c r="A640" t="str">
        <f>""</f>
        <v/>
      </c>
      <c r="G640" t="str">
        <f>"201707183696"</f>
        <v>201707183696</v>
      </c>
      <c r="H640" t="str">
        <f>"53 908"</f>
        <v>53 908</v>
      </c>
      <c r="I640" s="2">
        <v>250</v>
      </c>
      <c r="J640" t="str">
        <f>"53 908"</f>
        <v>53 908</v>
      </c>
    </row>
    <row r="641" spans="1:11" x14ac:dyDescent="0.3">
      <c r="A641" t="str">
        <f>"T7860"</f>
        <v>T7860</v>
      </c>
      <c r="B641" t="s">
        <v>196</v>
      </c>
      <c r="C641">
        <v>71445</v>
      </c>
      <c r="D641" s="2">
        <v>1200</v>
      </c>
      <c r="E641" s="1">
        <v>42926</v>
      </c>
      <c r="F641" t="s">
        <v>11</v>
      </c>
      <c r="G641" t="str">
        <f>"12139"</f>
        <v>12139</v>
      </c>
      <c r="H641" t="str">
        <f>"AD LITEM FEE-4/19/2017"</f>
        <v>AD LITEM FEE-4/19/2017</v>
      </c>
      <c r="I641" s="2">
        <v>150</v>
      </c>
      <c r="J641" t="str">
        <f>"AD LITEM FEE-4/19/2017"</f>
        <v>AD LITEM FEE-4/19/2017</v>
      </c>
    </row>
    <row r="642" spans="1:11" x14ac:dyDescent="0.3">
      <c r="A642" t="str">
        <f>""</f>
        <v/>
      </c>
      <c r="G642" t="str">
        <f>"201707063411"</f>
        <v>201707063411</v>
      </c>
      <c r="H642" t="str">
        <f>"54 886"</f>
        <v>54 886</v>
      </c>
      <c r="I642" s="2">
        <v>250</v>
      </c>
      <c r="J642" t="str">
        <f>"54 886"</f>
        <v>54 886</v>
      </c>
    </row>
    <row r="643" spans="1:11" x14ac:dyDescent="0.3">
      <c r="A643" t="str">
        <f>""</f>
        <v/>
      </c>
      <c r="G643" t="str">
        <f>"201707063412"</f>
        <v>201707063412</v>
      </c>
      <c r="H643" t="str">
        <f>"16-17716"</f>
        <v>16-17716</v>
      </c>
      <c r="I643" s="2">
        <v>100</v>
      </c>
      <c r="J643" t="str">
        <f>"16-17716"</f>
        <v>16-17716</v>
      </c>
    </row>
    <row r="644" spans="1:11" x14ac:dyDescent="0.3">
      <c r="A644" t="str">
        <f>""</f>
        <v/>
      </c>
      <c r="G644" t="str">
        <f>"201707063413"</f>
        <v>201707063413</v>
      </c>
      <c r="H644" t="str">
        <f>"17-18389"</f>
        <v>17-18389</v>
      </c>
      <c r="I644" s="2">
        <v>100</v>
      </c>
      <c r="J644" t="str">
        <f>"17-18389"</f>
        <v>17-18389</v>
      </c>
    </row>
    <row r="645" spans="1:11" x14ac:dyDescent="0.3">
      <c r="A645" t="str">
        <f>""</f>
        <v/>
      </c>
      <c r="G645" t="str">
        <f>"201707063414"</f>
        <v>201707063414</v>
      </c>
      <c r="H645" t="str">
        <f>"17-18119"</f>
        <v>17-18119</v>
      </c>
      <c r="I645" s="2">
        <v>100</v>
      </c>
      <c r="J645" t="str">
        <f>"17-18119"</f>
        <v>17-18119</v>
      </c>
    </row>
    <row r="646" spans="1:11" x14ac:dyDescent="0.3">
      <c r="A646" t="str">
        <f>""</f>
        <v/>
      </c>
      <c r="G646" t="str">
        <f>"201707063415"</f>
        <v>201707063415</v>
      </c>
      <c r="H646" t="str">
        <f>"55 153"</f>
        <v>55 153</v>
      </c>
      <c r="I646" s="2">
        <v>250</v>
      </c>
      <c r="J646" t="str">
        <f>"55 153"</f>
        <v>55 153</v>
      </c>
    </row>
    <row r="647" spans="1:11" x14ac:dyDescent="0.3">
      <c r="A647" t="str">
        <f>""</f>
        <v/>
      </c>
      <c r="G647" t="str">
        <f>"201707063416"</f>
        <v>201707063416</v>
      </c>
      <c r="H647" t="str">
        <f>"54 893"</f>
        <v>54 893</v>
      </c>
      <c r="I647" s="2">
        <v>250</v>
      </c>
      <c r="J647" t="str">
        <f>"54 893"</f>
        <v>54 893</v>
      </c>
    </row>
    <row r="648" spans="1:11" x14ac:dyDescent="0.3">
      <c r="A648" t="str">
        <f>"T7860"</f>
        <v>T7860</v>
      </c>
      <c r="B648" t="s">
        <v>196</v>
      </c>
      <c r="C648">
        <v>71718</v>
      </c>
      <c r="D648" s="2">
        <v>975</v>
      </c>
      <c r="E648" s="1">
        <v>42940</v>
      </c>
      <c r="F648" t="s">
        <v>11</v>
      </c>
      <c r="G648" t="str">
        <f>"12258"</f>
        <v>12258</v>
      </c>
      <c r="H648" t="str">
        <f>"AD LITEM FEE-5/11/17"</f>
        <v>AD LITEM FEE-5/11/17</v>
      </c>
      <c r="I648" s="2">
        <v>150</v>
      </c>
      <c r="J648" t="str">
        <f>"AD LITEM FEE-5/11/17"</f>
        <v>AD LITEM FEE-5/11/17</v>
      </c>
    </row>
    <row r="649" spans="1:11" x14ac:dyDescent="0.3">
      <c r="A649" t="str">
        <f>""</f>
        <v/>
      </c>
      <c r="G649" t="str">
        <f>"201707183691"</f>
        <v>201707183691</v>
      </c>
      <c r="H649" t="str">
        <f>"423 4903"</f>
        <v>423 4903</v>
      </c>
      <c r="I649" s="2">
        <v>75</v>
      </c>
      <c r="J649" t="str">
        <f>"423 4903"</f>
        <v>423 4903</v>
      </c>
    </row>
    <row r="650" spans="1:11" x14ac:dyDescent="0.3">
      <c r="A650" t="str">
        <f>""</f>
        <v/>
      </c>
      <c r="G650" t="str">
        <f>"201707183698"</f>
        <v>201707183698</v>
      </c>
      <c r="H650" t="str">
        <f>"55 287"</f>
        <v>55 287</v>
      </c>
      <c r="I650" s="2">
        <v>250</v>
      </c>
      <c r="J650" t="str">
        <f>"55 287"</f>
        <v>55 287</v>
      </c>
    </row>
    <row r="651" spans="1:11" x14ac:dyDescent="0.3">
      <c r="A651" t="str">
        <f>""</f>
        <v/>
      </c>
      <c r="G651" t="str">
        <f>"201707193734"</f>
        <v>201707193734</v>
      </c>
      <c r="H651" t="str">
        <f>"17-18277"</f>
        <v>17-18277</v>
      </c>
      <c r="I651" s="2">
        <v>100</v>
      </c>
      <c r="J651" t="str">
        <f>"17-18277"</f>
        <v>17-18277</v>
      </c>
    </row>
    <row r="652" spans="1:11" x14ac:dyDescent="0.3">
      <c r="A652" t="str">
        <f>""</f>
        <v/>
      </c>
      <c r="G652" t="str">
        <f>"201707193735"</f>
        <v>201707193735</v>
      </c>
      <c r="H652" t="str">
        <f>"17-18338 AND 16-17625"</f>
        <v>17-18338 AND 16-17625</v>
      </c>
      <c r="I652" s="2">
        <v>100</v>
      </c>
      <c r="J652" t="str">
        <f>"17-18338 AND 16-17625"</f>
        <v>17-18338 AND 16-17625</v>
      </c>
    </row>
    <row r="653" spans="1:11" x14ac:dyDescent="0.3">
      <c r="A653" t="str">
        <f>""</f>
        <v/>
      </c>
      <c r="G653" t="str">
        <f>"201707193736"</f>
        <v>201707193736</v>
      </c>
      <c r="H653" t="str">
        <f>"16-17687"</f>
        <v>16-17687</v>
      </c>
      <c r="I653" s="2">
        <v>100</v>
      </c>
      <c r="J653" t="str">
        <f>"16-17687"</f>
        <v>16-17687</v>
      </c>
    </row>
    <row r="654" spans="1:11" x14ac:dyDescent="0.3">
      <c r="A654" t="str">
        <f>""</f>
        <v/>
      </c>
      <c r="G654" t="str">
        <f>"201707193737"</f>
        <v>201707193737</v>
      </c>
      <c r="H654" t="str">
        <f>"17-18461"</f>
        <v>17-18461</v>
      </c>
      <c r="I654" s="2">
        <v>100</v>
      </c>
      <c r="J654" t="str">
        <f>"17-18461"</f>
        <v>17-18461</v>
      </c>
    </row>
    <row r="655" spans="1:11" x14ac:dyDescent="0.3">
      <c r="A655" t="str">
        <f>""</f>
        <v/>
      </c>
      <c r="G655" t="str">
        <f>"201707193738"</f>
        <v>201707193738</v>
      </c>
      <c r="H655" t="str">
        <f>"16-17913"</f>
        <v>16-17913</v>
      </c>
      <c r="I655" s="2">
        <v>100</v>
      </c>
      <c r="J655" t="str">
        <f>"16-17913"</f>
        <v>16-17913</v>
      </c>
    </row>
    <row r="656" spans="1:11" x14ac:dyDescent="0.3">
      <c r="A656" t="str">
        <f>"004891"</f>
        <v>004891</v>
      </c>
      <c r="B656" t="s">
        <v>197</v>
      </c>
      <c r="C656">
        <v>71719</v>
      </c>
      <c r="D656" s="2">
        <v>130</v>
      </c>
      <c r="E656" s="1">
        <v>42940</v>
      </c>
      <c r="F656" t="s">
        <v>11</v>
      </c>
      <c r="G656" t="s">
        <v>198</v>
      </c>
      <c r="H656" t="s">
        <v>199</v>
      </c>
      <c r="I656" s="2" t="str">
        <f>"RESTITUTION-M. ALMS"</f>
        <v>RESTITUTION-M. ALMS</v>
      </c>
      <c r="J656" t="str">
        <f>"210-0000"</f>
        <v>210-0000</v>
      </c>
      <c r="K656">
        <v>30</v>
      </c>
    </row>
    <row r="657" spans="1:11" x14ac:dyDescent="0.3">
      <c r="A657" t="str">
        <f>""</f>
        <v/>
      </c>
      <c r="G657" t="s">
        <v>198</v>
      </c>
      <c r="H657" t="s">
        <v>200</v>
      </c>
      <c r="I657" s="2" t="str">
        <f>"RESTITUTION-M. ALMS"</f>
        <v>RESTITUTION-M. ALMS</v>
      </c>
      <c r="J657" t="str">
        <f>"210-0000"</f>
        <v>210-0000</v>
      </c>
      <c r="K657">
        <v>50</v>
      </c>
    </row>
    <row r="658" spans="1:11" x14ac:dyDescent="0.3">
      <c r="A658" t="str">
        <f>""</f>
        <v/>
      </c>
      <c r="G658" t="s">
        <v>198</v>
      </c>
      <c r="H658" t="s">
        <v>201</v>
      </c>
      <c r="I658" s="2" t="str">
        <f>"RESTITUTION-M. ALMS"</f>
        <v>RESTITUTION-M. ALMS</v>
      </c>
      <c r="J658" t="str">
        <f>"210-0000"</f>
        <v>210-0000</v>
      </c>
      <c r="K658">
        <v>50</v>
      </c>
    </row>
    <row r="659" spans="1:11" x14ac:dyDescent="0.3">
      <c r="A659" t="str">
        <f>"003848"</f>
        <v>003848</v>
      </c>
      <c r="B659" t="s">
        <v>202</v>
      </c>
      <c r="C659">
        <v>71446</v>
      </c>
      <c r="D659" s="2">
        <v>400</v>
      </c>
      <c r="E659" s="1">
        <v>42926</v>
      </c>
      <c r="F659" t="s">
        <v>11</v>
      </c>
      <c r="G659" t="str">
        <f>"201706293301"</f>
        <v>201706293301</v>
      </c>
      <c r="H659" t="str">
        <f>"16 184"</f>
        <v>16 184</v>
      </c>
      <c r="I659" s="2">
        <v>400</v>
      </c>
      <c r="J659" t="str">
        <f>"16 184"</f>
        <v>16 184</v>
      </c>
    </row>
    <row r="660" spans="1:11" x14ac:dyDescent="0.3">
      <c r="A660" t="str">
        <f>"003848"</f>
        <v>003848</v>
      </c>
      <c r="B660" t="s">
        <v>202</v>
      </c>
      <c r="C660">
        <v>71720</v>
      </c>
      <c r="D660" s="2">
        <v>400</v>
      </c>
      <c r="E660" s="1">
        <v>42940</v>
      </c>
      <c r="F660" t="s">
        <v>11</v>
      </c>
      <c r="G660" t="str">
        <f>"201707143635"</f>
        <v>201707143635</v>
      </c>
      <c r="H660" t="str">
        <f>"16 282"</f>
        <v>16 282</v>
      </c>
      <c r="I660" s="2">
        <v>400</v>
      </c>
      <c r="J660" t="str">
        <f>"16 282"</f>
        <v>16 282</v>
      </c>
    </row>
    <row r="661" spans="1:11" x14ac:dyDescent="0.3">
      <c r="A661" t="str">
        <f>"003698"</f>
        <v>003698</v>
      </c>
      <c r="B661" t="s">
        <v>203</v>
      </c>
      <c r="C661">
        <v>71680</v>
      </c>
      <c r="D661" s="2">
        <v>3695.16</v>
      </c>
      <c r="E661" s="1">
        <v>42940</v>
      </c>
      <c r="F661" t="s">
        <v>11</v>
      </c>
      <c r="G661" t="str">
        <f>"115829008"</f>
        <v>115829008</v>
      </c>
      <c r="H661" t="str">
        <f>"John Deere X380 Tractor"</f>
        <v>John Deere X380 Tractor</v>
      </c>
      <c r="I661" s="2">
        <v>3695.16</v>
      </c>
      <c r="J661" t="str">
        <f>"John Deere X380 Tractor"</f>
        <v>John Deere X380 Tractor</v>
      </c>
    </row>
    <row r="662" spans="1:11" x14ac:dyDescent="0.3">
      <c r="A662" t="str">
        <f>"004675"</f>
        <v>004675</v>
      </c>
      <c r="B662" t="s">
        <v>204</v>
      </c>
      <c r="C662">
        <v>71721</v>
      </c>
      <c r="D662" s="2">
        <v>100</v>
      </c>
      <c r="E662" s="1">
        <v>42940</v>
      </c>
      <c r="F662" t="s">
        <v>11</v>
      </c>
      <c r="G662" t="s">
        <v>17</v>
      </c>
      <c r="H662" t="s">
        <v>205</v>
      </c>
      <c r="I662" s="2" t="str">
        <f>"RESTITUTION-P. MILLER"</f>
        <v>RESTITUTION-P. MILLER</v>
      </c>
      <c r="J662" t="str">
        <f>"210-0000"</f>
        <v>210-0000</v>
      </c>
      <c r="K662">
        <v>100</v>
      </c>
    </row>
    <row r="663" spans="1:11" x14ac:dyDescent="0.3">
      <c r="A663" t="str">
        <f>"001889"</f>
        <v>001889</v>
      </c>
      <c r="B663" t="s">
        <v>206</v>
      </c>
      <c r="C663">
        <v>71447</v>
      </c>
      <c r="D663" s="2">
        <v>200</v>
      </c>
      <c r="E663" s="1">
        <v>42926</v>
      </c>
      <c r="F663" t="s">
        <v>11</v>
      </c>
      <c r="G663" t="str">
        <f>"426542"</f>
        <v>426542</v>
      </c>
      <c r="H663" t="str">
        <f>"LANDSCAPING SVCS/OEM"</f>
        <v>LANDSCAPING SVCS/OEM</v>
      </c>
      <c r="I663" s="2">
        <v>200</v>
      </c>
      <c r="J663" t="str">
        <f>"LANDSCAPING SVCS/OEM"</f>
        <v>LANDSCAPING SVCS/OEM</v>
      </c>
    </row>
    <row r="664" spans="1:11" x14ac:dyDescent="0.3">
      <c r="A664" t="str">
        <f>"001889"</f>
        <v>001889</v>
      </c>
      <c r="B664" t="s">
        <v>206</v>
      </c>
      <c r="C664">
        <v>71722</v>
      </c>
      <c r="D664" s="2">
        <v>200</v>
      </c>
      <c r="E664" s="1">
        <v>42940</v>
      </c>
      <c r="F664" t="s">
        <v>11</v>
      </c>
      <c r="G664" t="str">
        <f>"426534"</f>
        <v>426534</v>
      </c>
      <c r="H664" t="str">
        <f>"MOWING-PRIME &amp; WATTERSON TOWER"</f>
        <v>MOWING-PRIME &amp; WATTERSON TOWER</v>
      </c>
      <c r="I664" s="2">
        <v>200</v>
      </c>
      <c r="J664" t="str">
        <f>"MOWING-PRIME &amp; WATTERSON TOWER"</f>
        <v>MOWING-PRIME &amp; WATTERSON TOWER</v>
      </c>
    </row>
    <row r="665" spans="1:11" x14ac:dyDescent="0.3">
      <c r="A665" t="str">
        <f>"T14548"</f>
        <v>T14548</v>
      </c>
      <c r="B665" t="s">
        <v>207</v>
      </c>
      <c r="C665">
        <v>71448</v>
      </c>
      <c r="D665" s="2">
        <v>900</v>
      </c>
      <c r="E665" s="1">
        <v>42926</v>
      </c>
      <c r="F665" t="s">
        <v>11</v>
      </c>
      <c r="G665" t="str">
        <f>"201706293302"</f>
        <v>201706293302</v>
      </c>
      <c r="H665" t="str">
        <f>"16052"</f>
        <v>16052</v>
      </c>
      <c r="I665" s="2">
        <v>400</v>
      </c>
      <c r="J665" t="str">
        <f>"16052"</f>
        <v>16052</v>
      </c>
    </row>
    <row r="666" spans="1:11" x14ac:dyDescent="0.3">
      <c r="A666" t="str">
        <f>""</f>
        <v/>
      </c>
      <c r="G666" t="str">
        <f>"201707063417"</f>
        <v>201707063417</v>
      </c>
      <c r="H666" t="str">
        <f>"54375"</f>
        <v>54375</v>
      </c>
      <c r="I666" s="2">
        <v>250</v>
      </c>
      <c r="J666" t="str">
        <f>"54375"</f>
        <v>54375</v>
      </c>
    </row>
    <row r="667" spans="1:11" x14ac:dyDescent="0.3">
      <c r="A667" t="str">
        <f>""</f>
        <v/>
      </c>
      <c r="G667" t="str">
        <f>"201707063418"</f>
        <v>201707063418</v>
      </c>
      <c r="H667" t="str">
        <f>"55045"</f>
        <v>55045</v>
      </c>
      <c r="I667" s="2">
        <v>250</v>
      </c>
      <c r="J667" t="str">
        <f>"55045"</f>
        <v>55045</v>
      </c>
    </row>
    <row r="668" spans="1:11" x14ac:dyDescent="0.3">
      <c r="A668" t="str">
        <f>"T14548"</f>
        <v>T14548</v>
      </c>
      <c r="B668" t="s">
        <v>207</v>
      </c>
      <c r="C668">
        <v>71723</v>
      </c>
      <c r="D668" s="2">
        <v>3475</v>
      </c>
      <c r="E668" s="1">
        <v>42940</v>
      </c>
      <c r="F668" t="s">
        <v>11</v>
      </c>
      <c r="G668" t="str">
        <f>"201707113585"</f>
        <v>201707113585</v>
      </c>
      <c r="H668" t="str">
        <f>"AC-2017-0525W"</f>
        <v>AC-2017-0525W</v>
      </c>
      <c r="I668" s="2">
        <v>400</v>
      </c>
      <c r="J668" t="str">
        <f>"AC-2017-0525W"</f>
        <v>AC-2017-0525W</v>
      </c>
    </row>
    <row r="669" spans="1:11" x14ac:dyDescent="0.3">
      <c r="A669" t="str">
        <f>""</f>
        <v/>
      </c>
      <c r="G669" t="str">
        <f>"201707113586"</f>
        <v>201707113586</v>
      </c>
      <c r="H669" t="str">
        <f>"02-0113-2"</f>
        <v>02-0113-2</v>
      </c>
      <c r="I669" s="2">
        <v>400</v>
      </c>
      <c r="J669" t="str">
        <f>"02-0113-2"</f>
        <v>02-0113-2</v>
      </c>
    </row>
    <row r="670" spans="1:11" x14ac:dyDescent="0.3">
      <c r="A670" t="str">
        <f>""</f>
        <v/>
      </c>
      <c r="G670" t="str">
        <f>"201707113587"</f>
        <v>201707113587</v>
      </c>
      <c r="H670" t="str">
        <f>"CH20161223F"</f>
        <v>CH20161223F</v>
      </c>
      <c r="I670" s="2">
        <v>400</v>
      </c>
      <c r="J670" t="str">
        <f>"CH20161223F"</f>
        <v>CH20161223F</v>
      </c>
    </row>
    <row r="671" spans="1:11" x14ac:dyDescent="0.3">
      <c r="A671" t="str">
        <f>""</f>
        <v/>
      </c>
      <c r="G671" t="str">
        <f>"201707143636"</f>
        <v>201707143636</v>
      </c>
      <c r="H671" t="str">
        <f>"4032351MW"</f>
        <v>4032351MW</v>
      </c>
      <c r="I671" s="2">
        <v>400</v>
      </c>
      <c r="J671" t="str">
        <f>"4032351MW"</f>
        <v>4032351MW</v>
      </c>
    </row>
    <row r="672" spans="1:11" x14ac:dyDescent="0.3">
      <c r="A672" t="str">
        <f>""</f>
        <v/>
      </c>
      <c r="G672" t="str">
        <f>"201707183689"</f>
        <v>201707183689</v>
      </c>
      <c r="H672" t="str">
        <f>"402046-IM"</f>
        <v>402046-IM</v>
      </c>
      <c r="I672" s="2">
        <v>400</v>
      </c>
      <c r="J672" t="str">
        <f>"402046-IM"</f>
        <v>402046-IM</v>
      </c>
    </row>
    <row r="673" spans="1:11" x14ac:dyDescent="0.3">
      <c r="A673" t="str">
        <f>""</f>
        <v/>
      </c>
      <c r="G673" t="str">
        <f>"201707183690"</f>
        <v>201707183690</v>
      </c>
      <c r="H673" t="str">
        <f>"423-4323"</f>
        <v>423-4323</v>
      </c>
      <c r="I673" s="2">
        <v>1175</v>
      </c>
      <c r="J673" t="str">
        <f>"423-4323"</f>
        <v>423-4323</v>
      </c>
    </row>
    <row r="674" spans="1:11" x14ac:dyDescent="0.3">
      <c r="A674" t="str">
        <f>""</f>
        <v/>
      </c>
      <c r="G674" t="str">
        <f>"201707193739"</f>
        <v>201707193739</v>
      </c>
      <c r="H674" t="str">
        <f>"17-18485 AND 17-18486"</f>
        <v>17-18485 AND 17-18486</v>
      </c>
      <c r="I674" s="2">
        <v>200</v>
      </c>
      <c r="J674" t="str">
        <f>"17-18485 AND 17-18486"</f>
        <v>17-18485 AND 17-18486</v>
      </c>
    </row>
    <row r="675" spans="1:11" x14ac:dyDescent="0.3">
      <c r="A675" t="str">
        <f>""</f>
        <v/>
      </c>
      <c r="G675" t="str">
        <f>"201707193740"</f>
        <v>201707193740</v>
      </c>
      <c r="H675" t="str">
        <f>"563-335"</f>
        <v>563-335</v>
      </c>
      <c r="I675" s="2">
        <v>100</v>
      </c>
      <c r="J675" t="str">
        <f>"563-335"</f>
        <v>563-335</v>
      </c>
    </row>
    <row r="676" spans="1:11" x14ac:dyDescent="0.3">
      <c r="A676" t="str">
        <f>"004892"</f>
        <v>004892</v>
      </c>
      <c r="B676" t="s">
        <v>208</v>
      </c>
      <c r="C676">
        <v>71724</v>
      </c>
      <c r="D676" s="2">
        <v>25</v>
      </c>
      <c r="E676" s="1">
        <v>42940</v>
      </c>
      <c r="F676" t="s">
        <v>11</v>
      </c>
      <c r="G676" t="s">
        <v>209</v>
      </c>
      <c r="H676" t="s">
        <v>210</v>
      </c>
      <c r="I676" s="2" t="str">
        <f>"RESTITUTION-J. HOFFMAN"</f>
        <v>RESTITUTION-J. HOFFMAN</v>
      </c>
      <c r="J676" t="str">
        <f>"210-0000"</f>
        <v>210-0000</v>
      </c>
      <c r="K676">
        <v>25</v>
      </c>
    </row>
    <row r="677" spans="1:11" x14ac:dyDescent="0.3">
      <c r="A677" t="str">
        <f>"003677"</f>
        <v>003677</v>
      </c>
      <c r="B677" t="s">
        <v>211</v>
      </c>
      <c r="C677">
        <v>71725</v>
      </c>
      <c r="D677" s="2">
        <v>25</v>
      </c>
      <c r="E677" s="1">
        <v>42940</v>
      </c>
      <c r="F677" t="s">
        <v>11</v>
      </c>
      <c r="G677" t="s">
        <v>124</v>
      </c>
      <c r="H677" t="s">
        <v>212</v>
      </c>
      <c r="I677" s="2" t="str">
        <f>"RESTITUTION-D. SPURK"</f>
        <v>RESTITUTION-D. SPURK</v>
      </c>
      <c r="J677" t="str">
        <f>"210-0000"</f>
        <v>210-0000</v>
      </c>
      <c r="K677">
        <v>25</v>
      </c>
    </row>
    <row r="678" spans="1:11" x14ac:dyDescent="0.3">
      <c r="A678" t="str">
        <f>"KMPC"</f>
        <v>KMPC</v>
      </c>
      <c r="B678" t="s">
        <v>213</v>
      </c>
      <c r="C678">
        <v>71727</v>
      </c>
      <c r="D678" s="2">
        <v>9.27</v>
      </c>
      <c r="E678" s="1">
        <v>42940</v>
      </c>
      <c r="F678" t="s">
        <v>11</v>
      </c>
      <c r="G678" t="str">
        <f>"152000000128359"</f>
        <v>152000000128359</v>
      </c>
      <c r="H678" t="str">
        <f>"ACCT#1520-BA2437"</f>
        <v>ACCT#1520-BA2437</v>
      </c>
      <c r="I678" s="2">
        <v>9.27</v>
      </c>
      <c r="J678" t="str">
        <f>"ACCT#1520-BA2437"</f>
        <v>ACCT#1520-BA2437</v>
      </c>
    </row>
    <row r="679" spans="1:11" x14ac:dyDescent="0.3">
      <c r="A679" t="str">
        <f>"T12139"</f>
        <v>T12139</v>
      </c>
      <c r="B679" t="s">
        <v>214</v>
      </c>
      <c r="C679">
        <v>71728</v>
      </c>
      <c r="D679" s="2">
        <v>280</v>
      </c>
      <c r="E679" s="1">
        <v>42940</v>
      </c>
      <c r="F679" t="s">
        <v>11</v>
      </c>
      <c r="G679" t="str">
        <f>"587718"</f>
        <v>587718</v>
      </c>
      <c r="H679" t="str">
        <f>"TRASH PU/MOW-SHILOH RD LONE ST"</f>
        <v>TRASH PU/MOW-SHILOH RD LONE ST</v>
      </c>
      <c r="I679" s="2">
        <v>280</v>
      </c>
      <c r="J679" t="str">
        <f>"TRASH PU/MOW-SHILOH RD LONE ST"</f>
        <v>TRASH PU/MOW-SHILOH RD LONE ST</v>
      </c>
    </row>
    <row r="680" spans="1:11" x14ac:dyDescent="0.3">
      <c r="A680" t="str">
        <f>"KBTRI"</f>
        <v>KBTRI</v>
      </c>
      <c r="B680" t="s">
        <v>215</v>
      </c>
      <c r="C680">
        <v>71729</v>
      </c>
      <c r="D680" s="2">
        <v>2517</v>
      </c>
      <c r="E680" s="1">
        <v>42940</v>
      </c>
      <c r="F680" t="s">
        <v>11</v>
      </c>
      <c r="G680" t="str">
        <f>"65"</f>
        <v>65</v>
      </c>
      <c r="H680" t="str">
        <f>"TOWER RENT-JULY/BCSO"</f>
        <v>TOWER RENT-JULY/BCSO</v>
      </c>
      <c r="I680" s="2">
        <v>2517</v>
      </c>
      <c r="J680" t="str">
        <f>"TOWER RENT-JULY/BCSO"</f>
        <v>TOWER RENT-JULY/BCSO</v>
      </c>
    </row>
    <row r="681" spans="1:11" x14ac:dyDescent="0.3">
      <c r="A681" t="str">
        <f>"KFT"</f>
        <v>KFT</v>
      </c>
      <c r="B681" t="s">
        <v>216</v>
      </c>
      <c r="C681">
        <v>71730</v>
      </c>
      <c r="D681" s="2">
        <v>709.08</v>
      </c>
      <c r="E681" s="1">
        <v>42940</v>
      </c>
      <c r="F681" t="s">
        <v>11</v>
      </c>
      <c r="G681" t="str">
        <f>"243265"</f>
        <v>243265</v>
      </c>
      <c r="H681" t="str">
        <f>"ACCT#BASCO3/PCT#3"</f>
        <v>ACCT#BASCO3/PCT#3</v>
      </c>
      <c r="I681" s="2">
        <v>709.08</v>
      </c>
      <c r="J681" t="str">
        <f>"ACCT#BASCO3/PCT#3"</f>
        <v>ACCT#BASCO3/PCT#3</v>
      </c>
    </row>
    <row r="682" spans="1:11" x14ac:dyDescent="0.3">
      <c r="A682" t="str">
        <f>"003916"</f>
        <v>003916</v>
      </c>
      <c r="B682" t="s">
        <v>217</v>
      </c>
      <c r="C682">
        <v>71731</v>
      </c>
      <c r="D682" s="2">
        <v>1285</v>
      </c>
      <c r="E682" s="1">
        <v>42940</v>
      </c>
      <c r="F682" t="s">
        <v>11</v>
      </c>
      <c r="G682" t="str">
        <f>"260431"</f>
        <v>260431</v>
      </c>
      <c r="H682" t="str">
        <f>"ACCT#0104-9884/QTRLY MONIT SVC"</f>
        <v>ACCT#0104-9884/QTRLY MONIT SVC</v>
      </c>
      <c r="I682" s="2">
        <v>99</v>
      </c>
      <c r="J682" t="str">
        <f>"ACCT#0104-9884/QTRLY MONIT SVC"</f>
        <v>ACCT#0104-9884/QTRLY MONIT SVC</v>
      </c>
    </row>
    <row r="683" spans="1:11" x14ac:dyDescent="0.3">
      <c r="A683" t="str">
        <f>""</f>
        <v/>
      </c>
      <c r="G683" t="str">
        <f>"260584"</f>
        <v>260584</v>
      </c>
      <c r="H683" t="str">
        <f>"ANNUAL INSPEC FIRE ALARM SYST"</f>
        <v>ANNUAL INSPEC FIRE ALARM SYST</v>
      </c>
      <c r="I683" s="2">
        <v>1186</v>
      </c>
      <c r="J683" t="str">
        <f>"ANNUAL INSPEC FIRE ALARM SYST"</f>
        <v>ANNUAL INSPEC FIRE ALARM SYST</v>
      </c>
    </row>
    <row r="684" spans="1:11" x14ac:dyDescent="0.3">
      <c r="A684" t="str">
        <f>"005157"</f>
        <v>005157</v>
      </c>
      <c r="B684" t="s">
        <v>218</v>
      </c>
      <c r="C684">
        <v>71732</v>
      </c>
      <c r="D684" s="2">
        <v>240</v>
      </c>
      <c r="E684" s="1">
        <v>42940</v>
      </c>
      <c r="F684" t="s">
        <v>11</v>
      </c>
      <c r="G684" t="str">
        <f>"201707193711"</f>
        <v>201707193711</v>
      </c>
      <c r="H684" t="str">
        <f>"REIMBURSE STATE BAR DUES"</f>
        <v>REIMBURSE STATE BAR DUES</v>
      </c>
      <c r="I684" s="2">
        <v>240</v>
      </c>
      <c r="J684" t="str">
        <f>"REIMBURSE STATE BAR DUES"</f>
        <v>REIMBURSE STATE BAR DUES</v>
      </c>
    </row>
    <row r="685" spans="1:11" x14ac:dyDescent="0.3">
      <c r="A685" t="str">
        <f>"004130"</f>
        <v>004130</v>
      </c>
      <c r="B685" t="s">
        <v>219</v>
      </c>
      <c r="C685">
        <v>71733</v>
      </c>
      <c r="D685" s="2">
        <v>27.78</v>
      </c>
      <c r="E685" s="1">
        <v>42940</v>
      </c>
      <c r="F685" t="s">
        <v>11</v>
      </c>
      <c r="G685" t="str">
        <f>"48565"</f>
        <v>48565</v>
      </c>
      <c r="H685" t="str">
        <f>"INV          /UNIT 8217"</f>
        <v>INV          /UNIT 8217</v>
      </c>
      <c r="I685" s="2">
        <v>27.78</v>
      </c>
      <c r="J685" t="str">
        <f>"INV          /UNIT 8217"</f>
        <v>INV          /UNIT 8217</v>
      </c>
    </row>
    <row r="686" spans="1:11" x14ac:dyDescent="0.3">
      <c r="A686" t="str">
        <f>"005106"</f>
        <v>005106</v>
      </c>
      <c r="B686" t="s">
        <v>220</v>
      </c>
      <c r="C686">
        <v>71449</v>
      </c>
      <c r="D686" s="2">
        <v>527.71</v>
      </c>
      <c r="E686" s="1">
        <v>42926</v>
      </c>
      <c r="F686" t="s">
        <v>84</v>
      </c>
      <c r="G686" t="str">
        <f>"LODGING-TC STALCUP"</f>
        <v>LODGING-TC STALCUP</v>
      </c>
      <c r="H686" t="str">
        <f>"LODGING"</f>
        <v>LODGING</v>
      </c>
      <c r="I686" s="2">
        <v>527.71</v>
      </c>
    </row>
    <row r="687" spans="1:11" x14ac:dyDescent="0.3">
      <c r="A687" t="str">
        <f>"005106"</f>
        <v>005106</v>
      </c>
      <c r="B687" t="s">
        <v>220</v>
      </c>
      <c r="C687">
        <v>71449</v>
      </c>
      <c r="D687" s="2">
        <v>527.71</v>
      </c>
      <c r="E687" s="1">
        <v>42926</v>
      </c>
      <c r="F687" t="s">
        <v>84</v>
      </c>
      <c r="G687" t="str">
        <f>"CHECK"</f>
        <v>CHECK</v>
      </c>
      <c r="H687" t="str">
        <f>""</f>
        <v/>
      </c>
      <c r="I687" s="2">
        <v>527.71</v>
      </c>
    </row>
    <row r="688" spans="1:11" x14ac:dyDescent="0.3">
      <c r="A688" t="str">
        <f>"001722"</f>
        <v>001722</v>
      </c>
      <c r="B688" t="s">
        <v>221</v>
      </c>
      <c r="C688">
        <v>71450</v>
      </c>
      <c r="D688" s="2">
        <v>1156.98</v>
      </c>
      <c r="E688" s="1">
        <v>42926</v>
      </c>
      <c r="F688" t="s">
        <v>11</v>
      </c>
      <c r="G688" t="str">
        <f>"06211595"</f>
        <v>06211595</v>
      </c>
      <c r="H688" t="str">
        <f>"FOOD  INV06211595"</f>
        <v>FOOD  INV06211595</v>
      </c>
      <c r="I688" s="2">
        <v>1156.98</v>
      </c>
      <c r="J688" t="str">
        <f>"FOOD  INV06211595"</f>
        <v>FOOD  INV06211595</v>
      </c>
    </row>
    <row r="689" spans="1:10" x14ac:dyDescent="0.3">
      <c r="A689" t="str">
        <f>"001722"</f>
        <v>001722</v>
      </c>
      <c r="B689" t="s">
        <v>221</v>
      </c>
      <c r="C689">
        <v>71734</v>
      </c>
      <c r="D689" s="2">
        <v>4166.1400000000003</v>
      </c>
      <c r="E689" s="1">
        <v>42940</v>
      </c>
      <c r="F689" t="s">
        <v>11</v>
      </c>
      <c r="G689" t="str">
        <f>"06281897"</f>
        <v>06281897</v>
      </c>
      <c r="H689" t="str">
        <f>"FOOD INV06281897"</f>
        <v>FOOD INV06281897</v>
      </c>
      <c r="I689" s="2">
        <v>3191.4</v>
      </c>
      <c r="J689" t="str">
        <f>"FOOD INV06281897"</f>
        <v>FOOD INV06281897</v>
      </c>
    </row>
    <row r="690" spans="1:10" x14ac:dyDescent="0.3">
      <c r="A690" t="str">
        <f>""</f>
        <v/>
      </c>
      <c r="G690" t="str">
        <f>"07120211"</f>
        <v>07120211</v>
      </c>
      <c r="H690" t="str">
        <f>"FOOD INV07120211"</f>
        <v>FOOD INV07120211</v>
      </c>
      <c r="I690" s="2">
        <v>974.74</v>
      </c>
      <c r="J690" t="str">
        <f>"FOOD INV07120211"</f>
        <v>FOOD INV07120211</v>
      </c>
    </row>
    <row r="691" spans="1:10" x14ac:dyDescent="0.3">
      <c r="A691" t="str">
        <f>"000900"</f>
        <v>000900</v>
      </c>
      <c r="B691" t="s">
        <v>222</v>
      </c>
      <c r="C691">
        <v>71451</v>
      </c>
      <c r="D691" s="2">
        <v>9528</v>
      </c>
      <c r="E691" s="1">
        <v>42926</v>
      </c>
      <c r="F691" t="s">
        <v>11</v>
      </c>
      <c r="G691" t="str">
        <f>"257147"</f>
        <v>257147</v>
      </c>
      <c r="H691" t="str">
        <f>"CUST#BASCOU/PCT#1"</f>
        <v>CUST#BASCOU/PCT#1</v>
      </c>
      <c r="I691" s="2">
        <v>2382</v>
      </c>
      <c r="J691" t="str">
        <f>"CUST#BASCOU/PCT#1"</f>
        <v>CUST#BASCOU/PCT#1</v>
      </c>
    </row>
    <row r="692" spans="1:10" x14ac:dyDescent="0.3">
      <c r="A692" t="str">
        <f>""</f>
        <v/>
      </c>
      <c r="G692" t="str">
        <f>"257147A"</f>
        <v>257147A</v>
      </c>
      <c r="H692" t="str">
        <f>"CUST#BASCOU/PCT#1"</f>
        <v>CUST#BASCOU/PCT#1</v>
      </c>
      <c r="I692" s="2">
        <v>7146</v>
      </c>
      <c r="J692" t="str">
        <f>"CUST#BASCOU/PCT#1"</f>
        <v>CUST#BASCOU/PCT#1</v>
      </c>
    </row>
    <row r="693" spans="1:10" x14ac:dyDescent="0.3">
      <c r="A693" t="str">
        <f>"T9279"</f>
        <v>T9279</v>
      </c>
      <c r="B693" t="s">
        <v>223</v>
      </c>
      <c r="C693">
        <v>71365</v>
      </c>
      <c r="D693" s="2">
        <v>100.5</v>
      </c>
      <c r="E693" s="1">
        <v>42922</v>
      </c>
      <c r="F693" t="s">
        <v>11</v>
      </c>
      <c r="G693" t="str">
        <f>"201707063468"</f>
        <v>201707063468</v>
      </c>
      <c r="H693" t="str">
        <f>"ACCT #1-09-00072-02 / 062317"</f>
        <v>ACCT #1-09-00072-02 / 062317</v>
      </c>
      <c r="I693" s="2">
        <v>50.25</v>
      </c>
      <c r="J693" t="str">
        <f>"LEE COUNTY WATER SUPPLY CORP"</f>
        <v>LEE COUNTY WATER SUPPLY CORP</v>
      </c>
    </row>
    <row r="694" spans="1:10" x14ac:dyDescent="0.3">
      <c r="A694" t="str">
        <f>""</f>
        <v/>
      </c>
      <c r="G694" t="str">
        <f>"201707063469"</f>
        <v>201707063469</v>
      </c>
      <c r="H694" t="str">
        <f>"ACCT #3-09-00175-03 / 062317"</f>
        <v>ACCT #3-09-00175-03 / 062317</v>
      </c>
      <c r="I694" s="2">
        <v>50.25</v>
      </c>
      <c r="J694" t="str">
        <f>"LEE COUNTY WATER SUPPLY CORP"</f>
        <v>LEE COUNTY WATER SUPPLY CORP</v>
      </c>
    </row>
    <row r="695" spans="1:10" x14ac:dyDescent="0.3">
      <c r="A695" t="str">
        <f>"004538"</f>
        <v>004538</v>
      </c>
      <c r="B695" t="s">
        <v>224</v>
      </c>
      <c r="C695">
        <v>71735</v>
      </c>
      <c r="D695" s="2">
        <v>116.1</v>
      </c>
      <c r="E695" s="1">
        <v>42940</v>
      </c>
      <c r="F695" t="s">
        <v>11</v>
      </c>
      <c r="G695" t="str">
        <f>"MILEAGE REIMBURSE."</f>
        <v>MILEAGE REIMBURSE.</v>
      </c>
      <c r="H695" t="str">
        <f>"REIMBURSEMENT MILEAGE"</f>
        <v>REIMBURSEMENT MILEAGE</v>
      </c>
      <c r="I695" s="2">
        <v>116.1</v>
      </c>
      <c r="J695" t="str">
        <f>"REIMBURSEMENT MILEAGE"</f>
        <v>REIMBURSEMENT MILEAGE</v>
      </c>
    </row>
    <row r="696" spans="1:10" x14ac:dyDescent="0.3">
      <c r="A696" t="str">
        <f>"000521"</f>
        <v>000521</v>
      </c>
      <c r="B696" t="s">
        <v>225</v>
      </c>
      <c r="C696">
        <v>71736</v>
      </c>
      <c r="D696" s="2">
        <v>155</v>
      </c>
      <c r="E696" s="1">
        <v>42940</v>
      </c>
      <c r="F696" t="s">
        <v>11</v>
      </c>
      <c r="G696" t="str">
        <f>"1485"</f>
        <v>1485</v>
      </c>
      <c r="H696" t="str">
        <f>"HHW Sign"</f>
        <v>HHW Sign</v>
      </c>
      <c r="I696" s="2">
        <v>155</v>
      </c>
      <c r="J696" t="str">
        <f>"4'X8'printedVinyl"</f>
        <v>4'X8'printedVinyl</v>
      </c>
    </row>
    <row r="697" spans="1:10" x14ac:dyDescent="0.3">
      <c r="A697" t="str">
        <f>""</f>
        <v/>
      </c>
      <c r="G697" t="str">
        <f>""</f>
        <v/>
      </c>
      <c r="H697" t="str">
        <f>""</f>
        <v/>
      </c>
      <c r="J697" t="str">
        <f>"2'X3' PrintedVinyl"</f>
        <v>2'X3' PrintedVinyl</v>
      </c>
    </row>
    <row r="698" spans="1:10" x14ac:dyDescent="0.3">
      <c r="A698" t="str">
        <f>"004651"</f>
        <v>004651</v>
      </c>
      <c r="B698" t="s">
        <v>226</v>
      </c>
      <c r="C698">
        <v>71737</v>
      </c>
      <c r="D698" s="2">
        <v>323.58</v>
      </c>
      <c r="E698" s="1">
        <v>42940</v>
      </c>
      <c r="F698" t="s">
        <v>11</v>
      </c>
      <c r="G698" t="str">
        <f>"201707113486"</f>
        <v>201707113486</v>
      </c>
      <c r="H698" t="str">
        <f>"TRAVEL REIMBURSEMENT"</f>
        <v>TRAVEL REIMBURSEMENT</v>
      </c>
      <c r="I698" s="2">
        <v>323.58</v>
      </c>
      <c r="J698" t="str">
        <f>"TRAVEL REIMBURSEMENT"</f>
        <v>TRAVEL REIMBURSEMENT</v>
      </c>
    </row>
    <row r="699" spans="1:10" x14ac:dyDescent="0.3">
      <c r="A699" t="str">
        <f>"001530"</f>
        <v>001530</v>
      </c>
      <c r="B699" t="s">
        <v>227</v>
      </c>
      <c r="C699">
        <v>71738</v>
      </c>
      <c r="D699" s="2">
        <v>584.4</v>
      </c>
      <c r="E699" s="1">
        <v>42940</v>
      </c>
      <c r="F699" t="s">
        <v>11</v>
      </c>
      <c r="G699" t="str">
        <f>"1211621-20170630"</f>
        <v>1211621-20170630</v>
      </c>
      <c r="H699" t="str">
        <f>"BILLING ID#1211621/JUNE 2017"</f>
        <v>BILLING ID#1211621/JUNE 2017</v>
      </c>
      <c r="I699" s="2">
        <v>50</v>
      </c>
      <c r="J699" t="str">
        <f>"BILLING ID#1211621/JUNE 2017"</f>
        <v>BILLING ID#1211621/JUNE 2017</v>
      </c>
    </row>
    <row r="700" spans="1:10" x14ac:dyDescent="0.3">
      <c r="A700" t="str">
        <f>""</f>
        <v/>
      </c>
      <c r="G700" t="str">
        <f>"1361725-20170630"</f>
        <v>1361725-20170630</v>
      </c>
      <c r="H700" t="str">
        <f>"BILLING#1361725/INDIGENT"</f>
        <v>BILLING#1361725/INDIGENT</v>
      </c>
      <c r="I700" s="2">
        <v>127</v>
      </c>
      <c r="J700" t="str">
        <f>"BILLING#1361725/INDIGENT"</f>
        <v>BILLING#1361725/INDIGENT</v>
      </c>
    </row>
    <row r="701" spans="1:10" x14ac:dyDescent="0.3">
      <c r="A701" t="str">
        <f>""</f>
        <v/>
      </c>
      <c r="G701" t="str">
        <f>"1394645-20170630"</f>
        <v>1394645-20170630</v>
      </c>
      <c r="H701" t="str">
        <f>"BILLING ID#1394645/CNTY CLERK"</f>
        <v>BILLING ID#1394645/CNTY CLERK</v>
      </c>
      <c r="I701" s="2">
        <v>50</v>
      </c>
      <c r="J701" t="str">
        <f>"BILLING ID#1394645/CNTY CLERK"</f>
        <v>BILLING ID#1394645/CNTY CLERK</v>
      </c>
    </row>
    <row r="702" spans="1:10" x14ac:dyDescent="0.3">
      <c r="A702" t="str">
        <f>""</f>
        <v/>
      </c>
      <c r="G702" t="str">
        <f>"1420944-20170630"</f>
        <v>1420944-20170630</v>
      </c>
      <c r="H702" t="str">
        <f>"BILLING ID#1420944/BCSO"</f>
        <v>BILLING ID#1420944/BCSO</v>
      </c>
      <c r="I702" s="2">
        <v>307.39999999999998</v>
      </c>
      <c r="J702" t="str">
        <f>"BILLING ID#1420944/BCSO"</f>
        <v>BILLING ID#1420944/BCSO</v>
      </c>
    </row>
    <row r="703" spans="1:10" x14ac:dyDescent="0.3">
      <c r="A703" t="str">
        <f>""</f>
        <v/>
      </c>
      <c r="G703" t="str">
        <f>"1489870-20170630"</f>
        <v>1489870-20170630</v>
      </c>
      <c r="H703" t="str">
        <f>"BILLING ID#1489870/DIST CLERK"</f>
        <v>BILLING ID#1489870/DIST CLERK</v>
      </c>
      <c r="I703" s="2">
        <v>50</v>
      </c>
      <c r="J703" t="str">
        <f>"BILLING ID#1489870/DIST CLERK"</f>
        <v>BILLING ID#1489870/DIST CLERK</v>
      </c>
    </row>
    <row r="704" spans="1:10" x14ac:dyDescent="0.3">
      <c r="A704" t="str">
        <f>"000684"</f>
        <v>000684</v>
      </c>
      <c r="B704" t="s">
        <v>228</v>
      </c>
      <c r="C704">
        <v>71739</v>
      </c>
      <c r="D704" s="2">
        <v>150.35</v>
      </c>
      <c r="E704" s="1">
        <v>42940</v>
      </c>
      <c r="F704" t="s">
        <v>11</v>
      </c>
      <c r="G704" t="str">
        <f>"1166566"</f>
        <v>1166566</v>
      </c>
      <c r="H704" t="str">
        <f>"ACCT#15717/TIRE RECYCLING"</f>
        <v>ACCT#15717/TIRE RECYCLING</v>
      </c>
      <c r="I704" s="2">
        <v>150.35</v>
      </c>
      <c r="J704" t="str">
        <f>"ACCT#15717/TIRE RECYCLING"</f>
        <v>ACCT#15717/TIRE RECYCLING</v>
      </c>
    </row>
    <row r="705" spans="1:10" x14ac:dyDescent="0.3">
      <c r="A705" t="str">
        <f>"T11113"</f>
        <v>T11113</v>
      </c>
      <c r="B705" t="s">
        <v>229</v>
      </c>
      <c r="C705">
        <v>0</v>
      </c>
      <c r="D705" s="2">
        <v>30</v>
      </c>
      <c r="E705" s="1">
        <v>42926</v>
      </c>
      <c r="F705" t="s">
        <v>35</v>
      </c>
      <c r="G705" t="str">
        <f>"201707053338"</f>
        <v>201707053338</v>
      </c>
      <c r="H705" t="str">
        <f>"VEHICLE REGISTRATIONS-SHERIFF"</f>
        <v>VEHICLE REGISTRATIONS-SHERIFF</v>
      </c>
      <c r="I705" s="2">
        <v>30</v>
      </c>
      <c r="J705" t="str">
        <f>"VEHICLE REGISTRATIONS-SHERIFF"</f>
        <v>VEHICLE REGISTRATIONS-SHERIFF</v>
      </c>
    </row>
    <row r="706" spans="1:10" x14ac:dyDescent="0.3">
      <c r="A706" t="str">
        <f>"T11113"</f>
        <v>T11113</v>
      </c>
      <c r="B706" t="s">
        <v>229</v>
      </c>
      <c r="C706">
        <v>0</v>
      </c>
      <c r="D706" s="2">
        <v>52.5</v>
      </c>
      <c r="E706" s="1">
        <v>42940</v>
      </c>
      <c r="F706" t="s">
        <v>35</v>
      </c>
      <c r="G706" t="str">
        <f>"201707193768"</f>
        <v>201707193768</v>
      </c>
      <c r="H706" t="str">
        <f>"VEHICLE REGISTRATIONS/SHERIFF"</f>
        <v>VEHICLE REGISTRATIONS/SHERIFF</v>
      </c>
      <c r="I706" s="2">
        <v>52.5</v>
      </c>
      <c r="J706" t="str">
        <f>"VEHICLE REGISTRATIONS/SHERIFF"</f>
        <v>VEHICLE REGISTRATIONS/SHERIFF</v>
      </c>
    </row>
    <row r="707" spans="1:10" x14ac:dyDescent="0.3">
      <c r="A707" t="str">
        <f>"T12652"</f>
        <v>T12652</v>
      </c>
      <c r="B707" t="s">
        <v>230</v>
      </c>
      <c r="C707">
        <v>71740</v>
      </c>
      <c r="D707" s="2">
        <v>1050</v>
      </c>
      <c r="E707" s="1">
        <v>42940</v>
      </c>
      <c r="F707" t="s">
        <v>11</v>
      </c>
      <c r="G707" t="str">
        <f>"201707113592"</f>
        <v>201707113592</v>
      </c>
      <c r="H707" t="str">
        <f>"423-3617"</f>
        <v>423-3617</v>
      </c>
      <c r="I707" s="2">
        <v>200</v>
      </c>
      <c r="J707" t="str">
        <f>"423-3617"</f>
        <v>423-3617</v>
      </c>
    </row>
    <row r="708" spans="1:10" x14ac:dyDescent="0.3">
      <c r="A708" t="str">
        <f>""</f>
        <v/>
      </c>
      <c r="G708" t="str">
        <f>"201707183697"</f>
        <v>201707183697</v>
      </c>
      <c r="H708" t="str">
        <f>"54 624"</f>
        <v>54 624</v>
      </c>
      <c r="I708" s="2">
        <v>250</v>
      </c>
      <c r="J708" t="str">
        <f>"54 624"</f>
        <v>54 624</v>
      </c>
    </row>
    <row r="709" spans="1:10" x14ac:dyDescent="0.3">
      <c r="A709" t="str">
        <f>""</f>
        <v/>
      </c>
      <c r="G709" t="str">
        <f>"201707183706"</f>
        <v>201707183706</v>
      </c>
      <c r="H709" t="str">
        <f>"54 420"</f>
        <v>54 420</v>
      </c>
      <c r="I709" s="2">
        <v>250</v>
      </c>
      <c r="J709" t="str">
        <f>"54 420"</f>
        <v>54 420</v>
      </c>
    </row>
    <row r="710" spans="1:10" x14ac:dyDescent="0.3">
      <c r="A710" t="str">
        <f>""</f>
        <v/>
      </c>
      <c r="G710" t="str">
        <f>"201707183707"</f>
        <v>201707183707</v>
      </c>
      <c r="H710" t="str">
        <f>"54 351"</f>
        <v>54 351</v>
      </c>
      <c r="I710" s="2">
        <v>250</v>
      </c>
      <c r="J710" t="str">
        <f>"54 351"</f>
        <v>54 351</v>
      </c>
    </row>
    <row r="711" spans="1:10" x14ac:dyDescent="0.3">
      <c r="A711" t="str">
        <f>""</f>
        <v/>
      </c>
      <c r="G711" t="str">
        <f>"201707193741"</f>
        <v>201707193741</v>
      </c>
      <c r="H711" t="str">
        <f>"14-16742"</f>
        <v>14-16742</v>
      </c>
      <c r="I711" s="2">
        <v>100</v>
      </c>
      <c r="J711" t="str">
        <f>"14-16742"</f>
        <v>14-16742</v>
      </c>
    </row>
    <row r="712" spans="1:10" x14ac:dyDescent="0.3">
      <c r="A712" t="str">
        <f>"T7299"</f>
        <v>T7299</v>
      </c>
      <c r="B712" t="s">
        <v>231</v>
      </c>
      <c r="C712">
        <v>71741</v>
      </c>
      <c r="D712" s="2">
        <v>579.45000000000005</v>
      </c>
      <c r="E712" s="1">
        <v>42940</v>
      </c>
      <c r="F712" t="s">
        <v>11</v>
      </c>
      <c r="G712" t="str">
        <f>"201707113487"</f>
        <v>201707113487</v>
      </c>
      <c r="H712" t="str">
        <f>"TRAVEL REIMBURSEMENT"</f>
        <v>TRAVEL REIMBURSEMENT</v>
      </c>
      <c r="I712" s="2">
        <v>579.45000000000005</v>
      </c>
      <c r="J712" t="str">
        <f>"TRAVEL REIMBURSEMENT"</f>
        <v>TRAVEL REIMBURSEMENT</v>
      </c>
    </row>
    <row r="713" spans="1:10" x14ac:dyDescent="0.3">
      <c r="A713" t="str">
        <f>"004557"</f>
        <v>004557</v>
      </c>
      <c r="B713" t="s">
        <v>232</v>
      </c>
      <c r="C713">
        <v>71452</v>
      </c>
      <c r="D713" s="2">
        <v>332</v>
      </c>
      <c r="E713" s="1">
        <v>42926</v>
      </c>
      <c r="F713" t="s">
        <v>11</v>
      </c>
      <c r="G713" t="str">
        <f>"LS-14EXP BCS02"</f>
        <v>LS-14EXP BCS02</v>
      </c>
      <c r="H713" t="str">
        <f>"INV LS-14EXP BCSO2/ 0124"</f>
        <v>INV LS-14EXP BCSO2/ 0124</v>
      </c>
      <c r="I713" s="2">
        <v>332</v>
      </c>
      <c r="J713" t="str">
        <f>"INV LS-14EXP BCSO2/ 0124"</f>
        <v>INV LS-14EXP BCSO2/ 0124</v>
      </c>
    </row>
    <row r="714" spans="1:10" x14ac:dyDescent="0.3">
      <c r="A714" t="str">
        <f>"LIE"</f>
        <v>LIE</v>
      </c>
      <c r="B714" t="s">
        <v>233</v>
      </c>
      <c r="C714">
        <v>71453</v>
      </c>
      <c r="D714" s="2">
        <v>610.19000000000005</v>
      </c>
      <c r="E714" s="1">
        <v>42926</v>
      </c>
      <c r="F714" t="s">
        <v>11</v>
      </c>
      <c r="G714" t="str">
        <f>"311146"</f>
        <v>311146</v>
      </c>
      <c r="H714" t="str">
        <f>"CUST#4358/PCT#1"</f>
        <v>CUST#4358/PCT#1</v>
      </c>
      <c r="I714" s="2">
        <v>225.81</v>
      </c>
      <c r="J714" t="str">
        <f>"CUST#4358/PCT#1"</f>
        <v>CUST#4358/PCT#1</v>
      </c>
    </row>
    <row r="715" spans="1:10" x14ac:dyDescent="0.3">
      <c r="A715" t="str">
        <f>""</f>
        <v/>
      </c>
      <c r="G715" t="str">
        <f>"312695"</f>
        <v>312695</v>
      </c>
      <c r="H715" t="str">
        <f>"CUST#4358/UNIT#646/PCT#1"</f>
        <v>CUST#4358/UNIT#646/PCT#1</v>
      </c>
      <c r="I715" s="2">
        <v>384.38</v>
      </c>
      <c r="J715" t="str">
        <f>"CUST#4358/UNIT#646/PCT#1"</f>
        <v>CUST#4358/UNIT#646/PCT#1</v>
      </c>
    </row>
    <row r="716" spans="1:10" x14ac:dyDescent="0.3">
      <c r="A716" t="str">
        <f>"LIE"</f>
        <v>LIE</v>
      </c>
      <c r="B716" t="s">
        <v>233</v>
      </c>
      <c r="C716">
        <v>71742</v>
      </c>
      <c r="D716" s="2">
        <v>489.32</v>
      </c>
      <c r="E716" s="1">
        <v>42940</v>
      </c>
      <c r="F716" t="s">
        <v>11</v>
      </c>
      <c r="G716" t="str">
        <f>"1014774"</f>
        <v>1014774</v>
      </c>
      <c r="H716" t="str">
        <f>"ACCT#4360/PCT#2"</f>
        <v>ACCT#4360/PCT#2</v>
      </c>
      <c r="I716" s="2">
        <v>489.32</v>
      </c>
      <c r="J716" t="str">
        <f>"ACCT#4360/PCT#2"</f>
        <v>ACCT#4360/PCT#2</v>
      </c>
    </row>
    <row r="717" spans="1:10" x14ac:dyDescent="0.3">
      <c r="A717" t="str">
        <f>"T13085"</f>
        <v>T13085</v>
      </c>
      <c r="B717" t="s">
        <v>234</v>
      </c>
      <c r="C717">
        <v>71743</v>
      </c>
      <c r="D717" s="2">
        <v>323</v>
      </c>
      <c r="E717" s="1">
        <v>42940</v>
      </c>
      <c r="F717" t="s">
        <v>11</v>
      </c>
      <c r="G717" t="str">
        <f>"CAR WASHES-JUNE"</f>
        <v>CAR WASHES-JUNE</v>
      </c>
      <c r="H717" t="str">
        <f>"JUNE INVOICE"</f>
        <v>JUNE INVOICE</v>
      </c>
      <c r="I717" s="2">
        <v>323</v>
      </c>
      <c r="J717" t="str">
        <f>"JUNE INVOICE"</f>
        <v>JUNE INVOICE</v>
      </c>
    </row>
    <row r="718" spans="1:10" x14ac:dyDescent="0.3">
      <c r="A718" t="str">
        <f>"000888"</f>
        <v>000888</v>
      </c>
      <c r="B718" t="s">
        <v>235</v>
      </c>
      <c r="C718">
        <v>71744</v>
      </c>
      <c r="D718" s="2">
        <v>236.39</v>
      </c>
      <c r="E718" s="1">
        <v>42940</v>
      </c>
      <c r="F718" t="s">
        <v>11</v>
      </c>
      <c r="G718" t="str">
        <f>"MULT INV #'S"</f>
        <v>MULT INV #'S</v>
      </c>
      <c r="H718" t="str">
        <f>"Acct# 99006938692"</f>
        <v>Acct# 99006938692</v>
      </c>
      <c r="I718" s="2">
        <v>236.39</v>
      </c>
      <c r="J718" t="str">
        <f>"Inv# 902360"</f>
        <v>Inv# 902360</v>
      </c>
    </row>
    <row r="719" spans="1:10" x14ac:dyDescent="0.3">
      <c r="A719" t="str">
        <f>""</f>
        <v/>
      </c>
      <c r="G719" t="str">
        <f>""</f>
        <v/>
      </c>
      <c r="H719" t="str">
        <f>""</f>
        <v/>
      </c>
      <c r="J719" t="str">
        <f>"Inv# 902107"</f>
        <v>Inv# 902107</v>
      </c>
    </row>
    <row r="720" spans="1:10" x14ac:dyDescent="0.3">
      <c r="A720" t="str">
        <f>""</f>
        <v/>
      </c>
      <c r="G720" t="str">
        <f>""</f>
        <v/>
      </c>
      <c r="H720" t="str">
        <f>""</f>
        <v/>
      </c>
      <c r="J720" t="str">
        <f>"Inv# 914902"</f>
        <v>Inv# 914902</v>
      </c>
    </row>
    <row r="721" spans="1:10" x14ac:dyDescent="0.3">
      <c r="A721" t="str">
        <f>""</f>
        <v/>
      </c>
      <c r="G721" t="str">
        <f>""</f>
        <v/>
      </c>
      <c r="H721" t="str">
        <f>""</f>
        <v/>
      </c>
      <c r="J721" t="str">
        <f>"Inv# 901046"</f>
        <v>Inv# 901046</v>
      </c>
    </row>
    <row r="722" spans="1:10" x14ac:dyDescent="0.3">
      <c r="A722" t="str">
        <f>"LYNN"</f>
        <v>LYNN</v>
      </c>
      <c r="B722" t="s">
        <v>236</v>
      </c>
      <c r="C722">
        <v>71745</v>
      </c>
      <c r="D722" s="2">
        <v>890.45</v>
      </c>
      <c r="E722" s="1">
        <v>42940</v>
      </c>
      <c r="F722" t="s">
        <v>11</v>
      </c>
      <c r="G722" t="str">
        <f>"333158/333491"</f>
        <v>333158/333491</v>
      </c>
      <c r="H722" t="str">
        <f>"INV 333158 &amp; 333491"</f>
        <v>INV 333158 &amp; 333491</v>
      </c>
      <c r="I722" s="2">
        <v>890.45</v>
      </c>
      <c r="J722" t="str">
        <f>"INV 333158"</f>
        <v>INV 333158</v>
      </c>
    </row>
    <row r="723" spans="1:10" x14ac:dyDescent="0.3">
      <c r="A723" t="str">
        <f>""</f>
        <v/>
      </c>
      <c r="G723" t="str">
        <f>""</f>
        <v/>
      </c>
      <c r="H723" t="str">
        <f>""</f>
        <v/>
      </c>
      <c r="J723" t="str">
        <f>"INV  333491"</f>
        <v>INV  333491</v>
      </c>
    </row>
    <row r="724" spans="1:10" x14ac:dyDescent="0.3">
      <c r="A724" t="str">
        <f>"004036"</f>
        <v>004036</v>
      </c>
      <c r="B724" t="s">
        <v>237</v>
      </c>
      <c r="C724">
        <v>71454</v>
      </c>
      <c r="D724" s="2">
        <v>430</v>
      </c>
      <c r="E724" s="1">
        <v>42926</v>
      </c>
      <c r="F724" t="s">
        <v>11</v>
      </c>
      <c r="G724" t="str">
        <f>"10191"</f>
        <v>10191</v>
      </c>
      <c r="H724" t="str">
        <f>"CCRCS OFFICE SPACE/MED RUG"</f>
        <v>CCRCS OFFICE SPACE/MED RUG</v>
      </c>
      <c r="I724" s="2">
        <v>430</v>
      </c>
      <c r="J724" t="str">
        <f>"CCRCS OFFICE SPACE/MED RUG"</f>
        <v>CCRCS OFFICE SPACE/MED RUG</v>
      </c>
    </row>
    <row r="725" spans="1:10" x14ac:dyDescent="0.3">
      <c r="A725" t="str">
        <f>"T6669"</f>
        <v>T6669</v>
      </c>
      <c r="B725" t="s">
        <v>238</v>
      </c>
      <c r="C725">
        <v>71455</v>
      </c>
      <c r="D725" s="2">
        <v>103.5</v>
      </c>
      <c r="E725" s="1">
        <v>42926</v>
      </c>
      <c r="F725" t="s">
        <v>11</v>
      </c>
      <c r="G725" t="str">
        <f>"201706283279"</f>
        <v>201706283279</v>
      </c>
      <c r="H725" t="str">
        <f>"SUPPLIES/ELECTIONS DEPT"</f>
        <v>SUPPLIES/ELECTIONS DEPT</v>
      </c>
      <c r="I725" s="2">
        <v>103.5</v>
      </c>
      <c r="J725" t="str">
        <f>"SUPPLIES/ELECTIONS DEPT"</f>
        <v>SUPPLIES/ELECTIONS DEPT</v>
      </c>
    </row>
    <row r="726" spans="1:10" x14ac:dyDescent="0.3">
      <c r="A726" t="str">
        <f>"MANAC"</f>
        <v>MANAC</v>
      </c>
      <c r="B726" t="s">
        <v>239</v>
      </c>
      <c r="C726">
        <v>71746</v>
      </c>
      <c r="D726" s="2">
        <v>1044.8900000000001</v>
      </c>
      <c r="E726" s="1">
        <v>42940</v>
      </c>
      <c r="F726" t="s">
        <v>11</v>
      </c>
      <c r="G726" t="str">
        <f>"3010790"</f>
        <v>3010790</v>
      </c>
      <c r="H726" t="str">
        <f>"CUST#05000/#223 1060301/PCT#2"</f>
        <v>CUST#05000/#223 1060301/PCT#2</v>
      </c>
      <c r="I726" s="2">
        <v>1044.8900000000001</v>
      </c>
      <c r="J726" t="str">
        <f>"ITEM#223 1060301/PCT#2"</f>
        <v>ITEM#223 1060301/PCT#2</v>
      </c>
    </row>
    <row r="727" spans="1:10" x14ac:dyDescent="0.3">
      <c r="A727" t="str">
        <f>"MARIA"</f>
        <v>MARIA</v>
      </c>
      <c r="B727" t="s">
        <v>240</v>
      </c>
      <c r="C727">
        <v>71456</v>
      </c>
      <c r="D727" s="2">
        <v>1049.02</v>
      </c>
      <c r="E727" s="1">
        <v>42926</v>
      </c>
      <c r="F727" t="s">
        <v>11</v>
      </c>
      <c r="G727" t="str">
        <f>"201706293291"</f>
        <v>201706293291</v>
      </c>
      <c r="H727" t="str">
        <f>"CRIMINAL-6/21/2017"</f>
        <v>CRIMINAL-6/21/2017</v>
      </c>
      <c r="I727" s="2">
        <v>133.16999999999999</v>
      </c>
      <c r="J727" t="str">
        <f>"CRIMINAL-6/21/2017"</f>
        <v>CRIMINAL-6/21/2017</v>
      </c>
    </row>
    <row r="728" spans="1:10" x14ac:dyDescent="0.3">
      <c r="A728" t="str">
        <f>""</f>
        <v/>
      </c>
      <c r="G728" t="str">
        <f>"201706293292"</f>
        <v>201706293292</v>
      </c>
      <c r="H728" t="str">
        <f>"423-4892"</f>
        <v>423-4892</v>
      </c>
      <c r="I728" s="2">
        <v>50</v>
      </c>
      <c r="J728" t="str">
        <f>"423-4892"</f>
        <v>423-4892</v>
      </c>
    </row>
    <row r="729" spans="1:10" x14ac:dyDescent="0.3">
      <c r="A729" t="str">
        <f>""</f>
        <v/>
      </c>
      <c r="G729" t="str">
        <f>"201706293300"</f>
        <v>201706293300</v>
      </c>
      <c r="H729" t="str">
        <f>"CRIMINAL-6/28/2017"</f>
        <v>CRIMINAL-6/28/2017</v>
      </c>
      <c r="I729" s="2">
        <v>183.17</v>
      </c>
      <c r="J729" t="str">
        <f>"CRIMINAL-6/28/2017"</f>
        <v>CRIMINAL-6/28/2017</v>
      </c>
    </row>
    <row r="730" spans="1:10" x14ac:dyDescent="0.3">
      <c r="A730" t="str">
        <f>""</f>
        <v/>
      </c>
      <c r="G730" t="str">
        <f>"201707063419"</f>
        <v>201707063419</v>
      </c>
      <c r="H730" t="str">
        <f>"CRIMINAL-6/29/17"</f>
        <v>CRIMINAL-6/29/17</v>
      </c>
      <c r="I730" s="2">
        <v>183.17</v>
      </c>
      <c r="J730" t="str">
        <f>"CRIMINAL-6/29/17"</f>
        <v>CRIMINAL-6/29/17</v>
      </c>
    </row>
    <row r="731" spans="1:10" x14ac:dyDescent="0.3">
      <c r="A731" t="str">
        <f>""</f>
        <v/>
      </c>
      <c r="G731" t="str">
        <f>"201707063420"</f>
        <v>201707063420</v>
      </c>
      <c r="H731" t="str">
        <f>"CRIMINAL-6/22/17"</f>
        <v>CRIMINAL-6/22/17</v>
      </c>
      <c r="I731" s="2">
        <v>183.17</v>
      </c>
      <c r="J731" t="str">
        <f>"CRIMINAL-6/22/17"</f>
        <v>CRIMINAL-6/22/17</v>
      </c>
    </row>
    <row r="732" spans="1:10" x14ac:dyDescent="0.3">
      <c r="A732" t="str">
        <f>""</f>
        <v/>
      </c>
      <c r="G732" t="str">
        <f>"201707063421"</f>
        <v>201707063421</v>
      </c>
      <c r="H732" t="str">
        <f>"17-18119"</f>
        <v>17-18119</v>
      </c>
      <c r="I732" s="2">
        <v>183.17</v>
      </c>
      <c r="J732" t="str">
        <f>"17-18119"</f>
        <v>17-18119</v>
      </c>
    </row>
    <row r="733" spans="1:10" x14ac:dyDescent="0.3">
      <c r="A733" t="str">
        <f>""</f>
        <v/>
      </c>
      <c r="G733" t="str">
        <f>"201707063422"</f>
        <v>201707063422</v>
      </c>
      <c r="H733" t="str">
        <f>"12-15232"</f>
        <v>12-15232</v>
      </c>
      <c r="I733" s="2">
        <v>133.16999999999999</v>
      </c>
      <c r="J733" t="str">
        <f>"12-15232"</f>
        <v>12-15232</v>
      </c>
    </row>
    <row r="734" spans="1:10" x14ac:dyDescent="0.3">
      <c r="A734" t="str">
        <f>"MARIA"</f>
        <v>MARIA</v>
      </c>
      <c r="B734" t="s">
        <v>240</v>
      </c>
      <c r="C734">
        <v>71747</v>
      </c>
      <c r="D734" s="2">
        <v>183.17</v>
      </c>
      <c r="E734" s="1">
        <v>42940</v>
      </c>
      <c r="F734" t="s">
        <v>11</v>
      </c>
      <c r="G734" t="str">
        <f>"201707193742"</f>
        <v>201707193742</v>
      </c>
      <c r="H734" t="str">
        <f>"CRIMINAL 7/6/17"</f>
        <v>CRIMINAL 7/6/17</v>
      </c>
      <c r="I734" s="2">
        <v>183.17</v>
      </c>
      <c r="J734" t="str">
        <f>"CRIMINAL 7/6/17"</f>
        <v>CRIMINAL 7/6/17</v>
      </c>
    </row>
    <row r="735" spans="1:10" x14ac:dyDescent="0.3">
      <c r="A735" t="str">
        <f>"002282"</f>
        <v>002282</v>
      </c>
      <c r="B735" t="s">
        <v>241</v>
      </c>
      <c r="C735">
        <v>71457</v>
      </c>
      <c r="D735" s="2">
        <v>2250</v>
      </c>
      <c r="E735" s="1">
        <v>42926</v>
      </c>
      <c r="F735" t="s">
        <v>11</v>
      </c>
      <c r="G735" t="str">
        <f>"201706283281"</f>
        <v>201706283281</v>
      </c>
      <c r="H735" t="str">
        <f>"VETERINARY SVC/JUNE 13-JUNE 27"</f>
        <v>VETERINARY SVC/JUNE 13-JUNE 27</v>
      </c>
      <c r="I735" s="2">
        <v>2250</v>
      </c>
      <c r="J735" t="str">
        <f>"VETERINARY SVC/JUNE 13-JUNE 27"</f>
        <v>VETERINARY SVC/JUNE 13-JUNE 27</v>
      </c>
    </row>
    <row r="736" spans="1:10" x14ac:dyDescent="0.3">
      <c r="A736" t="str">
        <f>"004909"</f>
        <v>004909</v>
      </c>
      <c r="B736" t="s">
        <v>242</v>
      </c>
      <c r="C736">
        <v>71748</v>
      </c>
      <c r="D736" s="2">
        <v>577.59</v>
      </c>
      <c r="E736" s="1">
        <v>42940</v>
      </c>
      <c r="F736" t="s">
        <v>11</v>
      </c>
      <c r="G736" t="str">
        <f>"201707173667"</f>
        <v>201707173667</v>
      </c>
      <c r="H736" t="str">
        <f>"REIMBURSE-FOOD PAVING CREW"</f>
        <v>REIMBURSE-FOOD PAVING CREW</v>
      </c>
      <c r="I736" s="2">
        <v>577.59</v>
      </c>
      <c r="J736" t="str">
        <f>"REIMBURSE-FOOD PAVING CREW"</f>
        <v>REIMBURSE-FOOD PAVING CREW</v>
      </c>
    </row>
    <row r="737" spans="1:10" x14ac:dyDescent="0.3">
      <c r="A737" t="str">
        <f>"T13936"</f>
        <v>T13936</v>
      </c>
      <c r="B737" t="s">
        <v>243</v>
      </c>
      <c r="C737">
        <v>71458</v>
      </c>
      <c r="D737" s="2">
        <v>2734.03</v>
      </c>
      <c r="E737" s="1">
        <v>42926</v>
      </c>
      <c r="F737" t="s">
        <v>11</v>
      </c>
      <c r="G737" t="str">
        <f>"201707053332"</f>
        <v>201707053332</v>
      </c>
      <c r="H737" t="str">
        <f>"PHYSICIAN SVCS/LAB/XRAY"</f>
        <v>PHYSICIAN SVCS/LAB/XRAY</v>
      </c>
      <c r="I737" s="2">
        <v>2734.03</v>
      </c>
      <c r="J737" t="str">
        <f>"PHYSICIAN SVCS/LAB/XRAY"</f>
        <v>PHYSICIAN SVCS/LAB/XRAY</v>
      </c>
    </row>
    <row r="738" spans="1:10" x14ac:dyDescent="0.3">
      <c r="A738" t="str">
        <f>""</f>
        <v/>
      </c>
      <c r="G738" t="str">
        <f>""</f>
        <v/>
      </c>
      <c r="H738" t="str">
        <f>""</f>
        <v/>
      </c>
      <c r="J738" t="str">
        <f>"PHYSICIAN SVCS/LAB/XRAY"</f>
        <v>PHYSICIAN SVCS/LAB/XRAY</v>
      </c>
    </row>
    <row r="739" spans="1:10" x14ac:dyDescent="0.3">
      <c r="A739" t="str">
        <f>"T13936"</f>
        <v>T13936</v>
      </c>
      <c r="B739" t="s">
        <v>243</v>
      </c>
      <c r="C739">
        <v>71749</v>
      </c>
      <c r="D739" s="2">
        <v>2648.78</v>
      </c>
      <c r="E739" s="1">
        <v>42940</v>
      </c>
      <c r="F739" t="s">
        <v>11</v>
      </c>
      <c r="G739" t="str">
        <f>"201707193779"</f>
        <v>201707193779</v>
      </c>
      <c r="H739" t="str">
        <f>"INDIGENT HEALTH"</f>
        <v>INDIGENT HEALTH</v>
      </c>
      <c r="I739" s="2">
        <v>2648.78</v>
      </c>
      <c r="J739" t="str">
        <f>"INDIGENT HEALTH"</f>
        <v>INDIGENT HEALTH</v>
      </c>
    </row>
    <row r="740" spans="1:10" x14ac:dyDescent="0.3">
      <c r="A740" t="str">
        <f>""</f>
        <v/>
      </c>
      <c r="G740" t="str">
        <f>""</f>
        <v/>
      </c>
      <c r="H740" t="str">
        <f>""</f>
        <v/>
      </c>
      <c r="J740" t="str">
        <f>"INDIGENT HEALTH"</f>
        <v>INDIGENT HEALTH</v>
      </c>
    </row>
    <row r="741" spans="1:10" x14ac:dyDescent="0.3">
      <c r="A741" t="str">
        <f>"T12624"</f>
        <v>T12624</v>
      </c>
      <c r="B741" t="s">
        <v>244</v>
      </c>
      <c r="C741">
        <v>71750</v>
      </c>
      <c r="D741" s="2">
        <v>444.53</v>
      </c>
      <c r="E741" s="1">
        <v>42940</v>
      </c>
      <c r="F741" t="s">
        <v>11</v>
      </c>
      <c r="G741" t="str">
        <f>"INV001626580"</f>
        <v>INV001626580</v>
      </c>
      <c r="H741" t="str">
        <f>"INV001626580 PLUMBING"</f>
        <v>INV001626580 PLUMBING</v>
      </c>
      <c r="I741" s="2">
        <v>444.53</v>
      </c>
      <c r="J741" t="str">
        <f>"INV001626580 PLUMBING"</f>
        <v>INV001626580 PLUMBING</v>
      </c>
    </row>
    <row r="742" spans="1:10" x14ac:dyDescent="0.3">
      <c r="A742" t="str">
        <f>""</f>
        <v/>
      </c>
      <c r="G742" t="str">
        <f>""</f>
        <v/>
      </c>
      <c r="H742" t="str">
        <f>""</f>
        <v/>
      </c>
      <c r="J742" t="str">
        <f>"LESS CREDIT"</f>
        <v>LESS CREDIT</v>
      </c>
    </row>
    <row r="743" spans="1:10" x14ac:dyDescent="0.3">
      <c r="A743" t="str">
        <f>"MJFH"</f>
        <v>MJFH</v>
      </c>
      <c r="B743" t="s">
        <v>245</v>
      </c>
      <c r="C743">
        <v>71751</v>
      </c>
      <c r="D743" s="2">
        <v>504</v>
      </c>
      <c r="E743" s="1">
        <v>42940</v>
      </c>
      <c r="F743" t="s">
        <v>11</v>
      </c>
      <c r="G743" t="str">
        <f>"201707143662"</f>
        <v>201707143662</v>
      </c>
      <c r="H743" t="str">
        <f>"TRANSPORT"</f>
        <v>TRANSPORT</v>
      </c>
      <c r="I743" s="2">
        <v>504</v>
      </c>
      <c r="J743" t="str">
        <f>"TRANSPORT"</f>
        <v>TRANSPORT</v>
      </c>
    </row>
    <row r="744" spans="1:10" x14ac:dyDescent="0.3">
      <c r="A744" t="str">
        <f>"T9432"</f>
        <v>T9432</v>
      </c>
      <c r="B744" t="s">
        <v>246</v>
      </c>
      <c r="C744">
        <v>71459</v>
      </c>
      <c r="D744" s="2">
        <v>89.79</v>
      </c>
      <c r="E744" s="1">
        <v>42926</v>
      </c>
      <c r="F744" t="s">
        <v>11</v>
      </c>
      <c r="G744" t="str">
        <f>"201707053352"</f>
        <v>201707053352</v>
      </c>
      <c r="H744" t="str">
        <f>"REIMBURSE PARKING FEES"</f>
        <v>REIMBURSE PARKING FEES</v>
      </c>
      <c r="I744" s="2">
        <v>89.79</v>
      </c>
      <c r="J744" t="str">
        <f>"REIMBURSE PARKING FEES"</f>
        <v>REIMBURSE PARKING FEES</v>
      </c>
    </row>
    <row r="745" spans="1:10" x14ac:dyDescent="0.3">
      <c r="A745" t="str">
        <f>"T9432"</f>
        <v>T9432</v>
      </c>
      <c r="B745" t="s">
        <v>246</v>
      </c>
      <c r="C745">
        <v>71752</v>
      </c>
      <c r="D745" s="2">
        <v>1417.5</v>
      </c>
      <c r="E745" s="1">
        <v>42940</v>
      </c>
      <c r="F745" t="s">
        <v>11</v>
      </c>
      <c r="G745" t="str">
        <f>"201707183692"</f>
        <v>201707183692</v>
      </c>
      <c r="H745" t="str">
        <f>"15-17513"</f>
        <v>15-17513</v>
      </c>
      <c r="I745" s="2">
        <v>1417.5</v>
      </c>
      <c r="J745" t="str">
        <f>"15-17513"</f>
        <v>15-17513</v>
      </c>
    </row>
    <row r="746" spans="1:10" x14ac:dyDescent="0.3">
      <c r="A746" t="str">
        <f>"004144"</f>
        <v>004144</v>
      </c>
      <c r="B746" t="s">
        <v>247</v>
      </c>
      <c r="C746">
        <v>71460</v>
      </c>
      <c r="D746" s="2">
        <v>1125</v>
      </c>
      <c r="E746" s="1">
        <v>42926</v>
      </c>
      <c r="F746" t="s">
        <v>11</v>
      </c>
      <c r="G746" t="str">
        <f>"201707063423"</f>
        <v>201707063423</v>
      </c>
      <c r="H746" t="str">
        <f>"54 197"</f>
        <v>54 197</v>
      </c>
      <c r="I746" s="2">
        <v>250</v>
      </c>
      <c r="J746" t="str">
        <f>"54 197"</f>
        <v>54 197</v>
      </c>
    </row>
    <row r="747" spans="1:10" x14ac:dyDescent="0.3">
      <c r="A747" t="str">
        <f>""</f>
        <v/>
      </c>
      <c r="G747" t="str">
        <f>"201707063424"</f>
        <v>201707063424</v>
      </c>
      <c r="H747" t="str">
        <f>"C16-0106"</f>
        <v>C16-0106</v>
      </c>
      <c r="I747" s="2">
        <v>125</v>
      </c>
      <c r="J747" t="str">
        <f>"C16-0106"</f>
        <v>C16-0106</v>
      </c>
    </row>
    <row r="748" spans="1:10" x14ac:dyDescent="0.3">
      <c r="A748" t="str">
        <f>""</f>
        <v/>
      </c>
      <c r="G748" t="str">
        <f>"201707063425"</f>
        <v>201707063425</v>
      </c>
      <c r="H748" t="str">
        <f>"55 099"</f>
        <v>55 099</v>
      </c>
      <c r="I748" s="2">
        <v>250</v>
      </c>
      <c r="J748" t="str">
        <f>"55 099"</f>
        <v>55 099</v>
      </c>
    </row>
    <row r="749" spans="1:10" x14ac:dyDescent="0.3">
      <c r="A749" t="str">
        <f>""</f>
        <v/>
      </c>
      <c r="G749" t="str">
        <f>"201707063426"</f>
        <v>201707063426</v>
      </c>
      <c r="H749" t="str">
        <f>"55 036"</f>
        <v>55 036</v>
      </c>
      <c r="I749" s="2">
        <v>250</v>
      </c>
      <c r="J749" t="str">
        <f>"55 036"</f>
        <v>55 036</v>
      </c>
    </row>
    <row r="750" spans="1:10" x14ac:dyDescent="0.3">
      <c r="A750" t="str">
        <f>""</f>
        <v/>
      </c>
      <c r="G750" t="str">
        <f>"201707063427"</f>
        <v>201707063427</v>
      </c>
      <c r="H750" t="str">
        <f>"55 115"</f>
        <v>55 115</v>
      </c>
      <c r="I750" s="2">
        <v>250</v>
      </c>
      <c r="J750" t="str">
        <f>"55 115"</f>
        <v>55 115</v>
      </c>
    </row>
    <row r="751" spans="1:10" x14ac:dyDescent="0.3">
      <c r="A751" t="str">
        <f>"004144"</f>
        <v>004144</v>
      </c>
      <c r="B751" t="s">
        <v>247</v>
      </c>
      <c r="C751">
        <v>71753</v>
      </c>
      <c r="D751" s="2">
        <v>162.75</v>
      </c>
      <c r="E751" s="1">
        <v>42940</v>
      </c>
      <c r="F751" t="s">
        <v>11</v>
      </c>
      <c r="G751" t="str">
        <f>"201707193743"</f>
        <v>201707193743</v>
      </c>
      <c r="H751" t="str">
        <f>"17-18393"</f>
        <v>17-18393</v>
      </c>
      <c r="I751" s="2">
        <v>162.75</v>
      </c>
      <c r="J751" t="str">
        <f>"17-18393"</f>
        <v>17-18393</v>
      </c>
    </row>
    <row r="752" spans="1:10" x14ac:dyDescent="0.3">
      <c r="A752" t="str">
        <f>"TRIGA"</f>
        <v>TRIGA</v>
      </c>
      <c r="B752" t="s">
        <v>248</v>
      </c>
      <c r="C752">
        <v>71754</v>
      </c>
      <c r="D752" s="2">
        <v>180.1</v>
      </c>
      <c r="E752" s="1">
        <v>42940</v>
      </c>
      <c r="F752" t="s">
        <v>11</v>
      </c>
      <c r="G752" t="str">
        <f>"15715574"</f>
        <v>15715574</v>
      </c>
      <c r="H752" t="str">
        <f>"CUST#41472/PCT#1"</f>
        <v>CUST#41472/PCT#1</v>
      </c>
      <c r="I752" s="2">
        <v>20.73</v>
      </c>
      <c r="J752" t="str">
        <f>"CUST#41472/PCT#1"</f>
        <v>CUST#41472/PCT#1</v>
      </c>
    </row>
    <row r="753" spans="1:11" x14ac:dyDescent="0.3">
      <c r="A753" t="str">
        <f>""</f>
        <v/>
      </c>
      <c r="G753" t="str">
        <f>"15715684"</f>
        <v>15715684</v>
      </c>
      <c r="H753" t="str">
        <f>"CUST#45057/PCT#4"</f>
        <v>CUST#45057/PCT#4</v>
      </c>
      <c r="I753" s="2">
        <v>36.729999999999997</v>
      </c>
      <c r="J753" t="str">
        <f>"CUST#45057/PCT#4"</f>
        <v>CUST#45057/PCT#4</v>
      </c>
    </row>
    <row r="754" spans="1:11" x14ac:dyDescent="0.3">
      <c r="A754" t="str">
        <f>""</f>
        <v/>
      </c>
      <c r="G754" t="str">
        <f>"15715753"</f>
        <v>15715753</v>
      </c>
      <c r="H754" t="str">
        <f>"MONTHLY RENTAL"</f>
        <v>MONTHLY RENTAL</v>
      </c>
      <c r="I754" s="2">
        <v>47.64</v>
      </c>
      <c r="J754" t="str">
        <f>"MONTHLY RENTAL"</f>
        <v>MONTHLY RENTAL</v>
      </c>
    </row>
    <row r="755" spans="1:11" x14ac:dyDescent="0.3">
      <c r="A755" t="str">
        <f>""</f>
        <v/>
      </c>
      <c r="G755" t="str">
        <f>"15724068"</f>
        <v>15724068</v>
      </c>
      <c r="H755" t="str">
        <f>"CUST#S9547/PCT#1"</f>
        <v>CUST#S9547/PCT#1</v>
      </c>
      <c r="I755" s="2">
        <v>75</v>
      </c>
      <c r="J755" t="str">
        <f>"CUST#S9547/PCT#1"</f>
        <v>CUST#S9547/PCT#1</v>
      </c>
    </row>
    <row r="756" spans="1:11" x14ac:dyDescent="0.3">
      <c r="A756" t="str">
        <f>"MC COY"</f>
        <v>MC COY</v>
      </c>
      <c r="B756" t="s">
        <v>249</v>
      </c>
      <c r="C756">
        <v>71755</v>
      </c>
      <c r="D756" s="2">
        <v>343.79</v>
      </c>
      <c r="E756" s="1">
        <v>42940</v>
      </c>
      <c r="F756" t="s">
        <v>11</v>
      </c>
      <c r="G756" t="str">
        <f>"201707133617"</f>
        <v>201707133617</v>
      </c>
      <c r="H756" t="str">
        <f>"ACCT#900-98011130 001"</f>
        <v>ACCT#900-98011130 001</v>
      </c>
      <c r="I756" s="2">
        <v>343.79</v>
      </c>
      <c r="J756" t="str">
        <f>"ACCT#900-98011130 001"</f>
        <v>ACCT#900-98011130 001</v>
      </c>
    </row>
    <row r="757" spans="1:11" x14ac:dyDescent="0.3">
      <c r="A757" t="str">
        <f>""</f>
        <v/>
      </c>
      <c r="G757" t="str">
        <f>""</f>
        <v/>
      </c>
      <c r="H757" t="str">
        <f>""</f>
        <v/>
      </c>
      <c r="J757" t="str">
        <f>"ACCT#900-98011130 001"</f>
        <v>ACCT#900-98011130 001</v>
      </c>
    </row>
    <row r="758" spans="1:11" x14ac:dyDescent="0.3">
      <c r="A758" t="str">
        <f>"MC CRE"</f>
        <v>MC CRE</v>
      </c>
      <c r="B758" t="s">
        <v>250</v>
      </c>
      <c r="C758">
        <v>71461</v>
      </c>
      <c r="D758" s="2">
        <v>2598</v>
      </c>
      <c r="E758" s="1">
        <v>42926</v>
      </c>
      <c r="F758" t="s">
        <v>11</v>
      </c>
      <c r="G758" t="s">
        <v>124</v>
      </c>
      <c r="H758" t="s">
        <v>251</v>
      </c>
      <c r="I758" s="2" t="str">
        <f>"SVC-$104 &amp; ABSTFEE-$150-5/1/17"</f>
        <v>SVC-$104 &amp; ABSTFEE-$150-5/1/17</v>
      </c>
      <c r="J758" t="str">
        <f>"995-4110"</f>
        <v>995-4110</v>
      </c>
      <c r="K758">
        <v>254</v>
      </c>
    </row>
    <row r="759" spans="1:11" x14ac:dyDescent="0.3">
      <c r="A759" t="str">
        <f>""</f>
        <v/>
      </c>
      <c r="G759" t="str">
        <f>"10063"</f>
        <v>10063</v>
      </c>
      <c r="H759" t="str">
        <f>"ABST FEE-$5 &amp; SVC-$195-5/8/17"</f>
        <v>ABST FEE-$5 &amp; SVC-$195-5/8/17</v>
      </c>
      <c r="I759" s="2">
        <v>200</v>
      </c>
      <c r="J759" t="str">
        <f>"ABST FEE-$5 &amp; SVC-$195-5/8/17"</f>
        <v>ABST FEE-$5 &amp; SVC-$195-5/8/17</v>
      </c>
    </row>
    <row r="760" spans="1:11" x14ac:dyDescent="0.3">
      <c r="A760" t="str">
        <f>""</f>
        <v/>
      </c>
      <c r="G760" t="str">
        <f>"10346"</f>
        <v>10346</v>
      </c>
      <c r="H760" t="str">
        <f>"SERVICE-$130 &amp; ABST FEE-$37"</f>
        <v>SERVICE-$130 &amp; ABST FEE-$37</v>
      </c>
      <c r="I760" s="2">
        <v>167</v>
      </c>
      <c r="J760" t="str">
        <f>"SERVICE-$130 &amp; ABST FEE-$37"</f>
        <v>SERVICE-$130 &amp; ABST FEE-$37</v>
      </c>
    </row>
    <row r="761" spans="1:11" x14ac:dyDescent="0.3">
      <c r="A761" t="str">
        <f>""</f>
        <v/>
      </c>
      <c r="G761" t="s">
        <v>48</v>
      </c>
      <c r="H761" t="s">
        <v>50</v>
      </c>
      <c r="I761" s="2" t="str">
        <f>"SERVICE-4/28/17"</f>
        <v>SERVICE-4/28/17</v>
      </c>
      <c r="J761" t="str">
        <f>"995-4110"</f>
        <v>995-4110</v>
      </c>
      <c r="K761">
        <v>65</v>
      </c>
    </row>
    <row r="762" spans="1:11" x14ac:dyDescent="0.3">
      <c r="A762" t="str">
        <f>""</f>
        <v/>
      </c>
      <c r="G762" t="str">
        <f>"11860"</f>
        <v>11860</v>
      </c>
      <c r="H762" t="str">
        <f>"ABST FEE-5/5/2017"</f>
        <v>ABST FEE-5/5/2017</v>
      </c>
      <c r="I762" s="2">
        <v>175</v>
      </c>
      <c r="J762" t="str">
        <f>"ABST FEE-5/5/2017"</f>
        <v>ABST FEE-5/5/2017</v>
      </c>
    </row>
    <row r="763" spans="1:11" x14ac:dyDescent="0.3">
      <c r="A763" t="str">
        <f>""</f>
        <v/>
      </c>
      <c r="G763" t="s">
        <v>51</v>
      </c>
      <c r="H763" t="s">
        <v>52</v>
      </c>
      <c r="I763" s="2" t="str">
        <f>"ABST FEE-5/8/2017"</f>
        <v>ABST FEE-5/8/2017</v>
      </c>
      <c r="J763" t="str">
        <f>"995-4110"</f>
        <v>995-4110</v>
      </c>
      <c r="K763">
        <v>175</v>
      </c>
    </row>
    <row r="764" spans="1:11" x14ac:dyDescent="0.3">
      <c r="A764" t="str">
        <f>""</f>
        <v/>
      </c>
      <c r="G764" t="s">
        <v>51</v>
      </c>
      <c r="H764" t="s">
        <v>252</v>
      </c>
      <c r="I764" s="2" t="str">
        <f>"ABST FEE-4/28/17"</f>
        <v>ABST FEE-4/28/17</v>
      </c>
      <c r="J764" t="str">
        <f>"995-4110"</f>
        <v>995-4110</v>
      </c>
      <c r="K764">
        <v>175</v>
      </c>
    </row>
    <row r="765" spans="1:11" x14ac:dyDescent="0.3">
      <c r="A765" t="str">
        <f>""</f>
        <v/>
      </c>
      <c r="G765" t="s">
        <v>51</v>
      </c>
      <c r="H765" t="s">
        <v>253</v>
      </c>
      <c r="I765" s="2" t="str">
        <f>"ABST FEE-4/28/17"</f>
        <v>ABST FEE-4/28/17</v>
      </c>
      <c r="J765" t="str">
        <f>"995-4110"</f>
        <v>995-4110</v>
      </c>
      <c r="K765">
        <v>87</v>
      </c>
    </row>
    <row r="766" spans="1:11" x14ac:dyDescent="0.3">
      <c r="A766" t="str">
        <f>""</f>
        <v/>
      </c>
      <c r="G766" t="s">
        <v>51</v>
      </c>
      <c r="H766" t="s">
        <v>53</v>
      </c>
      <c r="I766" s="2" t="str">
        <f>"ABST FEE-5/9/2017"</f>
        <v>ABST FEE-5/9/2017</v>
      </c>
      <c r="J766" t="str">
        <f>"995-4110"</f>
        <v>995-4110</v>
      </c>
      <c r="K766">
        <v>225</v>
      </c>
    </row>
    <row r="767" spans="1:11" x14ac:dyDescent="0.3">
      <c r="A767" t="str">
        <f>""</f>
        <v/>
      </c>
      <c r="G767" t="str">
        <f>"12580"</f>
        <v>12580</v>
      </c>
      <c r="H767" t="str">
        <f>"ABST FEE-4/25/2017"</f>
        <v>ABST FEE-4/25/2017</v>
      </c>
      <c r="I767" s="2">
        <v>175</v>
      </c>
      <c r="J767" t="str">
        <f>"ABST FEE-4/25/2017"</f>
        <v>ABST FEE-4/25/2017</v>
      </c>
    </row>
    <row r="768" spans="1:11" x14ac:dyDescent="0.3">
      <c r="A768" t="str">
        <f>""</f>
        <v/>
      </c>
      <c r="G768" t="str">
        <f>"12655"</f>
        <v>12655</v>
      </c>
      <c r="H768" t="str">
        <f>"ABST FEE-4/19/2017"</f>
        <v>ABST FEE-4/19/2017</v>
      </c>
      <c r="I768" s="2">
        <v>225</v>
      </c>
      <c r="J768" t="str">
        <f>"ABST FEE-4/19/2017"</f>
        <v>ABST FEE-4/19/2017</v>
      </c>
    </row>
    <row r="769" spans="1:10" x14ac:dyDescent="0.3">
      <c r="A769" t="str">
        <f>""</f>
        <v/>
      </c>
      <c r="G769" t="str">
        <f>"12666"</f>
        <v>12666</v>
      </c>
      <c r="H769" t="str">
        <f>"ABST FEE-4/19/2017"</f>
        <v>ABST FEE-4/19/2017</v>
      </c>
      <c r="I769" s="2">
        <v>225</v>
      </c>
      <c r="J769" t="str">
        <f>"ABST FEE-4/19/2017"</f>
        <v>ABST FEE-4/19/2017</v>
      </c>
    </row>
    <row r="770" spans="1:10" x14ac:dyDescent="0.3">
      <c r="A770" t="str">
        <f>""</f>
        <v/>
      </c>
      <c r="G770" t="str">
        <f>"12667"</f>
        <v>12667</v>
      </c>
      <c r="H770" t="str">
        <f>"ABST FEE-4/21/2017"</f>
        <v>ABST FEE-4/21/2017</v>
      </c>
      <c r="I770" s="2">
        <v>225</v>
      </c>
      <c r="J770" t="str">
        <f>"ABST FEE-4/21/2017"</f>
        <v>ABST FEE-4/21/2017</v>
      </c>
    </row>
    <row r="771" spans="1:10" x14ac:dyDescent="0.3">
      <c r="A771" t="str">
        <f>""</f>
        <v/>
      </c>
      <c r="G771" t="str">
        <f>"12697"</f>
        <v>12697</v>
      </c>
      <c r="H771" t="str">
        <f>"ABST FEE-5/3/2017"</f>
        <v>ABST FEE-5/3/2017</v>
      </c>
      <c r="I771" s="2">
        <v>225</v>
      </c>
      <c r="J771" t="str">
        <f>"ABST FEE-5/3/2017"</f>
        <v>ABST FEE-5/3/2017</v>
      </c>
    </row>
    <row r="772" spans="1:10" x14ac:dyDescent="0.3">
      <c r="A772" t="str">
        <f>"MC CRE"</f>
        <v>MC CRE</v>
      </c>
      <c r="B772" t="s">
        <v>250</v>
      </c>
      <c r="C772">
        <v>71756</v>
      </c>
      <c r="D772" s="2">
        <v>11623.52</v>
      </c>
      <c r="E772" s="1">
        <v>42940</v>
      </c>
      <c r="F772" t="s">
        <v>11</v>
      </c>
      <c r="G772" t="str">
        <f>"11084"</f>
        <v>11084</v>
      </c>
      <c r="H772" t="str">
        <f>"ABST FEE-5/24/17"</f>
        <v>ABST FEE-5/24/17</v>
      </c>
      <c r="I772" s="2">
        <v>150</v>
      </c>
      <c r="J772" t="str">
        <f>"ABST FEE-5/24/17"</f>
        <v>ABST FEE-5/24/17</v>
      </c>
    </row>
    <row r="773" spans="1:10" x14ac:dyDescent="0.3">
      <c r="A773" t="str">
        <f>""</f>
        <v/>
      </c>
      <c r="G773" t="str">
        <f>"11465 5/30/17"</f>
        <v>11465 5/30/17</v>
      </c>
      <c r="H773" t="str">
        <f>"SERVICE-5/30/17"</f>
        <v>SERVICE-5/30/17</v>
      </c>
      <c r="I773" s="2">
        <v>100</v>
      </c>
      <c r="J773" t="str">
        <f>"SERVICE-5/30/17"</f>
        <v>SERVICE-5/30/17</v>
      </c>
    </row>
    <row r="774" spans="1:10" x14ac:dyDescent="0.3">
      <c r="A774" t="str">
        <f>""</f>
        <v/>
      </c>
      <c r="G774" t="str">
        <f>"11842"</f>
        <v>11842</v>
      </c>
      <c r="H774" t="str">
        <f>"ABST FEE-5/16/17"</f>
        <v>ABST FEE-5/16/17</v>
      </c>
      <c r="I774" s="2">
        <v>175</v>
      </c>
      <c r="J774" t="str">
        <f>"ABST FEE-5/16/17"</f>
        <v>ABST FEE-5/16/17</v>
      </c>
    </row>
    <row r="775" spans="1:10" x14ac:dyDescent="0.3">
      <c r="A775" t="str">
        <f>""</f>
        <v/>
      </c>
      <c r="G775" t="str">
        <f>"12258"</f>
        <v>12258</v>
      </c>
      <c r="H775" t="str">
        <f>"ABST FEE-5/11/17"</f>
        <v>ABST FEE-5/11/17</v>
      </c>
      <c r="I775" s="2">
        <v>175</v>
      </c>
      <c r="J775" t="str">
        <f>"ABST FEE-5/11/17"</f>
        <v>ABST FEE-5/11/17</v>
      </c>
    </row>
    <row r="776" spans="1:10" x14ac:dyDescent="0.3">
      <c r="A776" t="str">
        <f>""</f>
        <v/>
      </c>
      <c r="G776" t="str">
        <f>"12362"</f>
        <v>12362</v>
      </c>
      <c r="H776" t="str">
        <f>"ABST FEE 6/5/17"</f>
        <v>ABST FEE 6/5/17</v>
      </c>
      <c r="I776" s="2">
        <v>175</v>
      </c>
      <c r="J776" t="str">
        <f>"ABST FEE 6/5/17"</f>
        <v>ABST FEE 6/5/17</v>
      </c>
    </row>
    <row r="777" spans="1:10" x14ac:dyDescent="0.3">
      <c r="A777" t="str">
        <f>""</f>
        <v/>
      </c>
      <c r="G777" t="str">
        <f>"12409 6/5/17"</f>
        <v>12409 6/5/17</v>
      </c>
      <c r="H777" t="str">
        <f>"ABST FEE 6/5/17"</f>
        <v>ABST FEE 6/5/17</v>
      </c>
      <c r="I777" s="2">
        <v>130</v>
      </c>
      <c r="J777" t="str">
        <f>"ABST FEE 6/5/17"</f>
        <v>ABST FEE 6/5/17</v>
      </c>
    </row>
    <row r="778" spans="1:10" x14ac:dyDescent="0.3">
      <c r="A778" t="str">
        <f>""</f>
        <v/>
      </c>
      <c r="G778" t="str">
        <f>"12426"</f>
        <v>12426</v>
      </c>
      <c r="H778" t="str">
        <f>"ABST FEE 6/2/17"</f>
        <v>ABST FEE 6/2/17</v>
      </c>
      <c r="I778" s="2">
        <v>175</v>
      </c>
      <c r="J778" t="str">
        <f>"ABST FEE 6/2/17"</f>
        <v>ABST FEE 6/2/17</v>
      </c>
    </row>
    <row r="779" spans="1:10" x14ac:dyDescent="0.3">
      <c r="A779" t="str">
        <f>""</f>
        <v/>
      </c>
      <c r="G779" t="str">
        <f>"12528"</f>
        <v>12528</v>
      </c>
      <c r="H779" t="str">
        <f>"ABST FEE 6/5/17"</f>
        <v>ABST FEE 6/5/17</v>
      </c>
      <c r="I779" s="2">
        <v>175</v>
      </c>
      <c r="J779" t="str">
        <f>"ABST FEE 6/5/17"</f>
        <v>ABST FEE 6/5/17</v>
      </c>
    </row>
    <row r="780" spans="1:10" x14ac:dyDescent="0.3">
      <c r="A780" t="str">
        <f>""</f>
        <v/>
      </c>
      <c r="G780" t="str">
        <f>"12563"</f>
        <v>12563</v>
      </c>
      <c r="H780" t="str">
        <f>"ABST FEE-5/15/17"</f>
        <v>ABST FEE-5/15/17</v>
      </c>
      <c r="I780" s="2">
        <v>175</v>
      </c>
      <c r="J780" t="str">
        <f>"ABST FEE-5/15/17"</f>
        <v>ABST FEE-5/15/17</v>
      </c>
    </row>
    <row r="781" spans="1:10" x14ac:dyDescent="0.3">
      <c r="A781" t="str">
        <f>""</f>
        <v/>
      </c>
      <c r="G781" t="str">
        <f>"12588"</f>
        <v>12588</v>
      </c>
      <c r="H781" t="str">
        <f>"ABST FEE-5/17/17"</f>
        <v>ABST FEE-5/17/17</v>
      </c>
      <c r="I781" s="2">
        <v>175</v>
      </c>
      <c r="J781" t="str">
        <f>"ABST FEE-5/17/17"</f>
        <v>ABST FEE-5/17/17</v>
      </c>
    </row>
    <row r="782" spans="1:10" x14ac:dyDescent="0.3">
      <c r="A782" t="str">
        <f>""</f>
        <v/>
      </c>
      <c r="G782" t="str">
        <f>"12603"</f>
        <v>12603</v>
      </c>
      <c r="H782" t="str">
        <f>"ABST FEE 6/5/17"</f>
        <v>ABST FEE 6/5/17</v>
      </c>
      <c r="I782" s="2">
        <v>175</v>
      </c>
      <c r="J782" t="str">
        <f>"ABST FEE 6/5/17"</f>
        <v>ABST FEE 6/5/17</v>
      </c>
    </row>
    <row r="783" spans="1:10" x14ac:dyDescent="0.3">
      <c r="A783" t="str">
        <f>""</f>
        <v/>
      </c>
      <c r="G783" t="str">
        <f>"12651"</f>
        <v>12651</v>
      </c>
      <c r="H783" t="str">
        <f>"ABST FEE-5/23/17"</f>
        <v>ABST FEE-5/23/17</v>
      </c>
      <c r="I783" s="2">
        <v>225</v>
      </c>
      <c r="J783" t="str">
        <f>"ABST FEE-5/23/17"</f>
        <v>ABST FEE-5/23/17</v>
      </c>
    </row>
    <row r="784" spans="1:10" x14ac:dyDescent="0.3">
      <c r="A784" t="str">
        <f>""</f>
        <v/>
      </c>
      <c r="G784" t="str">
        <f>"12652"</f>
        <v>12652</v>
      </c>
      <c r="H784" t="str">
        <f>"ABST FEE-5/23/17"</f>
        <v>ABST FEE-5/23/17</v>
      </c>
      <c r="I784" s="2">
        <v>225</v>
      </c>
      <c r="J784" t="str">
        <f>"ABST FEE-5/23/17"</f>
        <v>ABST FEE-5/23/17</v>
      </c>
    </row>
    <row r="785" spans="1:11" x14ac:dyDescent="0.3">
      <c r="A785" t="str">
        <f>""</f>
        <v/>
      </c>
      <c r="G785" t="str">
        <f>"12668"</f>
        <v>12668</v>
      </c>
      <c r="H785" t="str">
        <f>"ABST FEE-5/11/17"</f>
        <v>ABST FEE-5/11/17</v>
      </c>
      <c r="I785" s="2">
        <v>225</v>
      </c>
      <c r="J785" t="str">
        <f>"ABST FEE-5/11/17"</f>
        <v>ABST FEE-5/11/17</v>
      </c>
    </row>
    <row r="786" spans="1:11" x14ac:dyDescent="0.3">
      <c r="A786" t="str">
        <f>""</f>
        <v/>
      </c>
      <c r="G786" t="str">
        <f>"12687"</f>
        <v>12687</v>
      </c>
      <c r="H786" t="str">
        <f>"ABST FEE-6/1/17"</f>
        <v>ABST FEE-6/1/17</v>
      </c>
      <c r="I786" s="2">
        <v>225</v>
      </c>
      <c r="J786" t="str">
        <f>"ABST FEE-6/1/17"</f>
        <v>ABST FEE-6/1/17</v>
      </c>
    </row>
    <row r="787" spans="1:11" x14ac:dyDescent="0.3">
      <c r="A787" t="str">
        <f>""</f>
        <v/>
      </c>
      <c r="G787" t="str">
        <f>"201707113479"</f>
        <v>201707113479</v>
      </c>
      <c r="H787" t="str">
        <f>"COLLECT. OF DELIN TAXES-JUNE17"</f>
        <v>COLLECT. OF DELIN TAXES-JUNE17</v>
      </c>
      <c r="I787" s="2">
        <v>8943.52</v>
      </c>
      <c r="J787" t="str">
        <f>"COLLECT. OF DELIN TAXES-JUNE17"</f>
        <v>COLLECT. OF DELIN TAXES-JUNE17</v>
      </c>
    </row>
    <row r="788" spans="1:11" x14ac:dyDescent="0.3">
      <c r="A788" t="str">
        <f>"002271"</f>
        <v>002271</v>
      </c>
      <c r="B788" t="s">
        <v>254</v>
      </c>
      <c r="C788">
        <v>71757</v>
      </c>
      <c r="D788" s="2">
        <v>2139.65</v>
      </c>
      <c r="E788" s="1">
        <v>42940</v>
      </c>
      <c r="F788" t="s">
        <v>11</v>
      </c>
      <c r="G788" t="str">
        <f>"201707193780"</f>
        <v>201707193780</v>
      </c>
      <c r="H788" t="str">
        <f>"INDIGENT HEALTH"</f>
        <v>INDIGENT HEALTH</v>
      </c>
      <c r="I788" s="2">
        <v>2139.65</v>
      </c>
      <c r="J788" t="str">
        <f>"INDIGENT HEALTH"</f>
        <v>INDIGENT HEALTH</v>
      </c>
    </row>
    <row r="789" spans="1:11" x14ac:dyDescent="0.3">
      <c r="A789" t="str">
        <f>"003745"</f>
        <v>003745</v>
      </c>
      <c r="B789" t="s">
        <v>255</v>
      </c>
      <c r="C789">
        <v>71758</v>
      </c>
      <c r="D789" s="2">
        <v>25</v>
      </c>
      <c r="E789" s="1">
        <v>42940</v>
      </c>
      <c r="F789" t="s">
        <v>11</v>
      </c>
      <c r="G789" t="s">
        <v>124</v>
      </c>
      <c r="H789" t="s">
        <v>212</v>
      </c>
      <c r="I789" s="2" t="str">
        <f>"RESTITUTION-D. SPURK"</f>
        <v>RESTITUTION-D. SPURK</v>
      </c>
      <c r="J789" t="str">
        <f>"210-0000"</f>
        <v>210-0000</v>
      </c>
      <c r="K789">
        <v>25</v>
      </c>
    </row>
    <row r="790" spans="1:11" x14ac:dyDescent="0.3">
      <c r="A790" t="str">
        <f>"005147"</f>
        <v>005147</v>
      </c>
      <c r="B790" t="s">
        <v>256</v>
      </c>
      <c r="C790">
        <v>71543</v>
      </c>
      <c r="D790" s="2">
        <v>1990.06</v>
      </c>
      <c r="E790" s="1">
        <v>42928</v>
      </c>
      <c r="F790" t="s">
        <v>11</v>
      </c>
      <c r="G790" t="str">
        <f>"286601"</f>
        <v>286601</v>
      </c>
      <c r="H790" t="str">
        <f>"BARN REPAIRS / PRECINCT 4"</f>
        <v>BARN REPAIRS / PRECINCT 4</v>
      </c>
      <c r="I790" s="2">
        <v>1990.06</v>
      </c>
      <c r="J790" t="str">
        <f>"BARN REPAIRS / PRECINCT 4"</f>
        <v>BARN REPAIRS / PRECINCT 4</v>
      </c>
    </row>
    <row r="791" spans="1:11" x14ac:dyDescent="0.3">
      <c r="A791" t="str">
        <f>"MU&amp;E"</f>
        <v>MU&amp;E</v>
      </c>
      <c r="B791" t="s">
        <v>257</v>
      </c>
      <c r="C791">
        <v>71462</v>
      </c>
      <c r="D791" s="2">
        <v>229.5</v>
      </c>
      <c r="E791" s="1">
        <v>42926</v>
      </c>
      <c r="F791" t="s">
        <v>11</v>
      </c>
      <c r="G791" t="str">
        <f>"74597"</f>
        <v>74597</v>
      </c>
      <c r="H791" t="str">
        <f>"UNIFORM74597"</f>
        <v>UNIFORM74597</v>
      </c>
      <c r="I791" s="2">
        <v>229.5</v>
      </c>
      <c r="J791" t="str">
        <f>"UNIFORM74597"</f>
        <v>UNIFORM74597</v>
      </c>
    </row>
    <row r="792" spans="1:11" x14ac:dyDescent="0.3">
      <c r="A792" t="str">
        <f>"MU&amp;E"</f>
        <v>MU&amp;E</v>
      </c>
      <c r="B792" t="s">
        <v>257</v>
      </c>
      <c r="C792">
        <v>71759</v>
      </c>
      <c r="D792" s="2">
        <v>1224.95</v>
      </c>
      <c r="E792" s="1">
        <v>42940</v>
      </c>
      <c r="F792" t="s">
        <v>11</v>
      </c>
      <c r="G792" t="str">
        <f>"79044"</f>
        <v>79044</v>
      </c>
      <c r="H792" t="str">
        <f>"UNIFORMS INV79044"</f>
        <v>UNIFORMS INV79044</v>
      </c>
      <c r="I792" s="2">
        <v>221</v>
      </c>
      <c r="J792" t="str">
        <f>"UNIFORMS INV79044"</f>
        <v>UNIFORMS INV79044</v>
      </c>
    </row>
    <row r="793" spans="1:11" x14ac:dyDescent="0.3">
      <c r="A793" t="str">
        <f>""</f>
        <v/>
      </c>
      <c r="G793" t="str">
        <f>""</f>
        <v/>
      </c>
      <c r="H793" t="str">
        <f>""</f>
        <v/>
      </c>
      <c r="J793" t="str">
        <f>"UNIFORMS INV79044"</f>
        <v>UNIFORMS INV79044</v>
      </c>
    </row>
    <row r="794" spans="1:11" x14ac:dyDescent="0.3">
      <c r="A794" t="str">
        <f>""</f>
        <v/>
      </c>
      <c r="G794" t="str">
        <f>"79045"</f>
        <v>79045</v>
      </c>
      <c r="H794" t="str">
        <f>"UNIFORM PANZINO"</f>
        <v>UNIFORM PANZINO</v>
      </c>
      <c r="I794" s="2">
        <v>156</v>
      </c>
      <c r="J794" t="str">
        <f>"PANT"</f>
        <v>PANT</v>
      </c>
    </row>
    <row r="795" spans="1:11" x14ac:dyDescent="0.3">
      <c r="A795" t="str">
        <f>""</f>
        <v/>
      </c>
      <c r="G795" t="str">
        <f>""</f>
        <v/>
      </c>
      <c r="H795" t="str">
        <f>""</f>
        <v/>
      </c>
      <c r="J795" t="str">
        <f>"SHIRT"</f>
        <v>SHIRT</v>
      </c>
    </row>
    <row r="796" spans="1:11" x14ac:dyDescent="0.3">
      <c r="A796" t="str">
        <f>""</f>
        <v/>
      </c>
      <c r="G796" t="str">
        <f>"79297/79901"</f>
        <v>79297/79901</v>
      </c>
      <c r="H796" t="str">
        <f>"INV 79901 / 79297"</f>
        <v>INV 79901 / 79297</v>
      </c>
      <c r="I796" s="2">
        <v>656.45</v>
      </c>
      <c r="J796" t="str">
        <f>"NAME PLATE"</f>
        <v>NAME PLATE</v>
      </c>
    </row>
    <row r="797" spans="1:11" x14ac:dyDescent="0.3">
      <c r="A797" t="str">
        <f>""</f>
        <v/>
      </c>
      <c r="G797" t="str">
        <f>""</f>
        <v/>
      </c>
      <c r="H797" t="str">
        <f>""</f>
        <v/>
      </c>
      <c r="J797" t="str">
        <f>"SS SHIRTS"</f>
        <v>SS SHIRTS</v>
      </c>
    </row>
    <row r="798" spans="1:11" x14ac:dyDescent="0.3">
      <c r="A798" t="str">
        <f>""</f>
        <v/>
      </c>
      <c r="G798" t="str">
        <f>""</f>
        <v/>
      </c>
      <c r="H798" t="str">
        <f>""</f>
        <v/>
      </c>
      <c r="J798" t="str">
        <f>"LS SHIRTS"</f>
        <v>LS SHIRTS</v>
      </c>
    </row>
    <row r="799" spans="1:11" x14ac:dyDescent="0.3">
      <c r="A799" t="str">
        <f>""</f>
        <v/>
      </c>
      <c r="G799" t="str">
        <f>""</f>
        <v/>
      </c>
      <c r="H799" t="str">
        <f>""</f>
        <v/>
      </c>
      <c r="J799" t="str">
        <f>"PANTS"</f>
        <v>PANTS</v>
      </c>
    </row>
    <row r="800" spans="1:11" x14ac:dyDescent="0.3">
      <c r="A800" t="str">
        <f>""</f>
        <v/>
      </c>
      <c r="G800" t="str">
        <f>""</f>
        <v/>
      </c>
      <c r="H800" t="str">
        <f>""</f>
        <v/>
      </c>
      <c r="J800" t="str">
        <f>"TIE"</f>
        <v>TIE</v>
      </c>
    </row>
    <row r="801" spans="1:10" x14ac:dyDescent="0.3">
      <c r="A801" t="str">
        <f>""</f>
        <v/>
      </c>
      <c r="G801" t="str">
        <f>""</f>
        <v/>
      </c>
      <c r="H801" t="str">
        <f>""</f>
        <v/>
      </c>
      <c r="J801" t="str">
        <f>"STRIPE"</f>
        <v>STRIPE</v>
      </c>
    </row>
    <row r="802" spans="1:10" x14ac:dyDescent="0.3">
      <c r="A802" t="str">
        <f>""</f>
        <v/>
      </c>
      <c r="G802" t="str">
        <f>"79307"</f>
        <v>79307</v>
      </c>
      <c r="H802" t="str">
        <f>"INV 79307"</f>
        <v>INV 79307</v>
      </c>
      <c r="I802" s="2">
        <v>191.5</v>
      </c>
      <c r="J802" t="str">
        <f>"INV 79307"</f>
        <v>INV 79307</v>
      </c>
    </row>
    <row r="803" spans="1:10" x14ac:dyDescent="0.3">
      <c r="A803" t="str">
        <f t="shared" ref="A803:A834" si="2">"1"</f>
        <v>1</v>
      </c>
      <c r="B803" t="s">
        <v>258</v>
      </c>
      <c r="C803">
        <v>71551</v>
      </c>
      <c r="D803" s="2">
        <v>20</v>
      </c>
      <c r="E803" s="1">
        <v>42936</v>
      </c>
      <c r="F803" t="s">
        <v>11</v>
      </c>
      <c r="G803" t="str">
        <f>"201707203799"</f>
        <v>201707203799</v>
      </c>
      <c r="H803" t="str">
        <f>"Misc"</f>
        <v>Misc</v>
      </c>
      <c r="I803" s="2">
        <v>20</v>
      </c>
      <c r="J803" t="str">
        <f>"ALLEN MORRIS RANE KIEKE"</f>
        <v>ALLEN MORRIS RANE KIEKE</v>
      </c>
    </row>
    <row r="804" spans="1:10" x14ac:dyDescent="0.3">
      <c r="A804" t="str">
        <f t="shared" si="2"/>
        <v>1</v>
      </c>
      <c r="B804" t="s">
        <v>259</v>
      </c>
      <c r="C804">
        <v>71552</v>
      </c>
      <c r="D804" s="2">
        <v>20</v>
      </c>
      <c r="E804" s="1">
        <v>42936</v>
      </c>
      <c r="F804" t="s">
        <v>11</v>
      </c>
      <c r="G804" t="str">
        <f>"201707203800"</f>
        <v>201707203800</v>
      </c>
      <c r="H804" t="str">
        <f>"Miscellan"</f>
        <v>Miscellan</v>
      </c>
      <c r="I804" s="2">
        <v>20</v>
      </c>
      <c r="J804" t="str">
        <f>"JOSHUA ALLEN ADDIS"</f>
        <v>JOSHUA ALLEN ADDIS</v>
      </c>
    </row>
    <row r="805" spans="1:10" x14ac:dyDescent="0.3">
      <c r="A805" t="str">
        <f t="shared" si="2"/>
        <v>1</v>
      </c>
      <c r="B805" t="s">
        <v>260</v>
      </c>
      <c r="C805">
        <v>71553</v>
      </c>
      <c r="D805" s="2">
        <v>20</v>
      </c>
      <c r="E805" s="1">
        <v>42936</v>
      </c>
      <c r="F805" t="s">
        <v>11</v>
      </c>
      <c r="G805" t="str">
        <f>"201707203801"</f>
        <v>201707203801</v>
      </c>
      <c r="H805" t="str">
        <f>"Miscellaneo"</f>
        <v>Miscellaneo</v>
      </c>
      <c r="I805" s="2">
        <v>20</v>
      </c>
      <c r="J805" t="str">
        <f>"JIMMY EARL GWINN"</f>
        <v>JIMMY EARL GWINN</v>
      </c>
    </row>
    <row r="806" spans="1:10" x14ac:dyDescent="0.3">
      <c r="A806" t="str">
        <f t="shared" si="2"/>
        <v>1</v>
      </c>
      <c r="B806" t="s">
        <v>261</v>
      </c>
      <c r="C806">
        <v>71554</v>
      </c>
      <c r="D806" s="2">
        <v>20</v>
      </c>
      <c r="E806" s="1">
        <v>42936</v>
      </c>
      <c r="F806" t="s">
        <v>11</v>
      </c>
      <c r="G806" t="str">
        <f>"201707203802"</f>
        <v>201707203802</v>
      </c>
      <c r="H806" t="str">
        <f>"Misc"</f>
        <v>Misc</v>
      </c>
      <c r="I806" s="2">
        <v>20</v>
      </c>
      <c r="J806" t="str">
        <f>"CONNIE WILHELM HOLMSLEY"</f>
        <v>CONNIE WILHELM HOLMSLEY</v>
      </c>
    </row>
    <row r="807" spans="1:10" x14ac:dyDescent="0.3">
      <c r="A807" t="str">
        <f t="shared" si="2"/>
        <v>1</v>
      </c>
      <c r="B807" t="s">
        <v>262</v>
      </c>
      <c r="C807">
        <v>71555</v>
      </c>
      <c r="D807" s="2">
        <v>20</v>
      </c>
      <c r="E807" s="1">
        <v>42936</v>
      </c>
      <c r="F807" t="s">
        <v>11</v>
      </c>
      <c r="G807" t="str">
        <f>"201707203803"</f>
        <v>201707203803</v>
      </c>
      <c r="H807" t="str">
        <f>"Misce"</f>
        <v>Misce</v>
      </c>
      <c r="I807" s="2">
        <v>20</v>
      </c>
      <c r="J807" t="str">
        <f>"RICHARD BRENT CARLISLE"</f>
        <v>RICHARD BRENT CARLISLE</v>
      </c>
    </row>
    <row r="808" spans="1:10" x14ac:dyDescent="0.3">
      <c r="A808" t="str">
        <f t="shared" si="2"/>
        <v>1</v>
      </c>
      <c r="B808" t="s">
        <v>263</v>
      </c>
      <c r="C808">
        <v>71556</v>
      </c>
      <c r="D808" s="2">
        <v>20</v>
      </c>
      <c r="E808" s="1">
        <v>42936</v>
      </c>
      <c r="F808" t="s">
        <v>11</v>
      </c>
      <c r="G808" t="str">
        <f>"201707203804"</f>
        <v>201707203804</v>
      </c>
      <c r="H808" t="str">
        <f>"Miscella"</f>
        <v>Miscella</v>
      </c>
      <c r="I808" s="2">
        <v>20</v>
      </c>
      <c r="J808" t="str">
        <f>"MARIA ISABEL TORRES"</f>
        <v>MARIA ISABEL TORRES</v>
      </c>
    </row>
    <row r="809" spans="1:10" x14ac:dyDescent="0.3">
      <c r="A809" t="str">
        <f t="shared" si="2"/>
        <v>1</v>
      </c>
      <c r="B809" t="s">
        <v>264</v>
      </c>
      <c r="C809">
        <v>71557</v>
      </c>
      <c r="D809" s="2">
        <v>20</v>
      </c>
      <c r="E809" s="1">
        <v>42936</v>
      </c>
      <c r="F809" t="s">
        <v>11</v>
      </c>
      <c r="G809" t="str">
        <f>"201707203805"</f>
        <v>201707203805</v>
      </c>
      <c r="H809" t="str">
        <f>"Miscell"</f>
        <v>Miscell</v>
      </c>
      <c r="I809" s="2">
        <v>20</v>
      </c>
      <c r="J809" t="str">
        <f>"JACK RANDEL SANDEFUR"</f>
        <v>JACK RANDEL SANDEFUR</v>
      </c>
    </row>
    <row r="810" spans="1:10" x14ac:dyDescent="0.3">
      <c r="A810" t="str">
        <f t="shared" si="2"/>
        <v>1</v>
      </c>
      <c r="B810" t="s">
        <v>265</v>
      </c>
      <c r="C810">
        <v>71558</v>
      </c>
      <c r="D810" s="2">
        <v>20</v>
      </c>
      <c r="E810" s="1">
        <v>42936</v>
      </c>
      <c r="F810" t="s">
        <v>11</v>
      </c>
      <c r="G810" t="str">
        <f>"201707203806"</f>
        <v>201707203806</v>
      </c>
      <c r="H810" t="str">
        <f>"Miscella"</f>
        <v>Miscella</v>
      </c>
      <c r="I810" s="2">
        <v>20</v>
      </c>
      <c r="J810" t="str">
        <f>"GAIL TAYLOR HENNEKE"</f>
        <v>GAIL TAYLOR HENNEKE</v>
      </c>
    </row>
    <row r="811" spans="1:10" x14ac:dyDescent="0.3">
      <c r="A811" t="str">
        <f t="shared" si="2"/>
        <v>1</v>
      </c>
      <c r="B811" t="s">
        <v>266</v>
      </c>
      <c r="C811">
        <v>71559</v>
      </c>
      <c r="D811" s="2">
        <v>20</v>
      </c>
      <c r="E811" s="1">
        <v>42936</v>
      </c>
      <c r="F811" t="s">
        <v>11</v>
      </c>
      <c r="G811" t="str">
        <f>"201707203807"</f>
        <v>201707203807</v>
      </c>
      <c r="H811" t="str">
        <f>"Miscel"</f>
        <v>Miscel</v>
      </c>
      <c r="I811" s="2">
        <v>20</v>
      </c>
      <c r="J811" t="str">
        <f>"EILEEN ALISON MCDILDA"</f>
        <v>EILEEN ALISON MCDILDA</v>
      </c>
    </row>
    <row r="812" spans="1:10" x14ac:dyDescent="0.3">
      <c r="A812" t="str">
        <f t="shared" si="2"/>
        <v>1</v>
      </c>
      <c r="B812" t="s">
        <v>267</v>
      </c>
      <c r="C812">
        <v>71560</v>
      </c>
      <c r="D812" s="2">
        <v>20</v>
      </c>
      <c r="E812" s="1">
        <v>42936</v>
      </c>
      <c r="F812" t="s">
        <v>11</v>
      </c>
      <c r="G812" t="str">
        <f>"201707203808"</f>
        <v>201707203808</v>
      </c>
      <c r="H812" t="str">
        <f>"Mis"</f>
        <v>Mis</v>
      </c>
      <c r="I812" s="2">
        <v>20</v>
      </c>
      <c r="J812" t="str">
        <f>"EDWARD ARNOLD KULIGOWSKI"</f>
        <v>EDWARD ARNOLD KULIGOWSKI</v>
      </c>
    </row>
    <row r="813" spans="1:10" x14ac:dyDescent="0.3">
      <c r="A813" t="str">
        <f t="shared" si="2"/>
        <v>1</v>
      </c>
      <c r="B813" t="s">
        <v>268</v>
      </c>
      <c r="C813">
        <v>71561</v>
      </c>
      <c r="D813" s="2">
        <v>20</v>
      </c>
      <c r="E813" s="1">
        <v>42936</v>
      </c>
      <c r="F813" t="s">
        <v>11</v>
      </c>
      <c r="G813" t="str">
        <f>"201707203809"</f>
        <v>201707203809</v>
      </c>
      <c r="H813" t="str">
        <f>"Miscellan"</f>
        <v>Miscellan</v>
      </c>
      <c r="I813" s="2">
        <v>20</v>
      </c>
      <c r="J813" t="str">
        <f>"KARYN LYNNE MORGAN"</f>
        <v>KARYN LYNNE MORGAN</v>
      </c>
    </row>
    <row r="814" spans="1:10" x14ac:dyDescent="0.3">
      <c r="A814" t="str">
        <f t="shared" si="2"/>
        <v>1</v>
      </c>
      <c r="B814" t="s">
        <v>269</v>
      </c>
      <c r="C814">
        <v>71562</v>
      </c>
      <c r="D814" s="2">
        <v>20</v>
      </c>
      <c r="E814" s="1">
        <v>42936</v>
      </c>
      <c r="F814" t="s">
        <v>11</v>
      </c>
      <c r="G814" t="str">
        <f>"201707203810"</f>
        <v>201707203810</v>
      </c>
      <c r="H814" t="str">
        <f>"Miscell"</f>
        <v>Miscell</v>
      </c>
      <c r="I814" s="2">
        <v>20</v>
      </c>
      <c r="J814" t="str">
        <f>"JERRE GAYLE STROTHER"</f>
        <v>JERRE GAYLE STROTHER</v>
      </c>
    </row>
    <row r="815" spans="1:10" x14ac:dyDescent="0.3">
      <c r="A815" t="str">
        <f t="shared" si="2"/>
        <v>1</v>
      </c>
      <c r="B815" t="s">
        <v>270</v>
      </c>
      <c r="C815">
        <v>71563</v>
      </c>
      <c r="D815" s="2">
        <v>20</v>
      </c>
      <c r="E815" s="1">
        <v>42936</v>
      </c>
      <c r="F815" t="s">
        <v>11</v>
      </c>
      <c r="G815" t="str">
        <f>"201707203811"</f>
        <v>201707203811</v>
      </c>
      <c r="H815" t="str">
        <f>"Misce"</f>
        <v>Misce</v>
      </c>
      <c r="I815" s="2">
        <v>20</v>
      </c>
      <c r="J815" t="str">
        <f>"KATHLEEN MARJORIE SHEA"</f>
        <v>KATHLEEN MARJORIE SHEA</v>
      </c>
    </row>
    <row r="816" spans="1:10" x14ac:dyDescent="0.3">
      <c r="A816" t="str">
        <f t="shared" si="2"/>
        <v>1</v>
      </c>
      <c r="B816" t="s">
        <v>271</v>
      </c>
      <c r="C816">
        <v>71564</v>
      </c>
      <c r="D816" s="2">
        <v>20</v>
      </c>
      <c r="E816" s="1">
        <v>42936</v>
      </c>
      <c r="F816" t="s">
        <v>11</v>
      </c>
      <c r="G816" t="str">
        <f>"201707203812"</f>
        <v>201707203812</v>
      </c>
      <c r="H816" t="str">
        <f>"Miscellane"</f>
        <v>Miscellane</v>
      </c>
      <c r="I816" s="2">
        <v>20</v>
      </c>
      <c r="J816" t="str">
        <f>"ROBBIE SCOTT COOK"</f>
        <v>ROBBIE SCOTT COOK</v>
      </c>
    </row>
    <row r="817" spans="1:10" x14ac:dyDescent="0.3">
      <c r="A817" t="str">
        <f t="shared" si="2"/>
        <v>1</v>
      </c>
      <c r="B817" t="s">
        <v>272</v>
      </c>
      <c r="C817">
        <v>71565</v>
      </c>
      <c r="D817" s="2">
        <v>20</v>
      </c>
      <c r="E817" s="1">
        <v>42936</v>
      </c>
      <c r="F817" t="s">
        <v>11</v>
      </c>
      <c r="G817" t="str">
        <f>"201707203813"</f>
        <v>201707203813</v>
      </c>
      <c r="H817" t="str">
        <f>"Miscell"</f>
        <v>Miscell</v>
      </c>
      <c r="I817" s="2">
        <v>20</v>
      </c>
      <c r="J817" t="str">
        <f>"ALBANS HUGH BENCHOFF"</f>
        <v>ALBANS HUGH BENCHOFF</v>
      </c>
    </row>
    <row r="818" spans="1:10" x14ac:dyDescent="0.3">
      <c r="A818" t="str">
        <f t="shared" si="2"/>
        <v>1</v>
      </c>
      <c r="B818" t="s">
        <v>273</v>
      </c>
      <c r="C818">
        <v>71566</v>
      </c>
      <c r="D818" s="2">
        <v>20</v>
      </c>
      <c r="E818" s="1">
        <v>42936</v>
      </c>
      <c r="F818" t="s">
        <v>11</v>
      </c>
      <c r="G818" t="str">
        <f>"201707203814"</f>
        <v>201707203814</v>
      </c>
      <c r="H818" t="str">
        <f>"Miscell"</f>
        <v>Miscell</v>
      </c>
      <c r="I818" s="2">
        <v>20</v>
      </c>
      <c r="J818" t="str">
        <f>"SARAH KATHRYN WADLOW"</f>
        <v>SARAH KATHRYN WADLOW</v>
      </c>
    </row>
    <row r="819" spans="1:10" x14ac:dyDescent="0.3">
      <c r="A819" t="str">
        <f t="shared" si="2"/>
        <v>1</v>
      </c>
      <c r="B819" t="s">
        <v>274</v>
      </c>
      <c r="C819">
        <v>71567</v>
      </c>
      <c r="D819" s="2">
        <v>20</v>
      </c>
      <c r="E819" s="1">
        <v>42936</v>
      </c>
      <c r="F819" t="s">
        <v>11</v>
      </c>
      <c r="G819" t="str">
        <f>"201707203815"</f>
        <v>201707203815</v>
      </c>
      <c r="H819" t="str">
        <f>"Miscell"</f>
        <v>Miscell</v>
      </c>
      <c r="I819" s="2">
        <v>20</v>
      </c>
      <c r="J819" t="str">
        <f>"FRANCES ELISA KISNER"</f>
        <v>FRANCES ELISA KISNER</v>
      </c>
    </row>
    <row r="820" spans="1:10" x14ac:dyDescent="0.3">
      <c r="A820" t="str">
        <f t="shared" si="2"/>
        <v>1</v>
      </c>
      <c r="B820" t="s">
        <v>275</v>
      </c>
      <c r="C820">
        <v>71568</v>
      </c>
      <c r="D820" s="2">
        <v>20</v>
      </c>
      <c r="E820" s="1">
        <v>42936</v>
      </c>
      <c r="F820" t="s">
        <v>11</v>
      </c>
      <c r="G820" t="str">
        <f>"201707203816"</f>
        <v>201707203816</v>
      </c>
      <c r="H820" t="str">
        <f>"Miscellan"</f>
        <v>Miscellan</v>
      </c>
      <c r="I820" s="2">
        <v>20</v>
      </c>
      <c r="J820" t="str">
        <f>"SANDRA KAY ZACHARY"</f>
        <v>SANDRA KAY ZACHARY</v>
      </c>
    </row>
    <row r="821" spans="1:10" x14ac:dyDescent="0.3">
      <c r="A821" t="str">
        <f t="shared" si="2"/>
        <v>1</v>
      </c>
      <c r="B821" t="s">
        <v>276</v>
      </c>
      <c r="C821">
        <v>71569</v>
      </c>
      <c r="D821" s="2">
        <v>20</v>
      </c>
      <c r="E821" s="1">
        <v>42936</v>
      </c>
      <c r="F821" t="s">
        <v>11</v>
      </c>
      <c r="G821" t="str">
        <f>"201707203817"</f>
        <v>201707203817</v>
      </c>
      <c r="H821" t="str">
        <f>"Miscellaneous"</f>
        <v>Miscellaneous</v>
      </c>
      <c r="I821" s="2">
        <v>20</v>
      </c>
      <c r="J821" t="str">
        <f>"LACEY GRAVES"</f>
        <v>LACEY GRAVES</v>
      </c>
    </row>
    <row r="822" spans="1:10" x14ac:dyDescent="0.3">
      <c r="A822" t="str">
        <f t="shared" si="2"/>
        <v>1</v>
      </c>
      <c r="B822" t="s">
        <v>277</v>
      </c>
      <c r="C822">
        <v>71570</v>
      </c>
      <c r="D822" s="2">
        <v>20</v>
      </c>
      <c r="E822" s="1">
        <v>42936</v>
      </c>
      <c r="F822" t="s">
        <v>11</v>
      </c>
      <c r="G822" t="str">
        <f>"201707203818"</f>
        <v>201707203818</v>
      </c>
      <c r="H822" t="str">
        <f>"Misce"</f>
        <v>Misce</v>
      </c>
      <c r="I822" s="2">
        <v>20</v>
      </c>
      <c r="J822" t="str">
        <f>"ROBERT EDWARD FRANKLIN"</f>
        <v>ROBERT EDWARD FRANKLIN</v>
      </c>
    </row>
    <row r="823" spans="1:10" x14ac:dyDescent="0.3">
      <c r="A823" t="str">
        <f t="shared" si="2"/>
        <v>1</v>
      </c>
      <c r="B823" t="s">
        <v>278</v>
      </c>
      <c r="C823">
        <v>71571</v>
      </c>
      <c r="D823" s="2">
        <v>20</v>
      </c>
      <c r="E823" s="1">
        <v>42936</v>
      </c>
      <c r="F823" t="s">
        <v>11</v>
      </c>
      <c r="G823" t="str">
        <f>"201707203819"</f>
        <v>201707203819</v>
      </c>
      <c r="H823" t="str">
        <f>"Miscel"</f>
        <v>Miscel</v>
      </c>
      <c r="I823" s="2">
        <v>20</v>
      </c>
      <c r="J823" t="str">
        <f>"ROSARIO RAMIREZ RAMOS"</f>
        <v>ROSARIO RAMIREZ RAMOS</v>
      </c>
    </row>
    <row r="824" spans="1:10" x14ac:dyDescent="0.3">
      <c r="A824" t="str">
        <f t="shared" si="2"/>
        <v>1</v>
      </c>
      <c r="B824" t="s">
        <v>279</v>
      </c>
      <c r="C824">
        <v>71572</v>
      </c>
      <c r="D824" s="2">
        <v>20</v>
      </c>
      <c r="E824" s="1">
        <v>42936</v>
      </c>
      <c r="F824" t="s">
        <v>11</v>
      </c>
      <c r="G824" t="str">
        <f>"201707203820"</f>
        <v>201707203820</v>
      </c>
      <c r="H824" t="str">
        <f>"Misce"</f>
        <v>Misce</v>
      </c>
      <c r="I824" s="2">
        <v>20</v>
      </c>
      <c r="J824" t="str">
        <f>"AURELIA LAWHON SAMPSON"</f>
        <v>AURELIA LAWHON SAMPSON</v>
      </c>
    </row>
    <row r="825" spans="1:10" x14ac:dyDescent="0.3">
      <c r="A825" t="str">
        <f t="shared" si="2"/>
        <v>1</v>
      </c>
      <c r="B825" t="s">
        <v>280</v>
      </c>
      <c r="C825">
        <v>71573</v>
      </c>
      <c r="D825" s="2">
        <v>20</v>
      </c>
      <c r="E825" s="1">
        <v>42936</v>
      </c>
      <c r="F825" t="s">
        <v>11</v>
      </c>
      <c r="G825" t="str">
        <f>"201707203821"</f>
        <v>201707203821</v>
      </c>
      <c r="H825" t="str">
        <f>"Miscellan"</f>
        <v>Miscellan</v>
      </c>
      <c r="I825" s="2">
        <v>20</v>
      </c>
      <c r="J825" t="str">
        <f>"JASON PHILIP MYERS"</f>
        <v>JASON PHILIP MYERS</v>
      </c>
    </row>
    <row r="826" spans="1:10" x14ac:dyDescent="0.3">
      <c r="A826" t="str">
        <f t="shared" si="2"/>
        <v>1</v>
      </c>
      <c r="B826" t="s">
        <v>281</v>
      </c>
      <c r="C826">
        <v>71574</v>
      </c>
      <c r="D826" s="2">
        <v>20</v>
      </c>
      <c r="E826" s="1">
        <v>42936</v>
      </c>
      <c r="F826" t="s">
        <v>11</v>
      </c>
      <c r="G826" t="str">
        <f>"201707203822"</f>
        <v>201707203822</v>
      </c>
      <c r="H826" t="str">
        <f>"Miscel"</f>
        <v>Miscel</v>
      </c>
      <c r="I826" s="2">
        <v>20</v>
      </c>
      <c r="J826" t="str">
        <f>"JENNIFER MARIE KRAUSE"</f>
        <v>JENNIFER MARIE KRAUSE</v>
      </c>
    </row>
    <row r="827" spans="1:10" x14ac:dyDescent="0.3">
      <c r="A827" t="str">
        <f t="shared" si="2"/>
        <v>1</v>
      </c>
      <c r="B827" t="s">
        <v>282</v>
      </c>
      <c r="C827">
        <v>71575</v>
      </c>
      <c r="D827" s="2">
        <v>20</v>
      </c>
      <c r="E827" s="1">
        <v>42936</v>
      </c>
      <c r="F827" t="s">
        <v>11</v>
      </c>
      <c r="G827" t="str">
        <f>"201707203823"</f>
        <v>201707203823</v>
      </c>
      <c r="H827" t="str">
        <f>"Miscellane"</f>
        <v>Miscellane</v>
      </c>
      <c r="I827" s="2">
        <v>20</v>
      </c>
      <c r="J827" t="str">
        <f>"JOHN ROSS TRISLER"</f>
        <v>JOHN ROSS TRISLER</v>
      </c>
    </row>
    <row r="828" spans="1:10" x14ac:dyDescent="0.3">
      <c r="A828" t="str">
        <f t="shared" si="2"/>
        <v>1</v>
      </c>
      <c r="B828" t="s">
        <v>283</v>
      </c>
      <c r="C828">
        <v>71576</v>
      </c>
      <c r="D828" s="2">
        <v>20</v>
      </c>
      <c r="E828" s="1">
        <v>42936</v>
      </c>
      <c r="F828" t="s">
        <v>11</v>
      </c>
      <c r="G828" t="str">
        <f>"201707203824"</f>
        <v>201707203824</v>
      </c>
      <c r="H828" t="str">
        <f>"Miscel"</f>
        <v>Miscel</v>
      </c>
      <c r="I828" s="2">
        <v>20</v>
      </c>
      <c r="J828" t="str">
        <f>"GOVINDA STEVENS HOUGH"</f>
        <v>GOVINDA STEVENS HOUGH</v>
      </c>
    </row>
    <row r="829" spans="1:10" x14ac:dyDescent="0.3">
      <c r="A829" t="str">
        <f t="shared" si="2"/>
        <v>1</v>
      </c>
      <c r="B829" t="s">
        <v>284</v>
      </c>
      <c r="C829">
        <v>71577</v>
      </c>
      <c r="D829" s="2">
        <v>20</v>
      </c>
      <c r="E829" s="1">
        <v>42936</v>
      </c>
      <c r="F829" t="s">
        <v>11</v>
      </c>
      <c r="G829" t="str">
        <f>"201707203825"</f>
        <v>201707203825</v>
      </c>
      <c r="H829" t="str">
        <f>"Miscell"</f>
        <v>Miscell</v>
      </c>
      <c r="I829" s="2">
        <v>20</v>
      </c>
      <c r="J829" t="str">
        <f>"PATRICK ERNEST CHEEK"</f>
        <v>PATRICK ERNEST CHEEK</v>
      </c>
    </row>
    <row r="830" spans="1:10" x14ac:dyDescent="0.3">
      <c r="A830" t="str">
        <f t="shared" si="2"/>
        <v>1</v>
      </c>
      <c r="B830" t="s">
        <v>285</v>
      </c>
      <c r="C830">
        <v>71578</v>
      </c>
      <c r="D830" s="2">
        <v>20</v>
      </c>
      <c r="E830" s="1">
        <v>42936</v>
      </c>
      <c r="F830" t="s">
        <v>11</v>
      </c>
      <c r="G830" t="str">
        <f>"201707203826"</f>
        <v>201707203826</v>
      </c>
      <c r="H830" t="str">
        <f>"Miscellane"</f>
        <v>Miscellane</v>
      </c>
      <c r="I830" s="2">
        <v>20</v>
      </c>
      <c r="J830" t="str">
        <f>"JOSHUA DEAN NIXON"</f>
        <v>JOSHUA DEAN NIXON</v>
      </c>
    </row>
    <row r="831" spans="1:10" x14ac:dyDescent="0.3">
      <c r="A831" t="str">
        <f t="shared" si="2"/>
        <v>1</v>
      </c>
      <c r="B831" t="s">
        <v>286</v>
      </c>
      <c r="C831">
        <v>71579</v>
      </c>
      <c r="D831" s="2">
        <v>20</v>
      </c>
      <c r="E831" s="1">
        <v>42936</v>
      </c>
      <c r="F831" t="s">
        <v>11</v>
      </c>
      <c r="G831" t="str">
        <f>"201707203827"</f>
        <v>201707203827</v>
      </c>
      <c r="H831" t="str">
        <f>"Miscella"</f>
        <v>Miscella</v>
      </c>
      <c r="I831" s="2">
        <v>20</v>
      </c>
      <c r="J831" t="str">
        <f>"CHARLES WALTER FERS"</f>
        <v>CHARLES WALTER FERS</v>
      </c>
    </row>
    <row r="832" spans="1:10" x14ac:dyDescent="0.3">
      <c r="A832" t="str">
        <f t="shared" si="2"/>
        <v>1</v>
      </c>
      <c r="B832" t="s">
        <v>287</v>
      </c>
      <c r="C832">
        <v>71580</v>
      </c>
      <c r="D832" s="2">
        <v>20</v>
      </c>
      <c r="E832" s="1">
        <v>42936</v>
      </c>
      <c r="F832" t="s">
        <v>11</v>
      </c>
      <c r="G832" t="str">
        <f>"201707203828"</f>
        <v>201707203828</v>
      </c>
      <c r="H832" t="str">
        <f>"Mi"</f>
        <v>Mi</v>
      </c>
      <c r="I832" s="2">
        <v>20</v>
      </c>
      <c r="J832" t="str">
        <f>"NORA EASTERWOOD SCHLUETER"</f>
        <v>NORA EASTERWOOD SCHLUETER</v>
      </c>
    </row>
    <row r="833" spans="1:10" x14ac:dyDescent="0.3">
      <c r="A833" t="str">
        <f t="shared" si="2"/>
        <v>1</v>
      </c>
      <c r="B833" t="s">
        <v>288</v>
      </c>
      <c r="C833">
        <v>71581</v>
      </c>
      <c r="D833" s="2">
        <v>20</v>
      </c>
      <c r="E833" s="1">
        <v>42936</v>
      </c>
      <c r="F833" t="s">
        <v>11</v>
      </c>
      <c r="G833" t="str">
        <f>"201707203829"</f>
        <v>201707203829</v>
      </c>
      <c r="H833" t="str">
        <f>"Miscell"</f>
        <v>Miscell</v>
      </c>
      <c r="I833" s="2">
        <v>20</v>
      </c>
      <c r="J833" t="str">
        <f>"RANDY DALE GELTMEIER"</f>
        <v>RANDY DALE GELTMEIER</v>
      </c>
    </row>
    <row r="834" spans="1:10" x14ac:dyDescent="0.3">
      <c r="A834" t="str">
        <f t="shared" si="2"/>
        <v>1</v>
      </c>
      <c r="B834" t="s">
        <v>289</v>
      </c>
      <c r="C834">
        <v>71582</v>
      </c>
      <c r="D834" s="2">
        <v>20</v>
      </c>
      <c r="E834" s="1">
        <v>42936</v>
      </c>
      <c r="F834" t="s">
        <v>11</v>
      </c>
      <c r="G834" t="str">
        <f>"201707203830"</f>
        <v>201707203830</v>
      </c>
      <c r="H834" t="str">
        <f>"Miscel"</f>
        <v>Miscel</v>
      </c>
      <c r="I834" s="2">
        <v>20</v>
      </c>
      <c r="J834" t="str">
        <f>"AMANDA LEANN CARLISLE"</f>
        <v>AMANDA LEANN CARLISLE</v>
      </c>
    </row>
    <row r="835" spans="1:10" x14ac:dyDescent="0.3">
      <c r="A835" t="str">
        <f t="shared" ref="A835:A851" si="3">"1"</f>
        <v>1</v>
      </c>
      <c r="B835" t="s">
        <v>290</v>
      </c>
      <c r="C835">
        <v>71583</v>
      </c>
      <c r="D835" s="2">
        <v>20</v>
      </c>
      <c r="E835" s="1">
        <v>42936</v>
      </c>
      <c r="F835" t="s">
        <v>11</v>
      </c>
      <c r="G835" t="str">
        <f>"201707203831"</f>
        <v>201707203831</v>
      </c>
      <c r="H835" t="str">
        <f>"Miscel"</f>
        <v>Miscel</v>
      </c>
      <c r="I835" s="2">
        <v>20</v>
      </c>
      <c r="J835" t="str">
        <f>"JEFFREY DONALD HARRIS"</f>
        <v>JEFFREY DONALD HARRIS</v>
      </c>
    </row>
    <row r="836" spans="1:10" x14ac:dyDescent="0.3">
      <c r="A836" t="str">
        <f t="shared" si="3"/>
        <v>1</v>
      </c>
      <c r="B836" t="s">
        <v>291</v>
      </c>
      <c r="C836">
        <v>71584</v>
      </c>
      <c r="D836" s="2">
        <v>20</v>
      </c>
      <c r="E836" s="1">
        <v>42936</v>
      </c>
      <c r="F836" t="s">
        <v>11</v>
      </c>
      <c r="G836" t="str">
        <f>"201707203832"</f>
        <v>201707203832</v>
      </c>
      <c r="H836" t="str">
        <f>"Miscellane"</f>
        <v>Miscellane</v>
      </c>
      <c r="I836" s="2">
        <v>20</v>
      </c>
      <c r="J836" t="str">
        <f>"DEBORAH W HENEISE"</f>
        <v>DEBORAH W HENEISE</v>
      </c>
    </row>
    <row r="837" spans="1:10" x14ac:dyDescent="0.3">
      <c r="A837" t="str">
        <f t="shared" si="3"/>
        <v>1</v>
      </c>
      <c r="B837" t="s">
        <v>292</v>
      </c>
      <c r="C837">
        <v>71585</v>
      </c>
      <c r="D837" s="2">
        <v>20</v>
      </c>
      <c r="E837" s="1">
        <v>42936</v>
      </c>
      <c r="F837" t="s">
        <v>11</v>
      </c>
      <c r="G837" t="str">
        <f>"201707203833"</f>
        <v>201707203833</v>
      </c>
      <c r="H837" t="str">
        <f>"Miscellan"</f>
        <v>Miscellan</v>
      </c>
      <c r="I837" s="2">
        <v>20</v>
      </c>
      <c r="J837" t="str">
        <f>"JOHN THOMAS ZINKER"</f>
        <v>JOHN THOMAS ZINKER</v>
      </c>
    </row>
    <row r="838" spans="1:10" x14ac:dyDescent="0.3">
      <c r="A838" t="str">
        <f t="shared" si="3"/>
        <v>1</v>
      </c>
      <c r="B838" t="s">
        <v>293</v>
      </c>
      <c r="C838">
        <v>71586</v>
      </c>
      <c r="D838" s="2">
        <v>20</v>
      </c>
      <c r="E838" s="1">
        <v>42936</v>
      </c>
      <c r="F838" t="s">
        <v>11</v>
      </c>
      <c r="G838" t="str">
        <f>"201707203834"</f>
        <v>201707203834</v>
      </c>
      <c r="H838" t="str">
        <f>"Miscellaneo"</f>
        <v>Miscellaneo</v>
      </c>
      <c r="I838" s="2">
        <v>20</v>
      </c>
      <c r="J838" t="str">
        <f>"HAROLD DEE FLOYD"</f>
        <v>HAROLD DEE FLOYD</v>
      </c>
    </row>
    <row r="839" spans="1:10" x14ac:dyDescent="0.3">
      <c r="A839" t="str">
        <f t="shared" si="3"/>
        <v>1</v>
      </c>
      <c r="B839" t="s">
        <v>294</v>
      </c>
      <c r="C839">
        <v>71587</v>
      </c>
      <c r="D839" s="2">
        <v>20</v>
      </c>
      <c r="E839" s="1">
        <v>42936</v>
      </c>
      <c r="F839" t="s">
        <v>11</v>
      </c>
      <c r="G839" t="str">
        <f>"201707203835"</f>
        <v>201707203835</v>
      </c>
      <c r="H839" t="str">
        <f>"Miscell"</f>
        <v>Miscell</v>
      </c>
      <c r="I839" s="2">
        <v>20</v>
      </c>
      <c r="J839" t="str">
        <f>"LORENE HELEN JOHNSON"</f>
        <v>LORENE HELEN JOHNSON</v>
      </c>
    </row>
    <row r="840" spans="1:10" x14ac:dyDescent="0.3">
      <c r="A840" t="str">
        <f t="shared" si="3"/>
        <v>1</v>
      </c>
      <c r="B840" t="s">
        <v>295</v>
      </c>
      <c r="C840">
        <v>71588</v>
      </c>
      <c r="D840" s="2">
        <v>20</v>
      </c>
      <c r="E840" s="1">
        <v>42936</v>
      </c>
      <c r="F840" t="s">
        <v>11</v>
      </c>
      <c r="G840" t="str">
        <f>"201707203836"</f>
        <v>201707203836</v>
      </c>
      <c r="H840" t="str">
        <f>"Miscellane"</f>
        <v>Miscellane</v>
      </c>
      <c r="I840" s="2">
        <v>20</v>
      </c>
      <c r="J840" t="str">
        <f>"SHERRY ANN DUNBAR"</f>
        <v>SHERRY ANN DUNBAR</v>
      </c>
    </row>
    <row r="841" spans="1:10" x14ac:dyDescent="0.3">
      <c r="A841" t="str">
        <f t="shared" si="3"/>
        <v>1</v>
      </c>
      <c r="B841" t="s">
        <v>296</v>
      </c>
      <c r="C841">
        <v>71589</v>
      </c>
      <c r="D841" s="2">
        <v>20</v>
      </c>
      <c r="E841" s="1">
        <v>42936</v>
      </c>
      <c r="F841" t="s">
        <v>11</v>
      </c>
      <c r="G841" t="str">
        <f>"201707203837"</f>
        <v>201707203837</v>
      </c>
      <c r="H841" t="str">
        <f>"Miscel"</f>
        <v>Miscel</v>
      </c>
      <c r="I841" s="2">
        <v>20</v>
      </c>
      <c r="J841" t="str">
        <f>"POLLYE ANITA HOFSTEDT"</f>
        <v>POLLYE ANITA HOFSTEDT</v>
      </c>
    </row>
    <row r="842" spans="1:10" x14ac:dyDescent="0.3">
      <c r="A842" t="str">
        <f t="shared" si="3"/>
        <v>1</v>
      </c>
      <c r="B842" t="s">
        <v>297</v>
      </c>
      <c r="C842">
        <v>71590</v>
      </c>
      <c r="D842" s="2">
        <v>20</v>
      </c>
      <c r="E842" s="1">
        <v>42936</v>
      </c>
      <c r="F842" t="s">
        <v>11</v>
      </c>
      <c r="G842" t="str">
        <f>"201707203838"</f>
        <v>201707203838</v>
      </c>
      <c r="H842" t="str">
        <f>"M"</f>
        <v>M</v>
      </c>
      <c r="I842" s="2">
        <v>20</v>
      </c>
      <c r="J842" t="str">
        <f>"KATHLEEN P GERAGHTY-ACOSTA"</f>
        <v>KATHLEEN P GERAGHTY-ACOSTA</v>
      </c>
    </row>
    <row r="843" spans="1:10" x14ac:dyDescent="0.3">
      <c r="A843" t="str">
        <f t="shared" si="3"/>
        <v>1</v>
      </c>
      <c r="B843" t="s">
        <v>298</v>
      </c>
      <c r="C843">
        <v>71591</v>
      </c>
      <c r="D843" s="2">
        <v>20</v>
      </c>
      <c r="E843" s="1">
        <v>42936</v>
      </c>
      <c r="F843" t="s">
        <v>11</v>
      </c>
      <c r="G843" t="str">
        <f>"201707203839"</f>
        <v>201707203839</v>
      </c>
      <c r="H843" t="str">
        <f>"Miscell"</f>
        <v>Miscell</v>
      </c>
      <c r="I843" s="2">
        <v>20</v>
      </c>
      <c r="J843" t="str">
        <f>"JORGE ROBERTO VARGAS"</f>
        <v>JORGE ROBERTO VARGAS</v>
      </c>
    </row>
    <row r="844" spans="1:10" x14ac:dyDescent="0.3">
      <c r="A844" t="str">
        <f t="shared" si="3"/>
        <v>1</v>
      </c>
      <c r="B844" t="s">
        <v>299</v>
      </c>
      <c r="C844">
        <v>71592</v>
      </c>
      <c r="D844" s="2">
        <v>20</v>
      </c>
      <c r="E844" s="1">
        <v>42936</v>
      </c>
      <c r="F844" t="s">
        <v>11</v>
      </c>
      <c r="G844" t="str">
        <f>"201707203840"</f>
        <v>201707203840</v>
      </c>
      <c r="H844" t="str">
        <f>"Misce"</f>
        <v>Misce</v>
      </c>
      <c r="I844" s="2">
        <v>20</v>
      </c>
      <c r="J844" t="str">
        <f>"DUSTIN ALLAN ZINSMEYER"</f>
        <v>DUSTIN ALLAN ZINSMEYER</v>
      </c>
    </row>
    <row r="845" spans="1:10" x14ac:dyDescent="0.3">
      <c r="A845" t="str">
        <f t="shared" si="3"/>
        <v>1</v>
      </c>
      <c r="B845" t="s">
        <v>300</v>
      </c>
      <c r="C845">
        <v>71593</v>
      </c>
      <c r="D845" s="2">
        <v>20</v>
      </c>
      <c r="E845" s="1">
        <v>42936</v>
      </c>
      <c r="F845" t="s">
        <v>11</v>
      </c>
      <c r="G845" t="str">
        <f>"201707203841"</f>
        <v>201707203841</v>
      </c>
      <c r="H845" t="str">
        <f>"Miscellaneo"</f>
        <v>Miscellaneo</v>
      </c>
      <c r="I845" s="2">
        <v>20</v>
      </c>
      <c r="J845" t="str">
        <f>"DAVID BRYAN ONEY"</f>
        <v>DAVID BRYAN ONEY</v>
      </c>
    </row>
    <row r="846" spans="1:10" x14ac:dyDescent="0.3">
      <c r="A846" t="str">
        <f t="shared" si="3"/>
        <v>1</v>
      </c>
      <c r="B846" t="s">
        <v>301</v>
      </c>
      <c r="C846">
        <v>71594</v>
      </c>
      <c r="D846" s="2">
        <v>20</v>
      </c>
      <c r="E846" s="1">
        <v>42936</v>
      </c>
      <c r="F846" t="s">
        <v>11</v>
      </c>
      <c r="G846" t="str">
        <f>"201707203842"</f>
        <v>201707203842</v>
      </c>
      <c r="H846" t="str">
        <f>"Miscell"</f>
        <v>Miscell</v>
      </c>
      <c r="I846" s="2">
        <v>20</v>
      </c>
      <c r="J846" t="str">
        <f>"JUSTIN MARK GERHARDT"</f>
        <v>JUSTIN MARK GERHARDT</v>
      </c>
    </row>
    <row r="847" spans="1:10" x14ac:dyDescent="0.3">
      <c r="A847" t="str">
        <f t="shared" si="3"/>
        <v>1</v>
      </c>
      <c r="B847" t="s">
        <v>302</v>
      </c>
      <c r="C847">
        <v>71595</v>
      </c>
      <c r="D847" s="2">
        <v>20</v>
      </c>
      <c r="E847" s="1">
        <v>42936</v>
      </c>
      <c r="F847" t="s">
        <v>11</v>
      </c>
      <c r="G847" t="str">
        <f>"201707203843"</f>
        <v>201707203843</v>
      </c>
      <c r="H847" t="str">
        <f>"Misce"</f>
        <v>Misce</v>
      </c>
      <c r="I847" s="2">
        <v>20</v>
      </c>
      <c r="J847" t="str">
        <f>"STEPHANIE REBER GOERTZ"</f>
        <v>STEPHANIE REBER GOERTZ</v>
      </c>
    </row>
    <row r="848" spans="1:10" x14ac:dyDescent="0.3">
      <c r="A848" t="str">
        <f t="shared" si="3"/>
        <v>1</v>
      </c>
      <c r="B848" t="s">
        <v>303</v>
      </c>
      <c r="C848">
        <v>71596</v>
      </c>
      <c r="D848" s="2">
        <v>20</v>
      </c>
      <c r="E848" s="1">
        <v>42936</v>
      </c>
      <c r="F848" t="s">
        <v>11</v>
      </c>
      <c r="G848" t="str">
        <f>"201707203844"</f>
        <v>201707203844</v>
      </c>
      <c r="H848" t="str">
        <f>"Miscel"</f>
        <v>Miscel</v>
      </c>
      <c r="I848" s="2">
        <v>20</v>
      </c>
      <c r="J848" t="str">
        <f>"AARON TYLER STRADLING"</f>
        <v>AARON TYLER STRADLING</v>
      </c>
    </row>
    <row r="849" spans="1:11" x14ac:dyDescent="0.3">
      <c r="A849" t="str">
        <f t="shared" si="3"/>
        <v>1</v>
      </c>
      <c r="B849" t="s">
        <v>304</v>
      </c>
      <c r="C849">
        <v>71597</v>
      </c>
      <c r="D849" s="2">
        <v>20</v>
      </c>
      <c r="E849" s="1">
        <v>42936</v>
      </c>
      <c r="F849" t="s">
        <v>11</v>
      </c>
      <c r="G849" t="str">
        <f>"201707203845"</f>
        <v>201707203845</v>
      </c>
      <c r="H849" t="str">
        <f>"Mis"</f>
        <v>Mis</v>
      </c>
      <c r="I849" s="2">
        <v>20</v>
      </c>
      <c r="J849" t="str">
        <f>"MELISSA MARIE MISSELHORN"</f>
        <v>MELISSA MARIE MISSELHORN</v>
      </c>
    </row>
    <row r="850" spans="1:11" x14ac:dyDescent="0.3">
      <c r="A850" t="str">
        <f t="shared" si="3"/>
        <v>1</v>
      </c>
      <c r="B850" t="s">
        <v>305</v>
      </c>
      <c r="C850">
        <v>71598</v>
      </c>
      <c r="D850" s="2">
        <v>20</v>
      </c>
      <c r="E850" s="1">
        <v>42936</v>
      </c>
      <c r="F850" t="s">
        <v>11</v>
      </c>
      <c r="G850" t="str">
        <f>"201707203846"</f>
        <v>201707203846</v>
      </c>
      <c r="H850" t="str">
        <f>"Miscellaneous"</f>
        <v>Miscellaneous</v>
      </c>
      <c r="I850" s="2">
        <v>20</v>
      </c>
      <c r="J850" t="str">
        <f>"SOLEDAD SIERRA"</f>
        <v>SOLEDAD SIERRA</v>
      </c>
    </row>
    <row r="851" spans="1:11" x14ac:dyDescent="0.3">
      <c r="A851" t="str">
        <f t="shared" si="3"/>
        <v>1</v>
      </c>
      <c r="B851" t="s">
        <v>306</v>
      </c>
      <c r="C851">
        <v>71883</v>
      </c>
      <c r="D851" s="2">
        <v>40</v>
      </c>
      <c r="E851" s="1">
        <v>42941</v>
      </c>
      <c r="F851" t="s">
        <v>11</v>
      </c>
      <c r="G851" t="str">
        <f>"201707253853"</f>
        <v>201707253853</v>
      </c>
      <c r="H851" t="str">
        <f>"Miscella"</f>
        <v>Miscella</v>
      </c>
      <c r="I851" s="2">
        <v>40</v>
      </c>
      <c r="J851" t="str">
        <f>"GINA THERESE SWEENY"</f>
        <v>GINA THERESE SWEENY</v>
      </c>
    </row>
    <row r="852" spans="1:11" x14ac:dyDescent="0.3">
      <c r="A852" t="str">
        <f>"004280"</f>
        <v>004280</v>
      </c>
      <c r="B852" t="s">
        <v>307</v>
      </c>
      <c r="C852">
        <v>71760</v>
      </c>
      <c r="D852" s="2">
        <v>40</v>
      </c>
      <c r="E852" s="1">
        <v>42940</v>
      </c>
      <c r="F852" t="s">
        <v>11</v>
      </c>
      <c r="G852" t="s">
        <v>51</v>
      </c>
      <c r="H852" t="s">
        <v>308</v>
      </c>
      <c r="I852" s="2" t="str">
        <f>"RESTITUTION-O. CABALLERO"</f>
        <v>RESTITUTION-O. CABALLERO</v>
      </c>
      <c r="J852" t="str">
        <f>"210-0000"</f>
        <v>210-0000</v>
      </c>
      <c r="K852">
        <v>40</v>
      </c>
    </row>
    <row r="853" spans="1:11" x14ac:dyDescent="0.3">
      <c r="A853" t="str">
        <f>"MOORE"</f>
        <v>MOORE</v>
      </c>
      <c r="B853" t="s">
        <v>309</v>
      </c>
      <c r="C853">
        <v>71761</v>
      </c>
      <c r="D853" s="2">
        <v>2132.29</v>
      </c>
      <c r="E853" s="1">
        <v>42940</v>
      </c>
      <c r="F853" t="s">
        <v>11</v>
      </c>
      <c r="G853" t="str">
        <f>"99523652/99536913"</f>
        <v>99523652/99536913</v>
      </c>
      <c r="H853" t="str">
        <f>"MEDICAL SUPPLIES"</f>
        <v>MEDICAL SUPPLIES</v>
      </c>
      <c r="I853" s="2">
        <v>574.1</v>
      </c>
      <c r="J853" t="str">
        <f>"MED99523652"</f>
        <v>MED99523652</v>
      </c>
    </row>
    <row r="854" spans="1:11" x14ac:dyDescent="0.3">
      <c r="A854" t="str">
        <f>""</f>
        <v/>
      </c>
      <c r="G854" t="str">
        <f>""</f>
        <v/>
      </c>
      <c r="H854" t="str">
        <f>""</f>
        <v/>
      </c>
      <c r="J854" t="str">
        <f>"MED 99536913"</f>
        <v>MED 99536913</v>
      </c>
    </row>
    <row r="855" spans="1:11" x14ac:dyDescent="0.3">
      <c r="A855" t="str">
        <f>""</f>
        <v/>
      </c>
      <c r="G855" t="str">
        <f>"MULT. INV#'S"</f>
        <v>MULT. INV#'S</v>
      </c>
      <c r="H855" t="str">
        <f>"ORDER 50379516"</f>
        <v>ORDER 50379516</v>
      </c>
      <c r="I855" s="2">
        <v>1558.19</v>
      </c>
      <c r="J855" t="str">
        <f>"ANTISEPTIC TOWELETTE"</f>
        <v>ANTISEPTIC TOWELETTE</v>
      </c>
    </row>
    <row r="856" spans="1:11" x14ac:dyDescent="0.3">
      <c r="A856" t="str">
        <f>""</f>
        <v/>
      </c>
      <c r="G856" t="str">
        <f>""</f>
        <v/>
      </c>
      <c r="H856" t="str">
        <f>""</f>
        <v/>
      </c>
      <c r="J856" t="str">
        <f>"2 LITER PUMP PURELL"</f>
        <v>2 LITER PUMP PURELL</v>
      </c>
    </row>
    <row r="857" spans="1:11" x14ac:dyDescent="0.3">
      <c r="A857" t="str">
        <f>""</f>
        <v/>
      </c>
      <c r="G857" t="str">
        <f>""</f>
        <v/>
      </c>
      <c r="H857" t="str">
        <f>""</f>
        <v/>
      </c>
      <c r="J857" t="str">
        <f>"TWEEZER/FORCEPS"</f>
        <v>TWEEZER/FORCEPS</v>
      </c>
    </row>
    <row r="858" spans="1:11" x14ac:dyDescent="0.3">
      <c r="A858" t="str">
        <f>""</f>
        <v/>
      </c>
      <c r="G858" t="str">
        <f>""</f>
        <v/>
      </c>
      <c r="H858" t="str">
        <f>""</f>
        <v/>
      </c>
      <c r="J858" t="str">
        <f>"M - GLOVES"</f>
        <v>M - GLOVES</v>
      </c>
    </row>
    <row r="859" spans="1:11" x14ac:dyDescent="0.3">
      <c r="A859" t="str">
        <f>""</f>
        <v/>
      </c>
      <c r="G859" t="str">
        <f>""</f>
        <v/>
      </c>
      <c r="H859" t="str">
        <f>""</f>
        <v/>
      </c>
      <c r="J859" t="str">
        <f>"L - GLOVES"</f>
        <v>L - GLOVES</v>
      </c>
    </row>
    <row r="860" spans="1:11" x14ac:dyDescent="0.3">
      <c r="A860" t="str">
        <f>""</f>
        <v/>
      </c>
      <c r="G860" t="str">
        <f>""</f>
        <v/>
      </c>
      <c r="H860" t="str">
        <f>""</f>
        <v/>
      </c>
      <c r="J860" t="str">
        <f>"XL - GLOVES"</f>
        <v>XL - GLOVES</v>
      </c>
    </row>
    <row r="861" spans="1:11" x14ac:dyDescent="0.3">
      <c r="A861" t="str">
        <f>""</f>
        <v/>
      </c>
      <c r="G861" t="str">
        <f>""</f>
        <v/>
      </c>
      <c r="H861" t="str">
        <f>""</f>
        <v/>
      </c>
      <c r="J861" t="str">
        <f>"XXL - GLOVES"</f>
        <v>XXL - GLOVES</v>
      </c>
    </row>
    <row r="862" spans="1:11" x14ac:dyDescent="0.3">
      <c r="A862" t="str">
        <f>""</f>
        <v/>
      </c>
      <c r="G862" t="str">
        <f>""</f>
        <v/>
      </c>
      <c r="H862" t="str">
        <f>""</f>
        <v/>
      </c>
      <c r="J862" t="str">
        <f>"FORCEPS"</f>
        <v>FORCEPS</v>
      </c>
    </row>
    <row r="863" spans="1:11" x14ac:dyDescent="0.3">
      <c r="A863" t="str">
        <f>""</f>
        <v/>
      </c>
      <c r="G863" t="str">
        <f>""</f>
        <v/>
      </c>
      <c r="H863" t="str">
        <f>""</f>
        <v/>
      </c>
      <c r="J863" t="str">
        <f>"MASKS"</f>
        <v>MASKS</v>
      </c>
    </row>
    <row r="864" spans="1:11" x14ac:dyDescent="0.3">
      <c r="A864" t="str">
        <f>""</f>
        <v/>
      </c>
      <c r="G864" t="str">
        <f>""</f>
        <v/>
      </c>
      <c r="H864" t="str">
        <f>""</f>
        <v/>
      </c>
      <c r="J864" t="str">
        <f>"FUEL SURCHG"</f>
        <v>FUEL SURCHG</v>
      </c>
    </row>
    <row r="865" spans="1:10" x14ac:dyDescent="0.3">
      <c r="A865" t="str">
        <f>"000969"</f>
        <v>000969</v>
      </c>
      <c r="B865" t="s">
        <v>310</v>
      </c>
      <c r="C865">
        <v>71463</v>
      </c>
      <c r="D865" s="2">
        <v>246.37</v>
      </c>
      <c r="E865" s="1">
        <v>42926</v>
      </c>
      <c r="F865" t="s">
        <v>11</v>
      </c>
      <c r="G865" t="str">
        <f>"S150459376.001"</f>
        <v>S150459376.001</v>
      </c>
      <c r="H865" t="str">
        <f>"PLUMBING INVS150459376"</f>
        <v>PLUMBING INVS150459376</v>
      </c>
      <c r="I865" s="2">
        <v>159.97</v>
      </c>
      <c r="J865" t="str">
        <f>"PLUMBING INVS150459376"</f>
        <v>PLUMBING INVS150459376</v>
      </c>
    </row>
    <row r="866" spans="1:10" x14ac:dyDescent="0.3">
      <c r="A866" t="str">
        <f>""</f>
        <v/>
      </c>
      <c r="G866" t="str">
        <f>"S150473546.001"</f>
        <v>S150473546.001</v>
      </c>
      <c r="H866" t="str">
        <f>"PLUMBING PRV"</f>
        <v>PLUMBING PRV</v>
      </c>
      <c r="I866" s="2">
        <v>86.4</v>
      </c>
      <c r="J866" t="str">
        <f>"PLUMBING PRVS1504735"</f>
        <v>PLUMBING PRVS1504735</v>
      </c>
    </row>
    <row r="867" spans="1:10" x14ac:dyDescent="0.3">
      <c r="A867" t="str">
        <f>"003544"</f>
        <v>003544</v>
      </c>
      <c r="B867" t="s">
        <v>311</v>
      </c>
      <c r="C867">
        <v>71464</v>
      </c>
      <c r="D867" s="2">
        <v>172.39</v>
      </c>
      <c r="E867" s="1">
        <v>42926</v>
      </c>
      <c r="F867" t="s">
        <v>11</v>
      </c>
      <c r="G867" t="str">
        <f>"S102271728.001"</f>
        <v>S102271728.001</v>
      </c>
      <c r="H867" t="s">
        <v>312</v>
      </c>
      <c r="I867" s="2">
        <v>172.39</v>
      </c>
      <c r="J867" t="s">
        <v>312</v>
      </c>
    </row>
    <row r="868" spans="1:10" x14ac:dyDescent="0.3">
      <c r="A868" t="str">
        <f>"003544"</f>
        <v>003544</v>
      </c>
      <c r="B868" t="s">
        <v>311</v>
      </c>
      <c r="C868">
        <v>71762</v>
      </c>
      <c r="D868" s="2">
        <v>1687.93</v>
      </c>
      <c r="E868" s="1">
        <v>42940</v>
      </c>
      <c r="F868" t="s">
        <v>11</v>
      </c>
      <c r="G868" t="str">
        <f>"S102214432.001"</f>
        <v>S102214432.001</v>
      </c>
      <c r="H868" t="str">
        <f>"Hybrid Water Heater"</f>
        <v>Hybrid Water Heater</v>
      </c>
      <c r="I868" s="2">
        <v>1687.93</v>
      </c>
      <c r="J868" t="str">
        <f>"Hybrid Water Heater"</f>
        <v>Hybrid Water Heater</v>
      </c>
    </row>
    <row r="869" spans="1:10" x14ac:dyDescent="0.3">
      <c r="A869" t="str">
        <f>""</f>
        <v/>
      </c>
      <c r="G869" t="str">
        <f>""</f>
        <v/>
      </c>
      <c r="H869" t="str">
        <f>""</f>
        <v/>
      </c>
      <c r="J869" t="str">
        <f>"Expansion Tank"</f>
        <v>Expansion Tank</v>
      </c>
    </row>
    <row r="870" spans="1:10" x14ac:dyDescent="0.3">
      <c r="A870" t="str">
        <f>""</f>
        <v/>
      </c>
      <c r="G870" t="str">
        <f>""</f>
        <v/>
      </c>
      <c r="H870" t="str">
        <f>""</f>
        <v/>
      </c>
      <c r="J870" t="str">
        <f>"Shipping"</f>
        <v>Shipping</v>
      </c>
    </row>
    <row r="871" spans="1:10" x14ac:dyDescent="0.3">
      <c r="A871" t="str">
        <f>"189"</f>
        <v>189</v>
      </c>
      <c r="B871" t="s">
        <v>313</v>
      </c>
      <c r="C871">
        <v>71763</v>
      </c>
      <c r="D871" s="2">
        <v>16295.73</v>
      </c>
      <c r="E871" s="1">
        <v>42940</v>
      </c>
      <c r="F871" t="s">
        <v>11</v>
      </c>
      <c r="G871" t="str">
        <f>"201707113482"</f>
        <v>201707113482</v>
      </c>
      <c r="H871" t="str">
        <f>"RADIO SERVICE AGREEMENT"</f>
        <v>RADIO SERVICE AGREEMENT</v>
      </c>
      <c r="I871" s="2">
        <v>16295.73</v>
      </c>
      <c r="J871" t="str">
        <f>"RADIO SERVICE AGREEMENT"</f>
        <v>RADIO SERVICE AGREEMENT</v>
      </c>
    </row>
    <row r="872" spans="1:10" x14ac:dyDescent="0.3">
      <c r="A872" t="str">
        <f>"002776"</f>
        <v>002776</v>
      </c>
      <c r="B872" t="s">
        <v>314</v>
      </c>
      <c r="C872">
        <v>71465</v>
      </c>
      <c r="D872" s="2">
        <v>148.99</v>
      </c>
      <c r="E872" s="1">
        <v>42926</v>
      </c>
      <c r="F872" t="s">
        <v>11</v>
      </c>
      <c r="G872" t="str">
        <f>"8330011873"</f>
        <v>8330011873</v>
      </c>
      <c r="H872" t="str">
        <f>"CUST#1036215277/PARTS CHARGES"</f>
        <v>CUST#1036215277/PARTS CHARGES</v>
      </c>
      <c r="I872" s="2">
        <v>148.99</v>
      </c>
      <c r="J872" t="str">
        <f>"CUST#1036215277/PARTS CHARGES"</f>
        <v>CUST#1036215277/PARTS CHARGES</v>
      </c>
    </row>
    <row r="873" spans="1:10" x14ac:dyDescent="0.3">
      <c r="A873" t="str">
        <f>"004694"</f>
        <v>004694</v>
      </c>
      <c r="B873" t="s">
        <v>315</v>
      </c>
      <c r="C873">
        <v>71764</v>
      </c>
      <c r="D873" s="2">
        <v>795</v>
      </c>
      <c r="E873" s="1">
        <v>42940</v>
      </c>
      <c r="F873" t="s">
        <v>11</v>
      </c>
      <c r="G873" t="str">
        <f>"86330994"</f>
        <v>86330994</v>
      </c>
      <c r="H873" t="str">
        <f>"PAYER#150344157/WTR TRMT SVCS"</f>
        <v>PAYER#150344157/WTR TRMT SVCS</v>
      </c>
      <c r="I873" s="2">
        <v>795</v>
      </c>
      <c r="J873" t="str">
        <f>"PAYER#150344157/WTR TRMT SVCS"</f>
        <v>PAYER#150344157/WTR TRMT SVCS</v>
      </c>
    </row>
    <row r="874" spans="1:10" x14ac:dyDescent="0.3">
      <c r="A874" t="str">
        <f>"000562"</f>
        <v>000562</v>
      </c>
      <c r="B874" t="s">
        <v>316</v>
      </c>
      <c r="C874">
        <v>71410</v>
      </c>
      <c r="D874" s="2">
        <v>7826.13</v>
      </c>
      <c r="E874" s="1">
        <v>42926</v>
      </c>
      <c r="F874" t="s">
        <v>11</v>
      </c>
      <c r="G874" t="str">
        <f>"IN0783397"</f>
        <v>IN0783397</v>
      </c>
      <c r="H874" t="str">
        <f>"FOOD IN0783397"</f>
        <v>FOOD IN0783397</v>
      </c>
      <c r="I874" s="2">
        <v>4222.4799999999996</v>
      </c>
      <c r="J874" t="str">
        <f>"FOOD INVIN0783397"</f>
        <v>FOOD INVIN0783397</v>
      </c>
    </row>
    <row r="875" spans="1:10" x14ac:dyDescent="0.3">
      <c r="A875" t="str">
        <f>""</f>
        <v/>
      </c>
      <c r="G875" t="str">
        <f>"IN0783398"</f>
        <v>IN0783398</v>
      </c>
      <c r="H875" t="str">
        <f>"FOOD IN0783398"</f>
        <v>FOOD IN0783398</v>
      </c>
      <c r="I875" s="2">
        <v>3603.65</v>
      </c>
      <c r="J875" t="str">
        <f>"FOOD IN0783398"</f>
        <v>FOOD IN0783398</v>
      </c>
    </row>
    <row r="876" spans="1:10" x14ac:dyDescent="0.3">
      <c r="A876" t="str">
        <f>"000562"</f>
        <v>000562</v>
      </c>
      <c r="B876" t="s">
        <v>316</v>
      </c>
      <c r="C876">
        <v>71675</v>
      </c>
      <c r="D876" s="2">
        <v>4536</v>
      </c>
      <c r="E876" s="1">
        <v>42940</v>
      </c>
      <c r="F876" t="s">
        <v>11</v>
      </c>
      <c r="G876" t="str">
        <f>"IN0782947"</f>
        <v>IN0782947</v>
      </c>
      <c r="H876" t="str">
        <f>"FOOD INV0782947"</f>
        <v>FOOD INV0782947</v>
      </c>
      <c r="I876" s="2">
        <v>3192</v>
      </c>
      <c r="J876" t="str">
        <f>"FOOD INV0782947"</f>
        <v>FOOD INV0782947</v>
      </c>
    </row>
    <row r="877" spans="1:10" x14ac:dyDescent="0.3">
      <c r="A877" t="str">
        <f>""</f>
        <v/>
      </c>
      <c r="G877" t="str">
        <f>"IN0783516"</f>
        <v>IN0783516</v>
      </c>
      <c r="H877" t="str">
        <f>"FOOD INV0783516"</f>
        <v>FOOD INV0783516</v>
      </c>
      <c r="I877" s="2">
        <v>1344</v>
      </c>
      <c r="J877" t="str">
        <f>"FOOD INV0783516"</f>
        <v>FOOD INV0783516</v>
      </c>
    </row>
    <row r="878" spans="1:10" x14ac:dyDescent="0.3">
      <c r="A878" t="str">
        <f>"000668"</f>
        <v>000668</v>
      </c>
      <c r="B878" t="s">
        <v>317</v>
      </c>
      <c r="C878">
        <v>71765</v>
      </c>
      <c r="D878" s="2">
        <v>450</v>
      </c>
      <c r="E878" s="1">
        <v>42940</v>
      </c>
      <c r="F878" t="s">
        <v>11</v>
      </c>
      <c r="G878" t="str">
        <f>"50 BALES HAY"</f>
        <v>50 BALES HAY</v>
      </c>
      <c r="H878" t="str">
        <f>"HAY ORDER"</f>
        <v>HAY ORDER</v>
      </c>
      <c r="I878" s="2">
        <v>450</v>
      </c>
      <c r="J878" t="str">
        <f>"HAY ORDER"</f>
        <v>HAY ORDER</v>
      </c>
    </row>
    <row r="879" spans="1:10" x14ac:dyDescent="0.3">
      <c r="A879" t="str">
        <f>"005145"</f>
        <v>005145</v>
      </c>
      <c r="B879" t="s">
        <v>318</v>
      </c>
      <c r="C879">
        <v>71766</v>
      </c>
      <c r="D879" s="2">
        <v>119.5</v>
      </c>
      <c r="E879" s="1">
        <v>42940</v>
      </c>
      <c r="F879" t="s">
        <v>11</v>
      </c>
      <c r="G879" t="str">
        <f>"1849"</f>
        <v>1849</v>
      </c>
      <c r="H879" t="str">
        <f>"MATERIALS"</f>
        <v>MATERIALS</v>
      </c>
      <c r="I879" s="2">
        <v>119.5</v>
      </c>
      <c r="J879" t="s">
        <v>319</v>
      </c>
    </row>
    <row r="880" spans="1:10" x14ac:dyDescent="0.3">
      <c r="A880" t="str">
        <f>"005155"</f>
        <v>005155</v>
      </c>
      <c r="B880" t="s">
        <v>320</v>
      </c>
      <c r="C880">
        <v>71767</v>
      </c>
      <c r="D880" s="2">
        <v>75</v>
      </c>
      <c r="E880" s="1">
        <v>42940</v>
      </c>
      <c r="F880" t="s">
        <v>11</v>
      </c>
      <c r="G880" t="str">
        <f>"12258"</f>
        <v>12258</v>
      </c>
      <c r="H880" t="str">
        <f>"SHERIFF-5/11/17"</f>
        <v>SHERIFF-5/11/17</v>
      </c>
      <c r="I880" s="2">
        <v>75</v>
      </c>
      <c r="J880" t="str">
        <f>"SHERIFF-5/11/17"</f>
        <v>SHERIFF-5/11/17</v>
      </c>
    </row>
    <row r="881" spans="1:10" x14ac:dyDescent="0.3">
      <c r="A881" t="str">
        <f>"T6614"</f>
        <v>T6614</v>
      </c>
      <c r="B881" t="s">
        <v>321</v>
      </c>
      <c r="C881">
        <v>71768</v>
      </c>
      <c r="D881" s="2">
        <v>379.9</v>
      </c>
      <c r="E881" s="1">
        <v>42940</v>
      </c>
      <c r="F881" t="s">
        <v>11</v>
      </c>
      <c r="G881" t="str">
        <f>"0581279015"</f>
        <v>0581279015</v>
      </c>
      <c r="H881" t="str">
        <f>"TRANS 0581279015"</f>
        <v>TRANS 0581279015</v>
      </c>
      <c r="I881" s="2">
        <v>30.77</v>
      </c>
      <c r="J881" t="str">
        <f>"TRANS 0581279015"</f>
        <v>TRANS 0581279015</v>
      </c>
    </row>
    <row r="882" spans="1:10" x14ac:dyDescent="0.3">
      <c r="A882" t="str">
        <f>""</f>
        <v/>
      </c>
      <c r="G882" t="str">
        <f>"201707143653"</f>
        <v>201707143653</v>
      </c>
      <c r="H882" t="str">
        <f>"CUST#99088/PCT#4"</f>
        <v>CUST#99088/PCT#4</v>
      </c>
      <c r="I882" s="2">
        <v>349.13</v>
      </c>
      <c r="J882" t="str">
        <f>"CUST#99088/PCT#4"</f>
        <v>CUST#99088/PCT#4</v>
      </c>
    </row>
    <row r="883" spans="1:10" x14ac:dyDescent="0.3">
      <c r="A883" t="str">
        <f>"001015"</f>
        <v>001015</v>
      </c>
      <c r="B883" t="s">
        <v>322</v>
      </c>
      <c r="C883">
        <v>71466</v>
      </c>
      <c r="D883" s="2">
        <v>429</v>
      </c>
      <c r="E883" s="1">
        <v>42926</v>
      </c>
      <c r="F883" t="s">
        <v>11</v>
      </c>
      <c r="G883" t="str">
        <f>"12200037"</f>
        <v>12200037</v>
      </c>
      <c r="H883" t="str">
        <f>"MILK PRODUCTS INV12200037"</f>
        <v>MILK PRODUCTS INV12200037</v>
      </c>
      <c r="I883" s="2">
        <v>214.5</v>
      </c>
      <c r="J883" t="str">
        <f>"MILK PRODUCTS INV12200037"</f>
        <v>MILK PRODUCTS INV12200037</v>
      </c>
    </row>
    <row r="884" spans="1:10" x14ac:dyDescent="0.3">
      <c r="A884" t="str">
        <f>""</f>
        <v/>
      </c>
      <c r="G884" t="str">
        <f>"901720"</f>
        <v>901720</v>
      </c>
      <c r="H884" t="str">
        <f>"MILK INV901720"</f>
        <v>MILK INV901720</v>
      </c>
      <c r="I884" s="2">
        <v>214.5</v>
      </c>
      <c r="J884" t="str">
        <f>"MILK INV901720"</f>
        <v>MILK INV901720</v>
      </c>
    </row>
    <row r="885" spans="1:10" x14ac:dyDescent="0.3">
      <c r="A885" t="str">
        <f>"001015"</f>
        <v>001015</v>
      </c>
      <c r="B885" t="s">
        <v>322</v>
      </c>
      <c r="C885">
        <v>71769</v>
      </c>
      <c r="D885" s="2">
        <v>1023</v>
      </c>
      <c r="E885" s="1">
        <v>42940</v>
      </c>
      <c r="F885" t="s">
        <v>11</v>
      </c>
      <c r="G885" t="str">
        <f>"122000837"</f>
        <v>122000837</v>
      </c>
      <c r="H885" t="str">
        <f>"MILK INV122000837"</f>
        <v>MILK INV122000837</v>
      </c>
      <c r="I885" s="2">
        <v>231</v>
      </c>
      <c r="J885" t="str">
        <f>"MILK INV122000837"</f>
        <v>MILK INV122000837</v>
      </c>
    </row>
    <row r="886" spans="1:10" x14ac:dyDescent="0.3">
      <c r="A886" t="str">
        <f>""</f>
        <v/>
      </c>
      <c r="G886" t="str">
        <f>"908067"</f>
        <v>908067</v>
      </c>
      <c r="H886" t="str">
        <f>"MILK PRODUCTS INV908067"</f>
        <v>MILK PRODUCTS INV908067</v>
      </c>
      <c r="I886" s="2">
        <v>214.5</v>
      </c>
      <c r="J886" t="str">
        <f>"MILK PRODUCTS INV908067"</f>
        <v>MILK PRODUCTS INV908067</v>
      </c>
    </row>
    <row r="887" spans="1:10" x14ac:dyDescent="0.3">
      <c r="A887" t="str">
        <f>""</f>
        <v/>
      </c>
      <c r="G887" t="str">
        <f>"911618"</f>
        <v>911618</v>
      </c>
      <c r="H887" t="str">
        <f>"MILK INV911618"</f>
        <v>MILK INV911618</v>
      </c>
      <c r="I887" s="2">
        <v>231</v>
      </c>
      <c r="J887" t="str">
        <f>"MILK INV911618"</f>
        <v>MILK INV911618</v>
      </c>
    </row>
    <row r="888" spans="1:10" x14ac:dyDescent="0.3">
      <c r="A888" t="str">
        <f>""</f>
        <v/>
      </c>
      <c r="G888" t="str">
        <f>"917919"</f>
        <v>917919</v>
      </c>
      <c r="H888" t="str">
        <f>"INV917919 MILK"</f>
        <v>INV917919 MILK</v>
      </c>
      <c r="I888" s="2">
        <v>346.5</v>
      </c>
      <c r="J888" t="str">
        <f>"INV917919 MILK"</f>
        <v>INV917919 MILK</v>
      </c>
    </row>
    <row r="889" spans="1:10" x14ac:dyDescent="0.3">
      <c r="A889" t="str">
        <f>"T5769"</f>
        <v>T5769</v>
      </c>
      <c r="B889" t="s">
        <v>323</v>
      </c>
      <c r="C889">
        <v>71467</v>
      </c>
      <c r="D889" s="2">
        <v>1248.5999999999999</v>
      </c>
      <c r="E889" s="1">
        <v>42926</v>
      </c>
      <c r="F889" t="s">
        <v>11</v>
      </c>
      <c r="G889" t="str">
        <f>"8239078"</f>
        <v>8239078</v>
      </c>
      <c r="H889" t="str">
        <f>"Bill# 8239078"</f>
        <v>Bill# 8239078</v>
      </c>
      <c r="I889" s="2">
        <v>1248.5999999999999</v>
      </c>
      <c r="J889" t="str">
        <f>"Ord# 938387490001"</f>
        <v>Ord# 938387490001</v>
      </c>
    </row>
    <row r="890" spans="1:10" x14ac:dyDescent="0.3">
      <c r="A890" t="str">
        <f>""</f>
        <v/>
      </c>
      <c r="G890" t="str">
        <f>""</f>
        <v/>
      </c>
      <c r="H890" t="str">
        <f>""</f>
        <v/>
      </c>
      <c r="J890" t="str">
        <f>"Ord# 939865009001"</f>
        <v>Ord# 939865009001</v>
      </c>
    </row>
    <row r="891" spans="1:10" x14ac:dyDescent="0.3">
      <c r="A891" t="str">
        <f>""</f>
        <v/>
      </c>
      <c r="G891" t="str">
        <f>""</f>
        <v/>
      </c>
      <c r="H891" t="str">
        <f>""</f>
        <v/>
      </c>
      <c r="J891" t="str">
        <f>"Ord# 936967974001"</f>
        <v>Ord# 936967974001</v>
      </c>
    </row>
    <row r="892" spans="1:10" x14ac:dyDescent="0.3">
      <c r="A892" t="str">
        <f>""</f>
        <v/>
      </c>
      <c r="G892" t="str">
        <f>""</f>
        <v/>
      </c>
      <c r="H892" t="str">
        <f>""</f>
        <v/>
      </c>
      <c r="J892" t="str">
        <f>"Ord# 936967974002"</f>
        <v>Ord# 936967974002</v>
      </c>
    </row>
    <row r="893" spans="1:10" x14ac:dyDescent="0.3">
      <c r="A893" t="str">
        <f>""</f>
        <v/>
      </c>
      <c r="G893" t="str">
        <f>""</f>
        <v/>
      </c>
      <c r="H893" t="str">
        <f>""</f>
        <v/>
      </c>
      <c r="J893" t="str">
        <f>"Ord# 936971804001"</f>
        <v>Ord# 936971804001</v>
      </c>
    </row>
    <row r="894" spans="1:10" x14ac:dyDescent="0.3">
      <c r="A894" t="str">
        <f>""</f>
        <v/>
      </c>
      <c r="G894" t="str">
        <f>""</f>
        <v/>
      </c>
      <c r="H894" t="str">
        <f>""</f>
        <v/>
      </c>
      <c r="J894" t="str">
        <f>"Ord# 937420283001"</f>
        <v>Ord# 937420283001</v>
      </c>
    </row>
    <row r="895" spans="1:10" x14ac:dyDescent="0.3">
      <c r="A895" t="str">
        <f>""</f>
        <v/>
      </c>
      <c r="G895" t="str">
        <f>""</f>
        <v/>
      </c>
      <c r="H895" t="str">
        <f>""</f>
        <v/>
      </c>
      <c r="J895" t="str">
        <f>"Ord# 938240018001"</f>
        <v>Ord# 938240018001</v>
      </c>
    </row>
    <row r="896" spans="1:10" x14ac:dyDescent="0.3">
      <c r="A896" t="str">
        <f>""</f>
        <v/>
      </c>
      <c r="G896" t="str">
        <f>""</f>
        <v/>
      </c>
      <c r="H896" t="str">
        <f>""</f>
        <v/>
      </c>
      <c r="J896" t="str">
        <f>"Ord# 937240678001"</f>
        <v>Ord# 937240678001</v>
      </c>
    </row>
    <row r="897" spans="1:10" x14ac:dyDescent="0.3">
      <c r="A897" t="str">
        <f>""</f>
        <v/>
      </c>
      <c r="G897" t="str">
        <f>""</f>
        <v/>
      </c>
      <c r="H897" t="str">
        <f>""</f>
        <v/>
      </c>
      <c r="J897" t="str">
        <f>"Ord# 936970792001"</f>
        <v>Ord# 936970792001</v>
      </c>
    </row>
    <row r="898" spans="1:10" x14ac:dyDescent="0.3">
      <c r="A898" t="str">
        <f>""</f>
        <v/>
      </c>
      <c r="G898" t="str">
        <f>""</f>
        <v/>
      </c>
      <c r="H898" t="str">
        <f>""</f>
        <v/>
      </c>
      <c r="J898" t="str">
        <f>"Ord# 937124283001"</f>
        <v>Ord# 937124283001</v>
      </c>
    </row>
    <row r="899" spans="1:10" x14ac:dyDescent="0.3">
      <c r="A899" t="str">
        <f>""</f>
        <v/>
      </c>
      <c r="G899" t="str">
        <f>""</f>
        <v/>
      </c>
      <c r="H899" t="str">
        <f>""</f>
        <v/>
      </c>
      <c r="J899" t="str">
        <f>"Ord# 937124724001"</f>
        <v>Ord# 937124724001</v>
      </c>
    </row>
    <row r="900" spans="1:10" x14ac:dyDescent="0.3">
      <c r="A900" t="str">
        <f>""</f>
        <v/>
      </c>
      <c r="G900" t="str">
        <f>""</f>
        <v/>
      </c>
      <c r="H900" t="str">
        <f>""</f>
        <v/>
      </c>
      <c r="J900" t="str">
        <f>"Ord# 937124725001"</f>
        <v>Ord# 937124725001</v>
      </c>
    </row>
    <row r="901" spans="1:10" x14ac:dyDescent="0.3">
      <c r="A901" t="str">
        <f>""</f>
        <v/>
      </c>
      <c r="G901" t="str">
        <f>""</f>
        <v/>
      </c>
      <c r="H901" t="str">
        <f>""</f>
        <v/>
      </c>
      <c r="J901" t="str">
        <f>"Ord# 939365658001"</f>
        <v>Ord# 939365658001</v>
      </c>
    </row>
    <row r="902" spans="1:10" x14ac:dyDescent="0.3">
      <c r="A902" t="str">
        <f>"005144"</f>
        <v>005144</v>
      </c>
      <c r="B902" t="s">
        <v>324</v>
      </c>
      <c r="C902">
        <v>71770</v>
      </c>
      <c r="D902" s="2">
        <v>790</v>
      </c>
      <c r="E902" s="1">
        <v>42940</v>
      </c>
      <c r="F902" t="s">
        <v>11</v>
      </c>
      <c r="G902" t="str">
        <f>"27493"</f>
        <v>27493</v>
      </c>
      <c r="H902" t="str">
        <f>"INV 27493"</f>
        <v>INV 27493</v>
      </c>
      <c r="I902" s="2">
        <v>790</v>
      </c>
      <c r="J902" t="str">
        <f>"INV 27493"</f>
        <v>INV 27493</v>
      </c>
    </row>
    <row r="903" spans="1:10" x14ac:dyDescent="0.3">
      <c r="A903" t="str">
        <f>""</f>
        <v/>
      </c>
      <c r="G903" t="str">
        <f>""</f>
        <v/>
      </c>
      <c r="H903" t="str">
        <f>""</f>
        <v/>
      </c>
      <c r="J903" t="str">
        <f>"SHIPPING"</f>
        <v>SHIPPING</v>
      </c>
    </row>
    <row r="904" spans="1:10" x14ac:dyDescent="0.3">
      <c r="A904" t="str">
        <f>"OMNIBA"</f>
        <v>OMNIBA</v>
      </c>
      <c r="B904" t="s">
        <v>325</v>
      </c>
      <c r="C904">
        <v>71771</v>
      </c>
      <c r="D904" s="2">
        <v>2592</v>
      </c>
      <c r="E904" s="1">
        <v>42940</v>
      </c>
      <c r="F904" t="s">
        <v>11</v>
      </c>
      <c r="G904" t="str">
        <f>"201707193765"</f>
        <v>201707193765</v>
      </c>
      <c r="H904" t="str">
        <f>"2ND QTR 2017 (APRIL MAY JUNE)"</f>
        <v>2ND QTR 2017 (APRIL MAY JUNE)</v>
      </c>
      <c r="I904" s="2">
        <v>2592</v>
      </c>
      <c r="J904" t="str">
        <f>"2ND QTR 2017 (APRIL MAY JUNE)"</f>
        <v>2ND QTR 2017 (APRIL MAY JUNE)</v>
      </c>
    </row>
    <row r="905" spans="1:10" x14ac:dyDescent="0.3">
      <c r="A905" t="str">
        <f>"OP"</f>
        <v>OP</v>
      </c>
      <c r="B905" t="s">
        <v>326</v>
      </c>
      <c r="C905">
        <v>71468</v>
      </c>
      <c r="D905" s="2">
        <v>2164.96</v>
      </c>
      <c r="E905" s="1">
        <v>42926</v>
      </c>
      <c r="F905" t="s">
        <v>11</v>
      </c>
      <c r="G905" t="str">
        <f>"16157"</f>
        <v>16157</v>
      </c>
      <c r="H905" t="str">
        <f>"PLUMBING SVCS/JUDGE DUGGAN"</f>
        <v>PLUMBING SVCS/JUDGE DUGGAN</v>
      </c>
      <c r="I905" s="2">
        <v>260</v>
      </c>
      <c r="J905" t="str">
        <f>"PLUMBING SVCS/JUDGE DUGGAN"</f>
        <v>PLUMBING SVCS/JUDGE DUGGAN</v>
      </c>
    </row>
    <row r="906" spans="1:10" x14ac:dyDescent="0.3">
      <c r="A906" t="str">
        <f>""</f>
        <v/>
      </c>
      <c r="G906" t="str">
        <f>"16158"</f>
        <v>16158</v>
      </c>
      <c r="H906" t="str">
        <f>"MAIN LINE CLEAN OUT 16158"</f>
        <v>MAIN LINE CLEAN OUT 16158</v>
      </c>
      <c r="I906" s="2">
        <v>1140</v>
      </c>
      <c r="J906" t="str">
        <f>"MAIN LINE CLEAN OUT 16158"</f>
        <v>MAIN LINE CLEAN OUT 16158</v>
      </c>
    </row>
    <row r="907" spans="1:10" x14ac:dyDescent="0.3">
      <c r="A907" t="str">
        <f>""</f>
        <v/>
      </c>
      <c r="G907" t="str">
        <f>"16170"</f>
        <v>16170</v>
      </c>
      <c r="H907" t="str">
        <f>"PLUMBING/JUVENILE SERVICES"</f>
        <v>PLUMBING/JUVENILE SERVICES</v>
      </c>
      <c r="I907" s="2">
        <v>764.96</v>
      </c>
      <c r="J907" t="str">
        <f>"PLUMBING/JUVENILE SERVICES"</f>
        <v>PLUMBING/JUVENILE SERVICES</v>
      </c>
    </row>
    <row r="908" spans="1:10" x14ac:dyDescent="0.3">
      <c r="A908" t="str">
        <f>"OP"</f>
        <v>OP</v>
      </c>
      <c r="B908" t="s">
        <v>326</v>
      </c>
      <c r="C908">
        <v>71772</v>
      </c>
      <c r="D908" s="2">
        <v>595</v>
      </c>
      <c r="E908" s="1">
        <v>42940</v>
      </c>
      <c r="F908" t="s">
        <v>11</v>
      </c>
      <c r="G908" t="str">
        <f>"16188"</f>
        <v>16188</v>
      </c>
      <c r="H908" t="str">
        <f>"PLUMBING SVCS-PCT#3 ANNEX"</f>
        <v>PLUMBING SVCS-PCT#3 ANNEX</v>
      </c>
      <c r="I908" s="2">
        <v>335</v>
      </c>
      <c r="J908" t="str">
        <f>"PLUMBING SVCS-PCT#3 ANNEX"</f>
        <v>PLUMBING SVCS-PCT#3 ANNEX</v>
      </c>
    </row>
    <row r="909" spans="1:10" x14ac:dyDescent="0.3">
      <c r="A909" t="str">
        <f>""</f>
        <v/>
      </c>
      <c r="G909" t="str">
        <f>"16197"</f>
        <v>16197</v>
      </c>
      <c r="H909" t="str">
        <f>"PLUMBING SVCS-COURTHOUSE"</f>
        <v>PLUMBING SVCS-COURTHOUSE</v>
      </c>
      <c r="I909" s="2">
        <v>260</v>
      </c>
      <c r="J909" t="str">
        <f>"PLUMBING SVCS-COURTHOUSE"</f>
        <v>PLUMBING SVCS-COURTHOUSE</v>
      </c>
    </row>
    <row r="910" spans="1:10" x14ac:dyDescent="0.3">
      <c r="A910" t="str">
        <f>"005074"</f>
        <v>005074</v>
      </c>
      <c r="B910" t="s">
        <v>327</v>
      </c>
      <c r="C910">
        <v>71469</v>
      </c>
      <c r="D910" s="2">
        <v>4306.0200000000004</v>
      </c>
      <c r="E910" s="1">
        <v>42926</v>
      </c>
      <c r="F910" t="s">
        <v>11</v>
      </c>
      <c r="G910" t="str">
        <f>"062217_2"</f>
        <v>062217_2</v>
      </c>
      <c r="H910" t="str">
        <f>"ESTIMATE #062017"</f>
        <v>ESTIMATE #062017</v>
      </c>
      <c r="I910" s="2">
        <v>4306.0200000000004</v>
      </c>
      <c r="J910" t="str">
        <f>"WPA223FMJ55GOLDCASE"</f>
        <v>WPA223FMJ55GOLDCASE</v>
      </c>
    </row>
    <row r="911" spans="1:10" x14ac:dyDescent="0.3">
      <c r="A911" t="str">
        <f>""</f>
        <v/>
      </c>
      <c r="G911" t="str">
        <f>""</f>
        <v/>
      </c>
      <c r="H911" t="str">
        <f>""</f>
        <v/>
      </c>
      <c r="J911" t="str">
        <f>"LEB127RSBRICK"</f>
        <v>LEB127RSBRICK</v>
      </c>
    </row>
    <row r="912" spans="1:10" x14ac:dyDescent="0.3">
      <c r="A912" t="str">
        <f>""</f>
        <v/>
      </c>
      <c r="G912" t="str">
        <f>""</f>
        <v/>
      </c>
      <c r="H912" t="str">
        <f>""</f>
        <v/>
      </c>
      <c r="J912" t="str">
        <f>"LE13300BRICK"</f>
        <v>LE13300BRICK</v>
      </c>
    </row>
    <row r="913" spans="1:10" x14ac:dyDescent="0.3">
      <c r="A913" t="str">
        <f>""</f>
        <v/>
      </c>
      <c r="G913" t="str">
        <f>""</f>
        <v/>
      </c>
      <c r="H913" t="str">
        <f>""</f>
        <v/>
      </c>
      <c r="J913" t="str">
        <f>"CCI5200CASE"</f>
        <v>CCI5200CASE</v>
      </c>
    </row>
    <row r="914" spans="1:10" x14ac:dyDescent="0.3">
      <c r="A914" t="str">
        <f>""</f>
        <v/>
      </c>
      <c r="G914" t="str">
        <f>""</f>
        <v/>
      </c>
      <c r="H914" t="str">
        <f>""</f>
        <v/>
      </c>
      <c r="J914" t="str">
        <f>"CCI54232CASE"</f>
        <v>CCI54232CASE</v>
      </c>
    </row>
    <row r="915" spans="1:10" x14ac:dyDescent="0.3">
      <c r="A915" t="str">
        <f>""</f>
        <v/>
      </c>
      <c r="G915" t="str">
        <f>""</f>
        <v/>
      </c>
      <c r="H915" t="str">
        <f>""</f>
        <v/>
      </c>
      <c r="J915" t="str">
        <f>"CCI5220CASE"</f>
        <v>CCI5220CASE</v>
      </c>
    </row>
    <row r="916" spans="1:10" x14ac:dyDescent="0.3">
      <c r="A916" t="str">
        <f>""</f>
        <v/>
      </c>
      <c r="G916" t="str">
        <f>""</f>
        <v/>
      </c>
      <c r="H916" t="str">
        <f>""</f>
        <v/>
      </c>
      <c r="J916" t="str">
        <f>"CCI5230CASE"</f>
        <v>CCI5230CASE</v>
      </c>
    </row>
    <row r="917" spans="1:10" x14ac:dyDescent="0.3">
      <c r="A917" t="str">
        <f>""</f>
        <v/>
      </c>
      <c r="G917" t="str">
        <f>""</f>
        <v/>
      </c>
      <c r="H917" t="str">
        <f>""</f>
        <v/>
      </c>
      <c r="J917" t="str">
        <f>"SHIPPING"</f>
        <v>SHIPPING</v>
      </c>
    </row>
    <row r="918" spans="1:10" x14ac:dyDescent="0.3">
      <c r="A918" t="str">
        <f>"005074"</f>
        <v>005074</v>
      </c>
      <c r="B918" t="s">
        <v>327</v>
      </c>
      <c r="C918">
        <v>71773</v>
      </c>
      <c r="D918" s="2">
        <v>876.12</v>
      </c>
      <c r="E918" s="1">
        <v>42940</v>
      </c>
      <c r="F918" t="s">
        <v>11</v>
      </c>
      <c r="G918" t="str">
        <f>"071117"</f>
        <v>071117</v>
      </c>
      <c r="H918" t="str">
        <f>"ESTIMATE #071017"</f>
        <v>ESTIMATE #071017</v>
      </c>
      <c r="I918" s="2">
        <v>876.12</v>
      </c>
      <c r="J918" t="str">
        <f>"WOLF 223 REM GOLD 55"</f>
        <v>WOLF 223 REM GOLD 55</v>
      </c>
    </row>
    <row r="919" spans="1:10" x14ac:dyDescent="0.3">
      <c r="A919" t="str">
        <f>""</f>
        <v/>
      </c>
      <c r="G919" t="str">
        <f>""</f>
        <v/>
      </c>
      <c r="H919" t="str">
        <f>""</f>
        <v/>
      </c>
      <c r="J919" t="str">
        <f>"SHIPPING"</f>
        <v>SHIPPING</v>
      </c>
    </row>
    <row r="920" spans="1:10" x14ac:dyDescent="0.3">
      <c r="A920" t="str">
        <f>"005143"</f>
        <v>005143</v>
      </c>
      <c r="B920" t="s">
        <v>328</v>
      </c>
      <c r="C920">
        <v>71774</v>
      </c>
      <c r="D920" s="2">
        <v>1500</v>
      </c>
      <c r="E920" s="1">
        <v>42940</v>
      </c>
      <c r="F920" t="s">
        <v>11</v>
      </c>
      <c r="G920" t="str">
        <f>"1143"</f>
        <v>1143</v>
      </c>
      <c r="H920" t="str">
        <f>"INV 1143"</f>
        <v>INV 1143</v>
      </c>
      <c r="I920" s="2">
        <v>1500</v>
      </c>
      <c r="J920" t="str">
        <f>"INV 1143"</f>
        <v>INV 1143</v>
      </c>
    </row>
    <row r="921" spans="1:10" x14ac:dyDescent="0.3">
      <c r="A921" t="str">
        <f>"PAIGE"</f>
        <v>PAIGE</v>
      </c>
      <c r="B921" t="s">
        <v>329</v>
      </c>
      <c r="C921">
        <v>71775</v>
      </c>
      <c r="D921" s="2">
        <v>922.42</v>
      </c>
      <c r="E921" s="1">
        <v>42940</v>
      </c>
      <c r="F921" t="s">
        <v>11</v>
      </c>
      <c r="G921" t="str">
        <f>"55149"</f>
        <v>55149</v>
      </c>
      <c r="H921" t="str">
        <f>"SERIAL#509020855/PCT#4"</f>
        <v>SERIAL#509020855/PCT#4</v>
      </c>
      <c r="I921" s="2">
        <v>389.97</v>
      </c>
      <c r="J921" t="str">
        <f>"SERIAL#509020855/PCT#4"</f>
        <v>SERIAL#509020855/PCT#4</v>
      </c>
    </row>
    <row r="922" spans="1:10" x14ac:dyDescent="0.3">
      <c r="A922" t="str">
        <f>""</f>
        <v/>
      </c>
      <c r="G922" t="str">
        <f>"55928"</f>
        <v>55928</v>
      </c>
      <c r="H922" t="str">
        <f>"BW5108/BW3502/PCT#2"</f>
        <v>BW5108/BW3502/PCT#2</v>
      </c>
      <c r="I922" s="2">
        <v>532.45000000000005</v>
      </c>
      <c r="J922" t="str">
        <f>"BW5108/BW3502/PCT#2"</f>
        <v>BW5108/BW3502/PCT#2</v>
      </c>
    </row>
    <row r="923" spans="1:10" x14ac:dyDescent="0.3">
      <c r="A923" t="str">
        <f>"003566"</f>
        <v>003566</v>
      </c>
      <c r="B923" t="s">
        <v>330</v>
      </c>
      <c r="C923">
        <v>71776</v>
      </c>
      <c r="D923" s="2">
        <v>127.16</v>
      </c>
      <c r="E923" s="1">
        <v>42940</v>
      </c>
      <c r="F923" t="s">
        <v>11</v>
      </c>
      <c r="G923" t="str">
        <f>"201707143652"</f>
        <v>201707143652</v>
      </c>
      <c r="H923" t="str">
        <f>"ACCT#1137/PCT#4"</f>
        <v>ACCT#1137/PCT#4</v>
      </c>
      <c r="I923" s="2">
        <v>127.16</v>
      </c>
      <c r="J923" t="str">
        <f>"ACCT#1137/PCT#4"</f>
        <v>ACCT#1137/PCT#4</v>
      </c>
    </row>
    <row r="924" spans="1:10" x14ac:dyDescent="0.3">
      <c r="A924" t="str">
        <f>"T5411"</f>
        <v>T5411</v>
      </c>
      <c r="B924" t="s">
        <v>331</v>
      </c>
      <c r="C924">
        <v>71470</v>
      </c>
      <c r="D924" s="2">
        <v>596</v>
      </c>
      <c r="E924" s="1">
        <v>42926</v>
      </c>
      <c r="F924" t="s">
        <v>11</v>
      </c>
      <c r="G924" t="str">
        <f>"023510"</f>
        <v>023510</v>
      </c>
      <c r="H924" t="str">
        <f>"MATERIALS"</f>
        <v>MATERIALS</v>
      </c>
      <c r="I924" s="2">
        <v>596</v>
      </c>
      <c r="J924" t="str">
        <f>"6 FT 1.12# Green"</f>
        <v>6 FT 1.12# Green</v>
      </c>
    </row>
    <row r="925" spans="1:10" x14ac:dyDescent="0.3">
      <c r="A925" t="str">
        <f>"005127"</f>
        <v>005127</v>
      </c>
      <c r="B925" t="s">
        <v>332</v>
      </c>
      <c r="C925">
        <v>71471</v>
      </c>
      <c r="D925" s="2">
        <v>391.8</v>
      </c>
      <c r="E925" s="1">
        <v>42926</v>
      </c>
      <c r="F925" t="s">
        <v>11</v>
      </c>
      <c r="G925" t="str">
        <f>"201706293296"</f>
        <v>201706293296</v>
      </c>
      <c r="H925" t="str">
        <f>"CSR FULL DAY/MILEAGE-6/21/2017"</f>
        <v>CSR FULL DAY/MILEAGE-6/21/2017</v>
      </c>
      <c r="I925" s="2">
        <v>391.8</v>
      </c>
      <c r="J925" t="str">
        <f>"CSR FULL DAY/MILEAGE-6/21/2017"</f>
        <v>CSR FULL DAY/MILEAGE-6/21/2017</v>
      </c>
    </row>
    <row r="926" spans="1:10" x14ac:dyDescent="0.3">
      <c r="A926" t="str">
        <f>"002370"</f>
        <v>002370</v>
      </c>
      <c r="B926" t="s">
        <v>333</v>
      </c>
      <c r="C926">
        <v>71472</v>
      </c>
      <c r="D926" s="2">
        <v>3093.4</v>
      </c>
      <c r="E926" s="1">
        <v>42926</v>
      </c>
      <c r="F926" t="s">
        <v>11</v>
      </c>
      <c r="G926" t="str">
        <f>"2008269"</f>
        <v>2008269</v>
      </c>
      <c r="H926" t="str">
        <f>"BUILD 200A 15' METER LOOP/AS"</f>
        <v>BUILD 200A 15' METER LOOP/AS</v>
      </c>
      <c r="I926" s="2">
        <v>1520</v>
      </c>
      <c r="J926" t="str">
        <f>"BUILD 200A 15' METER LOOP/AS"</f>
        <v>BUILD 200A 15' METER LOOP/AS</v>
      </c>
    </row>
    <row r="927" spans="1:10" x14ac:dyDescent="0.3">
      <c r="A927" t="str">
        <f>""</f>
        <v/>
      </c>
      <c r="G927" t="str">
        <f>"2008273"</f>
        <v>2008273</v>
      </c>
      <c r="H927" t="str">
        <f>"REPAIRS/OLD COURTHOUSE"</f>
        <v>REPAIRS/OLD COURTHOUSE</v>
      </c>
      <c r="I927" s="2">
        <v>165</v>
      </c>
      <c r="J927" t="str">
        <f>"REPAIRS/OLD COURTHOUSE"</f>
        <v>REPAIRS/OLD COURTHOUSE</v>
      </c>
    </row>
    <row r="928" spans="1:10" x14ac:dyDescent="0.3">
      <c r="A928" t="str">
        <f>""</f>
        <v/>
      </c>
      <c r="G928" t="str">
        <f>"2008274"</f>
        <v>2008274</v>
      </c>
      <c r="H928" t="str">
        <f>"ADD OUTLET FOR AC UNIT/AG EXT"</f>
        <v>ADD OUTLET FOR AC UNIT/AG EXT</v>
      </c>
      <c r="I928" s="2">
        <v>472.5</v>
      </c>
      <c r="J928" t="str">
        <f>"ADD OUTLET FOR AC UNIT/AG EXT"</f>
        <v>ADD OUTLET FOR AC UNIT/AG EXT</v>
      </c>
    </row>
    <row r="929" spans="1:10" x14ac:dyDescent="0.3">
      <c r="A929" t="str">
        <f>""</f>
        <v/>
      </c>
      <c r="G929" t="str">
        <f>"2008276"</f>
        <v>2008276</v>
      </c>
      <c r="H929" t="str">
        <f>"REMOVE OUTLET/SWITCH-JUV PROB"</f>
        <v>REMOVE OUTLET/SWITCH-JUV PROB</v>
      </c>
      <c r="I929" s="2">
        <v>403.65</v>
      </c>
      <c r="J929" t="str">
        <f>"REMOVE OUTLET/SWITCH-JUV PROB"</f>
        <v>REMOVE OUTLET/SWITCH-JUV PROB</v>
      </c>
    </row>
    <row r="930" spans="1:10" x14ac:dyDescent="0.3">
      <c r="A930" t="str">
        <f>""</f>
        <v/>
      </c>
      <c r="G930" t="str">
        <f>"2008277"</f>
        <v>2008277</v>
      </c>
      <c r="H930" t="str">
        <f>"MODIFY 200AMP LOOP/ANIMAL SHEL"</f>
        <v>MODIFY 200AMP LOOP/ANIMAL SHEL</v>
      </c>
      <c r="I930" s="2">
        <v>532.25</v>
      </c>
      <c r="J930" t="str">
        <f>"MODIFY 200AMP LOOP/ANIMAL SHEL"</f>
        <v>MODIFY 200AMP LOOP/ANIMAL SHEL</v>
      </c>
    </row>
    <row r="931" spans="1:10" x14ac:dyDescent="0.3">
      <c r="A931" t="str">
        <f>"002370"</f>
        <v>002370</v>
      </c>
      <c r="B931" t="s">
        <v>333</v>
      </c>
      <c r="C931">
        <v>71777</v>
      </c>
      <c r="D931" s="2">
        <v>5586.1</v>
      </c>
      <c r="E931" s="1">
        <v>42940</v>
      </c>
      <c r="F931" t="s">
        <v>11</v>
      </c>
      <c r="G931" t="str">
        <f>"2008270"</f>
        <v>2008270</v>
      </c>
      <c r="H931" t="str">
        <f>"TOWER INSTALL-ANIMAL SVCS"</f>
        <v>TOWER INSTALL-ANIMAL SVCS</v>
      </c>
      <c r="I931" s="2">
        <v>3750</v>
      </c>
      <c r="J931" t="str">
        <f>"TOWER INSTALL-ANIMAL SVCS"</f>
        <v>TOWER INSTALL-ANIMAL SVCS</v>
      </c>
    </row>
    <row r="932" spans="1:10" x14ac:dyDescent="0.3">
      <c r="A932" t="str">
        <f>""</f>
        <v/>
      </c>
      <c r="G932" t="str">
        <f>"2008280"</f>
        <v>2008280</v>
      </c>
      <c r="H932" t="str">
        <f>"INSTALL CONDUIT &amp; WIRING"</f>
        <v>INSTALL CONDUIT &amp; WIRING</v>
      </c>
      <c r="I932" s="2">
        <v>634.6</v>
      </c>
      <c r="J932" t="str">
        <f>"INSTALL CONDUIT &amp; WIRING"</f>
        <v>INSTALL CONDUIT &amp; WIRING</v>
      </c>
    </row>
    <row r="933" spans="1:10" x14ac:dyDescent="0.3">
      <c r="A933" t="str">
        <f>""</f>
        <v/>
      </c>
      <c r="G933" t="str">
        <f>"2008281"</f>
        <v>2008281</v>
      </c>
      <c r="H933" t="str">
        <f>"ADD OUTLETFOR A/C-BOOTCAMP"</f>
        <v>ADD OUTLETFOR A/C-BOOTCAMP</v>
      </c>
      <c r="I933" s="2">
        <v>387.4</v>
      </c>
      <c r="J933" t="str">
        <f>"ADD OUTLETFOR A/C-BOOTCAMP"</f>
        <v>ADD OUTLETFOR A/C-BOOTCAMP</v>
      </c>
    </row>
    <row r="934" spans="1:10" x14ac:dyDescent="0.3">
      <c r="A934" t="str">
        <f>""</f>
        <v/>
      </c>
      <c r="G934" t="str">
        <f>"2008282"</f>
        <v>2008282</v>
      </c>
      <c r="H934" t="str">
        <f>"ADD OUTLET/CRT HSE ANNEX"</f>
        <v>ADD OUTLET/CRT HSE ANNEX</v>
      </c>
      <c r="I934" s="2">
        <v>338.9</v>
      </c>
      <c r="J934" t="str">
        <f>"ADD OUTLET/CRT HSE ANNEX"</f>
        <v>ADD OUTLET/CRT HSE ANNEX</v>
      </c>
    </row>
    <row r="935" spans="1:10" x14ac:dyDescent="0.3">
      <c r="A935" t="str">
        <f>""</f>
        <v/>
      </c>
      <c r="G935" t="str">
        <f>"2008283"</f>
        <v>2008283</v>
      </c>
      <c r="H935" t="str">
        <f>"ADD CIRCUIT FOR WTR HTR/CRTHSE"</f>
        <v>ADD CIRCUIT FOR WTR HTR/CRTHSE</v>
      </c>
      <c r="I935" s="2">
        <v>171</v>
      </c>
      <c r="J935" t="str">
        <f>"ADD CIRCUIT FOR WTR HTR/CRTHSE"</f>
        <v>ADD CIRCUIT FOR WTR HTR/CRTHSE</v>
      </c>
    </row>
    <row r="936" spans="1:10" x14ac:dyDescent="0.3">
      <c r="A936" t="str">
        <f>""</f>
        <v/>
      </c>
      <c r="G936" t="str">
        <f>"2008284"</f>
        <v>2008284</v>
      </c>
      <c r="H936" t="str">
        <f>"ADD OUTLET/OLD COURTHOUSE"</f>
        <v>ADD OUTLET/OLD COURTHOUSE</v>
      </c>
      <c r="I936" s="2">
        <v>304.2</v>
      </c>
      <c r="J936" t="str">
        <f>"ADD OUTLET/OLD COURTHOUSE"</f>
        <v>ADD OUTLET/OLD COURTHOUSE</v>
      </c>
    </row>
    <row r="937" spans="1:10" x14ac:dyDescent="0.3">
      <c r="A937" t="str">
        <f>"WEBSTE"</f>
        <v>WEBSTE</v>
      </c>
      <c r="B937" t="s">
        <v>334</v>
      </c>
      <c r="C937">
        <v>71778</v>
      </c>
      <c r="D937" s="2">
        <v>4207.18</v>
      </c>
      <c r="E937" s="1">
        <v>42940</v>
      </c>
      <c r="F937" t="s">
        <v>11</v>
      </c>
      <c r="G937" t="str">
        <f>"201707143626"</f>
        <v>201707143626</v>
      </c>
      <c r="H937" t="str">
        <f>"ACCT#0200140783/ANIMAL SHELTER"</f>
        <v>ACCT#0200140783/ANIMAL SHELTER</v>
      </c>
      <c r="I937" s="2">
        <v>4207.18</v>
      </c>
      <c r="J937" t="str">
        <f>"ACCT#0200140783/ANIMAL SHELTER"</f>
        <v>ACCT#0200140783/ANIMAL SHELTER</v>
      </c>
    </row>
    <row r="938" spans="1:10" x14ac:dyDescent="0.3">
      <c r="A938" t="str">
        <f>""</f>
        <v/>
      </c>
      <c r="G938" t="str">
        <f>""</f>
        <v/>
      </c>
      <c r="H938" t="str">
        <f>""</f>
        <v/>
      </c>
      <c r="J938" t="str">
        <f>"ACCT#0200140783/ANIMAL SHELTER"</f>
        <v>ACCT#0200140783/ANIMAL SHELTER</v>
      </c>
    </row>
    <row r="939" spans="1:10" x14ac:dyDescent="0.3">
      <c r="A939" t="str">
        <f>""</f>
        <v/>
      </c>
      <c r="G939" t="str">
        <f>""</f>
        <v/>
      </c>
      <c r="H939" t="str">
        <f>""</f>
        <v/>
      </c>
      <c r="J939" t="str">
        <f>"ACCT#0200140783/ANIMAL SHELTER"</f>
        <v>ACCT#0200140783/ANIMAL SHELTER</v>
      </c>
    </row>
    <row r="940" spans="1:10" x14ac:dyDescent="0.3">
      <c r="A940" t="str">
        <f>"001854"</f>
        <v>001854</v>
      </c>
      <c r="B940" t="s">
        <v>335</v>
      </c>
      <c r="C940">
        <v>71473</v>
      </c>
      <c r="D940" s="2">
        <v>286</v>
      </c>
      <c r="E940" s="1">
        <v>42926</v>
      </c>
      <c r="F940" t="s">
        <v>11</v>
      </c>
      <c r="G940" t="str">
        <f>"201707063376"</f>
        <v>201707063376</v>
      </c>
      <c r="H940" t="str">
        <f>"06/26/17 - 06/29/17"</f>
        <v>06/26/17 - 06/29/17</v>
      </c>
      <c r="I940" s="2">
        <v>214.5</v>
      </c>
      <c r="J940" t="str">
        <f>"06/26/17 - 06/29/17"</f>
        <v>06/26/17 - 06/29/17</v>
      </c>
    </row>
    <row r="941" spans="1:10" x14ac:dyDescent="0.3">
      <c r="A941" t="str">
        <f>""</f>
        <v/>
      </c>
      <c r="G941" t="str">
        <f>"201707063377"</f>
        <v>201707063377</v>
      </c>
      <c r="H941" t="str">
        <f>"07/01/17 - 07/06/17"</f>
        <v>07/01/17 - 07/06/17</v>
      </c>
      <c r="I941" s="2">
        <v>71.5</v>
      </c>
      <c r="J941" t="str">
        <f>"07/01/17 - 07/06/17"</f>
        <v>07/01/17 - 07/06/17</v>
      </c>
    </row>
    <row r="942" spans="1:10" x14ac:dyDescent="0.3">
      <c r="A942" t="str">
        <f>"001854"</f>
        <v>001854</v>
      </c>
      <c r="B942" t="s">
        <v>335</v>
      </c>
      <c r="C942">
        <v>71779</v>
      </c>
      <c r="D942" s="2">
        <v>442</v>
      </c>
      <c r="E942" s="1">
        <v>42940</v>
      </c>
      <c r="F942" t="s">
        <v>11</v>
      </c>
      <c r="G942" t="str">
        <f>"201707183672"</f>
        <v>201707183672</v>
      </c>
      <c r="H942" t="str">
        <f>"TRASH REMOVAL/PCT #4"</f>
        <v>TRASH REMOVAL/PCT #4</v>
      </c>
      <c r="I942" s="2">
        <v>442</v>
      </c>
      <c r="J942" t="str">
        <f>"TRASH REMOVAL/PCT #4"</f>
        <v>TRASH REMOVAL/PCT #4</v>
      </c>
    </row>
    <row r="943" spans="1:10" x14ac:dyDescent="0.3">
      <c r="A943" t="str">
        <f>"PET"</f>
        <v>PET</v>
      </c>
      <c r="B943" t="s">
        <v>336</v>
      </c>
      <c r="C943">
        <v>71780</v>
      </c>
      <c r="D943" s="2">
        <v>6379.1</v>
      </c>
      <c r="E943" s="1">
        <v>42940</v>
      </c>
      <c r="F943" t="s">
        <v>11</v>
      </c>
      <c r="G943" t="str">
        <f>"SIUN10243339"</f>
        <v>SIUN10243339</v>
      </c>
      <c r="H943" t="str">
        <f>"CUST#000000233/ANIMAL SHELTER"</f>
        <v>CUST#000000233/ANIMAL SHELTER</v>
      </c>
      <c r="I943" s="2">
        <v>6350</v>
      </c>
      <c r="J943" t="str">
        <f>"CUST#000000233/ANIMAL SHELTER"</f>
        <v>CUST#000000233/ANIMAL SHELTER</v>
      </c>
    </row>
    <row r="944" spans="1:10" x14ac:dyDescent="0.3">
      <c r="A944" t="str">
        <f>""</f>
        <v/>
      </c>
      <c r="G944" t="str">
        <f>"SIUN10267529"</f>
        <v>SIUN10267529</v>
      </c>
      <c r="H944" t="str">
        <f>"ACCT#CUN000000233"</f>
        <v>ACCT#CUN000000233</v>
      </c>
      <c r="I944" s="2">
        <v>29.1</v>
      </c>
      <c r="J944" t="str">
        <f>"ACCT#CUN000000233"</f>
        <v>ACCT#CUN000000233</v>
      </c>
    </row>
    <row r="945" spans="1:10" x14ac:dyDescent="0.3">
      <c r="A945" t="str">
        <f>"PRD"</f>
        <v>PRD</v>
      </c>
      <c r="B945" t="s">
        <v>337</v>
      </c>
      <c r="C945">
        <v>71474</v>
      </c>
      <c r="D945" s="2">
        <v>2126</v>
      </c>
      <c r="E945" s="1">
        <v>42926</v>
      </c>
      <c r="F945" t="s">
        <v>11</v>
      </c>
      <c r="G945" t="str">
        <f>"201707063428"</f>
        <v>201707063428</v>
      </c>
      <c r="H945" t="str">
        <f>"54968"</f>
        <v>54968</v>
      </c>
      <c r="I945" s="2">
        <v>250</v>
      </c>
      <c r="J945" t="str">
        <f>"54968"</f>
        <v>54968</v>
      </c>
    </row>
    <row r="946" spans="1:10" x14ac:dyDescent="0.3">
      <c r="A946" t="str">
        <f>""</f>
        <v/>
      </c>
      <c r="G946" t="str">
        <f>"201707063429"</f>
        <v>201707063429</v>
      </c>
      <c r="H946" t="str">
        <f>"54817"</f>
        <v>54817</v>
      </c>
      <c r="I946" s="2">
        <v>250</v>
      </c>
      <c r="J946" t="str">
        <f>"54817"</f>
        <v>54817</v>
      </c>
    </row>
    <row r="947" spans="1:10" x14ac:dyDescent="0.3">
      <c r="A947" t="str">
        <f>""</f>
        <v/>
      </c>
      <c r="G947" t="str">
        <f>"201707063430"</f>
        <v>201707063430</v>
      </c>
      <c r="H947" t="str">
        <f>"16-17819"</f>
        <v>16-17819</v>
      </c>
      <c r="I947" s="2">
        <v>265</v>
      </c>
      <c r="J947" t="str">
        <f>"16-17819"</f>
        <v>16-17819</v>
      </c>
    </row>
    <row r="948" spans="1:10" x14ac:dyDescent="0.3">
      <c r="A948" t="str">
        <f>""</f>
        <v/>
      </c>
      <c r="G948" t="str">
        <f>"201707063431"</f>
        <v>201707063431</v>
      </c>
      <c r="H948" t="str">
        <f>"16-18105"</f>
        <v>16-18105</v>
      </c>
      <c r="I948" s="2">
        <v>408</v>
      </c>
      <c r="J948" t="str">
        <f>"16-18105"</f>
        <v>16-18105</v>
      </c>
    </row>
    <row r="949" spans="1:10" x14ac:dyDescent="0.3">
      <c r="A949" t="str">
        <f>""</f>
        <v/>
      </c>
      <c r="G949" t="str">
        <f>"201707063432"</f>
        <v>201707063432</v>
      </c>
      <c r="H949" t="str">
        <f>"17-18119"</f>
        <v>17-18119</v>
      </c>
      <c r="I949" s="2">
        <v>355</v>
      </c>
      <c r="J949" t="str">
        <f>"17-18119"</f>
        <v>17-18119</v>
      </c>
    </row>
    <row r="950" spans="1:10" x14ac:dyDescent="0.3">
      <c r="A950" t="str">
        <f>""</f>
        <v/>
      </c>
      <c r="G950" t="str">
        <f>"201707063433"</f>
        <v>201707063433</v>
      </c>
      <c r="H950" t="str">
        <f>"16-17910"</f>
        <v>16-17910</v>
      </c>
      <c r="I950" s="2">
        <v>265</v>
      </c>
      <c r="J950" t="str">
        <f>"16-17910"</f>
        <v>16-17910</v>
      </c>
    </row>
    <row r="951" spans="1:10" x14ac:dyDescent="0.3">
      <c r="A951" t="str">
        <f>""</f>
        <v/>
      </c>
      <c r="G951" t="str">
        <f>"201707063434"</f>
        <v>201707063434</v>
      </c>
      <c r="H951" t="str">
        <f>"16-17841"</f>
        <v>16-17841</v>
      </c>
      <c r="I951" s="2">
        <v>333</v>
      </c>
      <c r="J951" t="str">
        <f>"16-17841"</f>
        <v>16-17841</v>
      </c>
    </row>
    <row r="952" spans="1:10" x14ac:dyDescent="0.3">
      <c r="A952" t="str">
        <f>"PRD"</f>
        <v>PRD</v>
      </c>
      <c r="B952" t="s">
        <v>337</v>
      </c>
      <c r="C952">
        <v>71781</v>
      </c>
      <c r="D952" s="2">
        <v>590</v>
      </c>
      <c r="E952" s="1">
        <v>42940</v>
      </c>
      <c r="F952" t="s">
        <v>11</v>
      </c>
      <c r="G952" t="str">
        <f>"201707193744"</f>
        <v>201707193744</v>
      </c>
      <c r="H952" t="str">
        <f>"14-16916"</f>
        <v>14-16916</v>
      </c>
      <c r="I952" s="2">
        <v>205</v>
      </c>
      <c r="J952" t="str">
        <f>"14-16916"</f>
        <v>14-16916</v>
      </c>
    </row>
    <row r="953" spans="1:10" x14ac:dyDescent="0.3">
      <c r="A953" t="str">
        <f>""</f>
        <v/>
      </c>
      <c r="G953" t="str">
        <f>"201707193745"</f>
        <v>201707193745</v>
      </c>
      <c r="H953" t="str">
        <f>"16-17687"</f>
        <v>16-17687</v>
      </c>
      <c r="I953" s="2">
        <v>385</v>
      </c>
      <c r="J953" t="str">
        <f>"16-17687"</f>
        <v>16-17687</v>
      </c>
    </row>
    <row r="954" spans="1:10" x14ac:dyDescent="0.3">
      <c r="A954" t="str">
        <f>"PCAS"</f>
        <v>PCAS</v>
      </c>
      <c r="B954" t="s">
        <v>338</v>
      </c>
      <c r="C954">
        <v>71782</v>
      </c>
      <c r="D954" s="2">
        <v>40</v>
      </c>
      <c r="E954" s="1">
        <v>42940</v>
      </c>
      <c r="F954" t="s">
        <v>11</v>
      </c>
      <c r="G954" t="str">
        <f>"003103"</f>
        <v>003103</v>
      </c>
      <c r="H954" t="str">
        <f>"INSPECTION-2008 FRHT #1149392"</f>
        <v>INSPECTION-2008 FRHT #1149392</v>
      </c>
      <c r="I954" s="2">
        <v>40</v>
      </c>
      <c r="J954" t="str">
        <f>"INSPECTION-2008 FRHT #1149392"</f>
        <v>INSPECTION-2008 FRHT #1149392</v>
      </c>
    </row>
    <row r="955" spans="1:10" x14ac:dyDescent="0.3">
      <c r="A955" t="str">
        <f>"T9047"</f>
        <v>T9047</v>
      </c>
      <c r="B955" t="s">
        <v>339</v>
      </c>
      <c r="C955">
        <v>71783</v>
      </c>
      <c r="D955" s="2">
        <v>32.25</v>
      </c>
      <c r="E955" s="1">
        <v>42940</v>
      </c>
      <c r="F955" t="s">
        <v>11</v>
      </c>
      <c r="G955" t="str">
        <f>"1004543866"</f>
        <v>1004543866</v>
      </c>
      <c r="H955" t="str">
        <f>"INV 1004543866"</f>
        <v>INV 1004543866</v>
      </c>
      <c r="I955" s="2">
        <v>32.25</v>
      </c>
      <c r="J955" t="str">
        <f>"INV 1004543866"</f>
        <v>INV 1004543866</v>
      </c>
    </row>
    <row r="956" spans="1:10" x14ac:dyDescent="0.3">
      <c r="A956" t="str">
        <f>"PB"</f>
        <v>PB</v>
      </c>
      <c r="B956" t="s">
        <v>340</v>
      </c>
      <c r="C956">
        <v>71784</v>
      </c>
      <c r="D956" s="2">
        <v>1653</v>
      </c>
      <c r="E956" s="1">
        <v>42940</v>
      </c>
      <c r="F956" t="s">
        <v>11</v>
      </c>
      <c r="G956" t="str">
        <f>"3303943706"</f>
        <v>3303943706</v>
      </c>
      <c r="H956" t="str">
        <f>"ACCT#0011198047/POSTAGE"</f>
        <v>ACCT#0011198047/POSTAGE</v>
      </c>
      <c r="I956" s="2">
        <v>1653</v>
      </c>
      <c r="J956" t="str">
        <f>"ACCT#0011198047/POSTAGE"</f>
        <v>ACCT#0011198047/POSTAGE</v>
      </c>
    </row>
    <row r="957" spans="1:10" x14ac:dyDescent="0.3">
      <c r="A957" t="str">
        <f>"003293"</f>
        <v>003293</v>
      </c>
      <c r="B957" t="s">
        <v>341</v>
      </c>
      <c r="C957">
        <v>71785</v>
      </c>
      <c r="D957" s="2">
        <v>3355</v>
      </c>
      <c r="E957" s="1">
        <v>42940</v>
      </c>
      <c r="F957" t="s">
        <v>11</v>
      </c>
      <c r="G957" t="str">
        <f>"201707183705"</f>
        <v>201707183705</v>
      </c>
      <c r="H957" t="str">
        <f>"54 496"</f>
        <v>54 496</v>
      </c>
      <c r="I957" s="2">
        <v>250</v>
      </c>
      <c r="J957" t="str">
        <f>"54 496"</f>
        <v>54 496</v>
      </c>
    </row>
    <row r="958" spans="1:10" x14ac:dyDescent="0.3">
      <c r="A958" t="str">
        <f>""</f>
        <v/>
      </c>
      <c r="G958" t="str">
        <f>"201707193746"</f>
        <v>201707193746</v>
      </c>
      <c r="H958" t="str">
        <f>"16-17944 2/26/17"</f>
        <v>16-17944 2/26/17</v>
      </c>
      <c r="I958" s="2">
        <v>567.5</v>
      </c>
      <c r="J958" t="str">
        <f>"16-17944 2/26/17"</f>
        <v>16-17944 2/26/17</v>
      </c>
    </row>
    <row r="959" spans="1:10" x14ac:dyDescent="0.3">
      <c r="A959" t="str">
        <f>""</f>
        <v/>
      </c>
      <c r="G959" t="str">
        <f>"201707193747"</f>
        <v>201707193747</v>
      </c>
      <c r="H959" t="str">
        <f>"16-17698 2/26/17"</f>
        <v>16-17698 2/26/17</v>
      </c>
      <c r="I959" s="2">
        <v>692.5</v>
      </c>
      <c r="J959" t="str">
        <f>"16-17698"</f>
        <v>16-17698</v>
      </c>
    </row>
    <row r="960" spans="1:10" x14ac:dyDescent="0.3">
      <c r="A960" t="str">
        <f>""</f>
        <v/>
      </c>
      <c r="G960" t="str">
        <f>"201707193748"</f>
        <v>201707193748</v>
      </c>
      <c r="H960" t="str">
        <f>"16-17969 2/28/17"</f>
        <v>16-17969 2/28/17</v>
      </c>
      <c r="I960" s="2">
        <v>370</v>
      </c>
      <c r="J960" t="str">
        <f>"16-17969"</f>
        <v>16-17969</v>
      </c>
    </row>
    <row r="961" spans="1:10" x14ac:dyDescent="0.3">
      <c r="A961" t="str">
        <f>""</f>
        <v/>
      </c>
      <c r="G961" t="str">
        <f>"201707193749"</f>
        <v>201707193749</v>
      </c>
      <c r="H961" t="str">
        <f>"16-17894"</f>
        <v>16-17894</v>
      </c>
      <c r="I961" s="2">
        <v>37.5</v>
      </c>
      <c r="J961" t="str">
        <f>"16-17894"</f>
        <v>16-17894</v>
      </c>
    </row>
    <row r="962" spans="1:10" x14ac:dyDescent="0.3">
      <c r="A962" t="str">
        <f>""</f>
        <v/>
      </c>
      <c r="G962" t="str">
        <f>"201707193750"</f>
        <v>201707193750</v>
      </c>
      <c r="H962" t="str">
        <f>"15-17400 1/31/17"</f>
        <v>15-17400 1/31/17</v>
      </c>
      <c r="I962" s="2">
        <v>300</v>
      </c>
      <c r="J962" t="str">
        <f>"15-17400 1/31/17"</f>
        <v>15-17400 1/31/17</v>
      </c>
    </row>
    <row r="963" spans="1:10" x14ac:dyDescent="0.3">
      <c r="A963" t="str">
        <f>""</f>
        <v/>
      </c>
      <c r="G963" t="str">
        <f>"201707193751"</f>
        <v>201707193751</v>
      </c>
      <c r="H963" t="str">
        <f>"16-17765 2/28/17"</f>
        <v>16-17765 2/28/17</v>
      </c>
      <c r="I963" s="2">
        <v>52.5</v>
      </c>
      <c r="J963" t="str">
        <f>"16-17765 2/28/17"</f>
        <v>16-17765 2/28/17</v>
      </c>
    </row>
    <row r="964" spans="1:10" x14ac:dyDescent="0.3">
      <c r="A964" t="str">
        <f>""</f>
        <v/>
      </c>
      <c r="G964" t="str">
        <f>"201707193752"</f>
        <v>201707193752</v>
      </c>
      <c r="H964" t="str">
        <f>"17-18120 2/28/17"</f>
        <v>17-18120 2/28/17</v>
      </c>
      <c r="I964" s="2">
        <v>160</v>
      </c>
      <c r="J964" t="str">
        <f>"17-18120 2/28/17"</f>
        <v>17-18120 2/28/17</v>
      </c>
    </row>
    <row r="965" spans="1:10" x14ac:dyDescent="0.3">
      <c r="A965" t="str">
        <f>""</f>
        <v/>
      </c>
      <c r="G965" t="str">
        <f>"201707193753"</f>
        <v>201707193753</v>
      </c>
      <c r="H965" t="str">
        <f>"16-17910 2/28/17"</f>
        <v>16-17910 2/28/17</v>
      </c>
      <c r="I965" s="2">
        <v>300</v>
      </c>
      <c r="J965" t="str">
        <f>"16-17910 2/28/17"</f>
        <v>16-17910 2/28/17</v>
      </c>
    </row>
    <row r="966" spans="1:10" x14ac:dyDescent="0.3">
      <c r="A966" t="str">
        <f>""</f>
        <v/>
      </c>
      <c r="G966" t="str">
        <f>"201707193754"</f>
        <v>201707193754</v>
      </c>
      <c r="H966" t="str">
        <f>"15-17111 2/10/17"</f>
        <v>15-17111 2/10/17</v>
      </c>
      <c r="I966" s="2">
        <v>30</v>
      </c>
      <c r="J966" t="str">
        <f>"15-17111 2/10/17"</f>
        <v>15-17111 2/10/17</v>
      </c>
    </row>
    <row r="967" spans="1:10" x14ac:dyDescent="0.3">
      <c r="A967" t="str">
        <f>""</f>
        <v/>
      </c>
      <c r="G967" t="str">
        <f>"201707193755"</f>
        <v>201707193755</v>
      </c>
      <c r="H967" t="str">
        <f>"16-17709 2/28/17"</f>
        <v>16-17709 2/28/17</v>
      </c>
      <c r="I967" s="2">
        <v>347.5</v>
      </c>
      <c r="J967" t="str">
        <f>"16-17709 2/28/17"</f>
        <v>16-17709 2/28/17</v>
      </c>
    </row>
    <row r="968" spans="1:10" x14ac:dyDescent="0.3">
      <c r="A968" t="str">
        <f>""</f>
        <v/>
      </c>
      <c r="G968" t="str">
        <f>"201707193756"</f>
        <v>201707193756</v>
      </c>
      <c r="H968" t="str">
        <f>"16-17760 2/17/17"</f>
        <v>16-17760 2/17/17</v>
      </c>
      <c r="I968" s="2">
        <v>52.5</v>
      </c>
      <c r="J968" t="str">
        <f>"16-17760 2/17/17"</f>
        <v>16-17760 2/17/17</v>
      </c>
    </row>
    <row r="969" spans="1:10" x14ac:dyDescent="0.3">
      <c r="A969" t="str">
        <f>""</f>
        <v/>
      </c>
      <c r="G969" t="str">
        <f>"201707193757"</f>
        <v>201707193757</v>
      </c>
      <c r="H969" t="str">
        <f>"16-17909 2/28/17"</f>
        <v>16-17909 2/28/17</v>
      </c>
      <c r="I969" s="2">
        <v>195</v>
      </c>
      <c r="J969" t="str">
        <f>"16-17909 2/28/17"</f>
        <v>16-17909 2/28/17</v>
      </c>
    </row>
    <row r="970" spans="1:10" x14ac:dyDescent="0.3">
      <c r="A970" t="str">
        <f>"T11244"</f>
        <v>T11244</v>
      </c>
      <c r="B970" t="s">
        <v>342</v>
      </c>
      <c r="C970">
        <v>71786</v>
      </c>
      <c r="D970" s="2">
        <v>281</v>
      </c>
      <c r="E970" s="1">
        <v>42940</v>
      </c>
      <c r="F970" t="s">
        <v>11</v>
      </c>
      <c r="G970" t="str">
        <f>"IO70375"</f>
        <v>IO70375</v>
      </c>
      <c r="H970" t="str">
        <f>"WORKORDER#W063060/PARTS"</f>
        <v>WORKORDER#W063060/PARTS</v>
      </c>
      <c r="I970" s="2">
        <v>281</v>
      </c>
      <c r="J970" t="str">
        <f>"WORKORDER#W063060/PARTS"</f>
        <v>WORKORDER#W063060/PARTS</v>
      </c>
    </row>
    <row r="971" spans="1:10" x14ac:dyDescent="0.3">
      <c r="A971" t="str">
        <f>"004260"</f>
        <v>004260</v>
      </c>
      <c r="B971" t="s">
        <v>343</v>
      </c>
      <c r="C971">
        <v>71787</v>
      </c>
      <c r="D971" s="2">
        <v>51.86</v>
      </c>
      <c r="E971" s="1">
        <v>42940</v>
      </c>
      <c r="F971" t="s">
        <v>11</v>
      </c>
      <c r="G971" t="str">
        <f>"4243"</f>
        <v>4243</v>
      </c>
      <c r="H971" t="str">
        <f>"JAIL MEDICAL/PROVIDER#129"</f>
        <v>JAIL MEDICAL/PROVIDER#129</v>
      </c>
      <c r="I971" s="2">
        <v>51.86</v>
      </c>
      <c r="J971" t="str">
        <f>"JAIL MEDICAL"</f>
        <v>JAIL MEDICAL</v>
      </c>
    </row>
    <row r="972" spans="1:10" x14ac:dyDescent="0.3">
      <c r="A972" t="str">
        <f>"004709"</f>
        <v>004709</v>
      </c>
      <c r="B972" t="s">
        <v>344</v>
      </c>
      <c r="C972">
        <v>71788</v>
      </c>
      <c r="D972" s="2">
        <v>295</v>
      </c>
      <c r="E972" s="1">
        <v>42940</v>
      </c>
      <c r="F972" t="s">
        <v>11</v>
      </c>
      <c r="G972" t="str">
        <f>"219574"</f>
        <v>219574</v>
      </c>
      <c r="H972" t="str">
        <f>"INVOICE 219574"</f>
        <v>INVOICE 219574</v>
      </c>
      <c r="I972" s="2">
        <v>295</v>
      </c>
      <c r="J972" t="str">
        <f>"INVOICE 219574"</f>
        <v>INVOICE 219574</v>
      </c>
    </row>
    <row r="973" spans="1:10" x14ac:dyDescent="0.3">
      <c r="A973" t="str">
        <f>"T3233"</f>
        <v>T3233</v>
      </c>
      <c r="B973" t="s">
        <v>345</v>
      </c>
      <c r="C973">
        <v>71475</v>
      </c>
      <c r="D973" s="2">
        <v>86.55</v>
      </c>
      <c r="E973" s="1">
        <v>42926</v>
      </c>
      <c r="F973" t="s">
        <v>11</v>
      </c>
      <c r="G973" t="str">
        <f>"7883845"</f>
        <v>7883845</v>
      </c>
      <c r="H973" t="str">
        <f>"Acct# C6796564"</f>
        <v>Acct# C6796564</v>
      </c>
      <c r="I973" s="2">
        <v>86.55</v>
      </c>
      <c r="J973" t="str">
        <f>"Inv# 7883845"</f>
        <v>Inv# 7883845</v>
      </c>
    </row>
    <row r="974" spans="1:10" x14ac:dyDescent="0.3">
      <c r="A974" t="str">
        <f>"T3233"</f>
        <v>T3233</v>
      </c>
      <c r="B974" t="s">
        <v>345</v>
      </c>
      <c r="C974">
        <v>71789</v>
      </c>
      <c r="D974" s="2">
        <v>247.09</v>
      </c>
      <c r="E974" s="1">
        <v>42940</v>
      </c>
      <c r="F974" t="s">
        <v>11</v>
      </c>
      <c r="G974" t="str">
        <f>"7950044"</f>
        <v>7950044</v>
      </c>
      <c r="H974" t="str">
        <f>"OFFICE SUPPLIES"</f>
        <v>OFFICE SUPPLIES</v>
      </c>
      <c r="I974" s="2">
        <v>247.09</v>
      </c>
      <c r="J974" t="str">
        <f>"OFFICE SUPPLIES"</f>
        <v>OFFICE SUPPLIES</v>
      </c>
    </row>
    <row r="975" spans="1:10" x14ac:dyDescent="0.3">
      <c r="A975" t="str">
        <f>"000293"</f>
        <v>000293</v>
      </c>
      <c r="B975" t="s">
        <v>346</v>
      </c>
      <c r="C975">
        <v>71790</v>
      </c>
      <c r="D975" s="2">
        <v>947</v>
      </c>
      <c r="E975" s="1">
        <v>42940</v>
      </c>
      <c r="F975" t="s">
        <v>11</v>
      </c>
      <c r="G975" t="str">
        <f>"038298"</f>
        <v>038298</v>
      </c>
      <c r="H975" t="str">
        <f>"LOCK REPAIR INV038298"</f>
        <v>LOCK REPAIR INV038298</v>
      </c>
      <c r="I975" s="2">
        <v>947</v>
      </c>
      <c r="J975" t="str">
        <f>"LOCK REPAIR INV038298"</f>
        <v>LOCK REPAIR INV038298</v>
      </c>
    </row>
    <row r="976" spans="1:10" x14ac:dyDescent="0.3">
      <c r="A976" t="str">
        <f>"004864"</f>
        <v>004864</v>
      </c>
      <c r="B976" t="s">
        <v>347</v>
      </c>
      <c r="C976">
        <v>71476</v>
      </c>
      <c r="D976" s="2">
        <v>83874</v>
      </c>
      <c r="E976" s="1">
        <v>42926</v>
      </c>
      <c r="F976" t="s">
        <v>11</v>
      </c>
      <c r="G976" t="str">
        <f>"7244"</f>
        <v>7244</v>
      </c>
      <c r="H976" t="str">
        <f>"MODULAR OFFICE BLDG"</f>
        <v>MODULAR OFFICE BLDG</v>
      </c>
      <c r="I976" s="2">
        <v>83874</v>
      </c>
      <c r="J976" t="str">
        <f>"MODULAR OFFICE BLDG"</f>
        <v>MODULAR OFFICE BLDG</v>
      </c>
    </row>
    <row r="977" spans="1:10" x14ac:dyDescent="0.3">
      <c r="A977" t="str">
        <f>"005130"</f>
        <v>005130</v>
      </c>
      <c r="B977" t="s">
        <v>348</v>
      </c>
      <c r="C977">
        <v>71477</v>
      </c>
      <c r="D977" s="2">
        <v>300</v>
      </c>
      <c r="E977" s="1">
        <v>42926</v>
      </c>
      <c r="F977" t="s">
        <v>11</v>
      </c>
      <c r="G977" t="str">
        <f>"10523001"</f>
        <v>10523001</v>
      </c>
      <c r="H977" t="str">
        <f>"10 HOURS"</f>
        <v>10 HOURS</v>
      </c>
      <c r="I977" s="2">
        <v>300</v>
      </c>
      <c r="J977" t="str">
        <f>"10 HOURS"</f>
        <v>10 HOURS</v>
      </c>
    </row>
    <row r="978" spans="1:10" x14ac:dyDescent="0.3">
      <c r="A978" t="str">
        <f>"005130"</f>
        <v>005130</v>
      </c>
      <c r="B978" t="s">
        <v>348</v>
      </c>
      <c r="C978">
        <v>71791</v>
      </c>
      <c r="D978" s="2">
        <v>630</v>
      </c>
      <c r="E978" s="1">
        <v>42940</v>
      </c>
      <c r="F978" t="s">
        <v>11</v>
      </c>
      <c r="G978" t="str">
        <f>"10523003"</f>
        <v>10523003</v>
      </c>
      <c r="H978" t="str">
        <f>"21 HOURS/LABOR"</f>
        <v>21 HOURS/LABOR</v>
      </c>
      <c r="I978" s="2">
        <v>630</v>
      </c>
      <c r="J978" t="str">
        <f>"21 HOURS/LABOR"</f>
        <v>21 HOURS/LABOR</v>
      </c>
    </row>
    <row r="979" spans="1:10" x14ac:dyDescent="0.3">
      <c r="A979" t="str">
        <f>"005153"</f>
        <v>005153</v>
      </c>
      <c r="B979" t="s">
        <v>349</v>
      </c>
      <c r="C979">
        <v>71792</v>
      </c>
      <c r="D979" s="2">
        <v>564</v>
      </c>
      <c r="E979" s="1">
        <v>42940</v>
      </c>
      <c r="F979" t="s">
        <v>11</v>
      </c>
      <c r="G979" t="str">
        <f>"131993"</f>
        <v>131993</v>
      </c>
      <c r="H979" t="str">
        <f>"CAMPER ACC FOR FORD/PCT#4"</f>
        <v>CAMPER ACC FOR FORD/PCT#4</v>
      </c>
      <c r="I979" s="2">
        <v>564</v>
      </c>
      <c r="J979" t="str">
        <f>"CAMPER ACC FOR FORD/PCT#4"</f>
        <v>CAMPER ACC FOR FORD/PCT#4</v>
      </c>
    </row>
    <row r="980" spans="1:10" x14ac:dyDescent="0.3">
      <c r="A980" t="str">
        <f>"000591"</f>
        <v>000591</v>
      </c>
      <c r="B980" t="s">
        <v>350</v>
      </c>
      <c r="C980">
        <v>71478</v>
      </c>
      <c r="D980" s="2">
        <v>262.57</v>
      </c>
      <c r="E980" s="1">
        <v>42926</v>
      </c>
      <c r="F980" t="s">
        <v>11</v>
      </c>
      <c r="G980" t="str">
        <f>"07F0121569859"</f>
        <v>07F0121569859</v>
      </c>
      <c r="H980" t="str">
        <f>"ACCT#0121569859/JP#4"</f>
        <v>ACCT#0121569859/JP#4</v>
      </c>
      <c r="I980" s="2">
        <v>22.93</v>
      </c>
      <c r="J980" t="str">
        <f>"ACCT#0121569859/JP#4"</f>
        <v>ACCT#0121569859/JP#4</v>
      </c>
    </row>
    <row r="981" spans="1:10" x14ac:dyDescent="0.3">
      <c r="A981" t="str">
        <f>""</f>
        <v/>
      </c>
      <c r="G981" t="str">
        <f>"07F0121587851"</f>
        <v>07F0121587851</v>
      </c>
      <c r="H981" t="str">
        <f>"ACCT30121587851/PCT#4"</f>
        <v>ACCT30121587851/PCT#4</v>
      </c>
      <c r="I981" s="2">
        <v>239.64</v>
      </c>
      <c r="J981" t="str">
        <f>"ACCT30121587851/PCT#4"</f>
        <v>ACCT30121587851/PCT#4</v>
      </c>
    </row>
    <row r="982" spans="1:10" x14ac:dyDescent="0.3">
      <c r="A982" t="str">
        <f>"003737"</f>
        <v>003737</v>
      </c>
      <c r="B982" t="s">
        <v>351</v>
      </c>
      <c r="C982">
        <v>71359</v>
      </c>
      <c r="D982" s="2">
        <v>430.99</v>
      </c>
      <c r="E982" s="1">
        <v>42922</v>
      </c>
      <c r="F982" t="s">
        <v>11</v>
      </c>
      <c r="G982" t="str">
        <f>"0843-001349195"</f>
        <v>0843-001349195</v>
      </c>
      <c r="H982" t="str">
        <f>"ACCT #3-0843-1269216 / 062617"</f>
        <v>ACCT #3-0843-1269216 / 062617</v>
      </c>
      <c r="I982" s="2">
        <v>280.24</v>
      </c>
      <c r="J982" t="str">
        <f>"ACCT #3-0843-1269216 / 062617"</f>
        <v>ACCT #3-0843-1269216 / 062617</v>
      </c>
    </row>
    <row r="983" spans="1:10" x14ac:dyDescent="0.3">
      <c r="A983" t="str">
        <f>""</f>
        <v/>
      </c>
      <c r="G983" t="str">
        <f>"0843-001351382"</f>
        <v>0843-001351382</v>
      </c>
      <c r="H983" t="str">
        <f>"ACCT #3-0843-0041813 / 063017"</f>
        <v>ACCT #3-0843-0041813 / 063017</v>
      </c>
      <c r="I983" s="2">
        <v>150.75</v>
      </c>
      <c r="J983" t="str">
        <f>"REPUBLIC SERVICES INC BFI WAST"</f>
        <v>REPUBLIC SERVICES INC BFI WAST</v>
      </c>
    </row>
    <row r="984" spans="1:10" x14ac:dyDescent="0.3">
      <c r="A984" t="str">
        <f>"003737"</f>
        <v>003737</v>
      </c>
      <c r="B984" t="s">
        <v>351</v>
      </c>
      <c r="C984">
        <v>71548</v>
      </c>
      <c r="D984" s="2">
        <v>1797.84</v>
      </c>
      <c r="E984" s="1">
        <v>42935</v>
      </c>
      <c r="F984" t="s">
        <v>11</v>
      </c>
      <c r="G984" t="str">
        <f>"0843-001350644"</f>
        <v>0843-001350644</v>
      </c>
      <c r="H984" t="str">
        <f>"ACCT #3-0843-0017094 / 063017"</f>
        <v>ACCT #3-0843-0017094 / 063017</v>
      </c>
      <c r="I984" s="2">
        <v>1797.84</v>
      </c>
      <c r="J984" t="str">
        <f>"ACCT #3-0843-0017094 / 063017"</f>
        <v>ACCT #3-0843-0017094 / 063017</v>
      </c>
    </row>
    <row r="985" spans="1:10" x14ac:dyDescent="0.3">
      <c r="A985" t="str">
        <f>"004822"</f>
        <v>004822</v>
      </c>
      <c r="B985" t="s">
        <v>352</v>
      </c>
      <c r="C985">
        <v>71479</v>
      </c>
      <c r="D985" s="2">
        <v>225</v>
      </c>
      <c r="E985" s="1">
        <v>42926</v>
      </c>
      <c r="F985" t="s">
        <v>11</v>
      </c>
      <c r="G985" t="str">
        <f>"0000007704"</f>
        <v>0000007704</v>
      </c>
      <c r="H985" t="str">
        <f>"WK ORD#0000008518"</f>
        <v>WK ORD#0000008518</v>
      </c>
      <c r="I985" s="2">
        <v>225</v>
      </c>
      <c r="J985" t="str">
        <f>"WK ORD#0000008518"</f>
        <v>WK ORD#0000008518</v>
      </c>
    </row>
    <row r="986" spans="1:10" x14ac:dyDescent="0.3">
      <c r="A986" t="str">
        <f>"004766"</f>
        <v>004766</v>
      </c>
      <c r="B986" t="s">
        <v>353</v>
      </c>
      <c r="C986">
        <v>71544</v>
      </c>
      <c r="D986" s="2">
        <v>13172</v>
      </c>
      <c r="E986" s="1">
        <v>42928</v>
      </c>
      <c r="F986" t="s">
        <v>11</v>
      </c>
      <c r="G986" t="str">
        <f>"201707123605"</f>
        <v>201707123605</v>
      </c>
      <c r="H986" t="str">
        <f>"PINE TREE-LISA LANE/PRECINCT 2"</f>
        <v>PINE TREE-LISA LANE/PRECINCT 2</v>
      </c>
      <c r="I986" s="2">
        <v>13172</v>
      </c>
      <c r="J986" t="str">
        <f>"PINE TREE-LISA LANE/PRECINCT 2"</f>
        <v>PINE TREE-LISA LANE/PRECINCT 2</v>
      </c>
    </row>
    <row r="987" spans="1:10" x14ac:dyDescent="0.3">
      <c r="A987" t="str">
        <f>"004766"</f>
        <v>004766</v>
      </c>
      <c r="B987" t="s">
        <v>353</v>
      </c>
      <c r="C987">
        <v>71793</v>
      </c>
      <c r="D987" s="2">
        <v>11737</v>
      </c>
      <c r="E987" s="1">
        <v>42940</v>
      </c>
      <c r="F987" t="s">
        <v>11</v>
      </c>
      <c r="G987" t="str">
        <f>"201707183682"</f>
        <v>201707183682</v>
      </c>
      <c r="H987" t="str">
        <f>"ADD ON TO CULVERTS-OLD PIN OAK"</f>
        <v>ADD ON TO CULVERTS-OLD PIN OAK</v>
      </c>
      <c r="I987" s="2">
        <v>11737</v>
      </c>
      <c r="J987" t="str">
        <f>"ADD ON TO CULVERTS-OLD PIN OAK"</f>
        <v>ADD ON TO CULVERTS-OLD PIN OAK</v>
      </c>
    </row>
    <row r="988" spans="1:10" x14ac:dyDescent="0.3">
      <c r="A988" t="str">
        <f>"RESERV"</f>
        <v>RESERV</v>
      </c>
      <c r="B988" t="s">
        <v>354</v>
      </c>
      <c r="C988">
        <v>71794</v>
      </c>
      <c r="D988" s="2">
        <v>9000</v>
      </c>
      <c r="E988" s="1">
        <v>42940</v>
      </c>
      <c r="F988" t="s">
        <v>11</v>
      </c>
      <c r="G988" t="str">
        <f>"201707113480"</f>
        <v>201707113480</v>
      </c>
      <c r="H988" t="str">
        <f>"ACCT#34549337/POSTAGE"</f>
        <v>ACCT#34549337/POSTAGE</v>
      </c>
      <c r="I988" s="2">
        <v>9000</v>
      </c>
      <c r="J988" t="str">
        <f>"ACCT#34549337/POSTAGE"</f>
        <v>ACCT#34549337/POSTAGE</v>
      </c>
    </row>
    <row r="989" spans="1:10" x14ac:dyDescent="0.3">
      <c r="A989" t="str">
        <f>"T11385"</f>
        <v>T11385</v>
      </c>
      <c r="B989" t="s">
        <v>355</v>
      </c>
      <c r="C989">
        <v>71480</v>
      </c>
      <c r="D989" s="2">
        <v>500</v>
      </c>
      <c r="E989" s="1">
        <v>42926</v>
      </c>
      <c r="F989" t="s">
        <v>11</v>
      </c>
      <c r="G989" t="str">
        <f>"201707063435"</f>
        <v>201707063435</v>
      </c>
      <c r="H989" t="str">
        <f>"54 769"</f>
        <v>54 769</v>
      </c>
      <c r="I989" s="2">
        <v>250</v>
      </c>
      <c r="J989" t="str">
        <f>"54 769"</f>
        <v>54 769</v>
      </c>
    </row>
    <row r="990" spans="1:10" x14ac:dyDescent="0.3">
      <c r="A990" t="str">
        <f>""</f>
        <v/>
      </c>
      <c r="G990" t="str">
        <f>"201707063436"</f>
        <v>201707063436</v>
      </c>
      <c r="H990" t="str">
        <f>"55 114"</f>
        <v>55 114</v>
      </c>
      <c r="I990" s="2">
        <v>250</v>
      </c>
      <c r="J990" t="str">
        <f>"55 114"</f>
        <v>55 114</v>
      </c>
    </row>
    <row r="991" spans="1:10" x14ac:dyDescent="0.3">
      <c r="A991" t="str">
        <f>"T10310"</f>
        <v>T10310</v>
      </c>
      <c r="B991" t="s">
        <v>356</v>
      </c>
      <c r="C991">
        <v>71481</v>
      </c>
      <c r="D991" s="2">
        <v>63.35</v>
      </c>
      <c r="E991" s="1">
        <v>42926</v>
      </c>
      <c r="F991" t="s">
        <v>11</v>
      </c>
      <c r="G991" t="str">
        <f>"74709"</f>
        <v>74709</v>
      </c>
      <c r="H991" t="str">
        <f>"INV 74709/UNIT 6532"</f>
        <v>INV 74709/UNIT 6532</v>
      </c>
      <c r="I991" s="2">
        <v>63.35</v>
      </c>
      <c r="J991" t="str">
        <f>""</f>
        <v/>
      </c>
    </row>
    <row r="992" spans="1:10" x14ac:dyDescent="0.3">
      <c r="A992" t="str">
        <f>"001684"</f>
        <v>001684</v>
      </c>
      <c r="B992" t="s">
        <v>357</v>
      </c>
      <c r="C992">
        <v>71482</v>
      </c>
      <c r="D992" s="2">
        <v>1835.63</v>
      </c>
      <c r="E992" s="1">
        <v>42926</v>
      </c>
      <c r="F992" t="s">
        <v>11</v>
      </c>
      <c r="G992" t="str">
        <f>"201707053354"</f>
        <v>201707053354</v>
      </c>
      <c r="H992" t="str">
        <f>"TRAVEL EXPENSE REIMBURSEMENT"</f>
        <v>TRAVEL EXPENSE REIMBURSEMENT</v>
      </c>
      <c r="I992" s="2">
        <v>1835.63</v>
      </c>
      <c r="J992" t="str">
        <f>"TRAVEL EXPENSE REIMBURSEMENT"</f>
        <v>TRAVEL EXPENSE REIMBURSEMENT</v>
      </c>
    </row>
    <row r="993" spans="1:10" x14ac:dyDescent="0.3">
      <c r="A993" t="str">
        <f>"002590"</f>
        <v>002590</v>
      </c>
      <c r="B993" t="s">
        <v>358</v>
      </c>
      <c r="C993">
        <v>71795</v>
      </c>
      <c r="D993" s="2">
        <v>6.04</v>
      </c>
      <c r="E993" s="1">
        <v>42940</v>
      </c>
      <c r="F993" t="s">
        <v>11</v>
      </c>
      <c r="G993" t="str">
        <f>"99071106"</f>
        <v>99071106</v>
      </c>
      <c r="H993" t="str">
        <f>"INV 99071106"</f>
        <v>INV 99071106</v>
      </c>
      <c r="I993" s="2">
        <v>6.04</v>
      </c>
      <c r="J993" t="str">
        <f>"INV 99071106"</f>
        <v>INV 99071106</v>
      </c>
    </row>
    <row r="994" spans="1:10" x14ac:dyDescent="0.3">
      <c r="A994" t="str">
        <f>"001322"</f>
        <v>001322</v>
      </c>
      <c r="B994" t="s">
        <v>359</v>
      </c>
      <c r="C994">
        <v>71483</v>
      </c>
      <c r="D994" s="2">
        <v>282.19</v>
      </c>
      <c r="E994" s="1">
        <v>42926</v>
      </c>
      <c r="F994" t="s">
        <v>11</v>
      </c>
      <c r="G994" t="str">
        <f>"1070681986"</f>
        <v>1070681986</v>
      </c>
      <c r="H994" t="str">
        <f>"CUST#23263263/ORD#64411865"</f>
        <v>CUST#23263263/ORD#64411865</v>
      </c>
      <c r="I994" s="2">
        <v>175.03</v>
      </c>
      <c r="J994" t="str">
        <f>"CUST#23263263/ORD#64411865"</f>
        <v>CUST#23263263/ORD#64411865</v>
      </c>
    </row>
    <row r="995" spans="1:10" x14ac:dyDescent="0.3">
      <c r="A995" t="str">
        <f>""</f>
        <v/>
      </c>
      <c r="G995" t="str">
        <f>"5049147070"</f>
        <v>5049147070</v>
      </c>
      <c r="H995" t="str">
        <f>"CUST#12847097/CONT#2793595"</f>
        <v>CUST#12847097/CONT#2793595</v>
      </c>
      <c r="I995" s="2">
        <v>107.16</v>
      </c>
      <c r="J995" t="str">
        <f>"CUST#12847097/CONT#2793595"</f>
        <v>CUST#12847097/CONT#2793595</v>
      </c>
    </row>
    <row r="996" spans="1:10" x14ac:dyDescent="0.3">
      <c r="A996" t="str">
        <f>"001322"</f>
        <v>001322</v>
      </c>
      <c r="B996" t="s">
        <v>359</v>
      </c>
      <c r="C996">
        <v>71796</v>
      </c>
      <c r="D996" s="2">
        <v>1264.4100000000001</v>
      </c>
      <c r="E996" s="1">
        <v>42940</v>
      </c>
      <c r="F996" t="s">
        <v>11</v>
      </c>
      <c r="G996" t="str">
        <f>"5049437231"</f>
        <v>5049437231</v>
      </c>
      <c r="H996" t="str">
        <f>"CUST#12847097/COPIER LEASE"</f>
        <v>CUST#12847097/COPIER LEASE</v>
      </c>
      <c r="I996" s="2">
        <v>1203.93</v>
      </c>
      <c r="J996" t="str">
        <f t="shared" ref="J996:J1013" si="4">"CUST#12847097/COPIER LEASE"</f>
        <v>CUST#12847097/COPIER LEASE</v>
      </c>
    </row>
    <row r="997" spans="1:10" x14ac:dyDescent="0.3">
      <c r="A997" t="str">
        <f>""</f>
        <v/>
      </c>
      <c r="G997" t="str">
        <f>""</f>
        <v/>
      </c>
      <c r="H997" t="str">
        <f>""</f>
        <v/>
      </c>
      <c r="J997" t="str">
        <f t="shared" si="4"/>
        <v>CUST#12847097/COPIER LEASE</v>
      </c>
    </row>
    <row r="998" spans="1:10" x14ac:dyDescent="0.3">
      <c r="A998" t="str">
        <f>""</f>
        <v/>
      </c>
      <c r="G998" t="str">
        <f>""</f>
        <v/>
      </c>
      <c r="H998" t="str">
        <f>""</f>
        <v/>
      </c>
      <c r="J998" t="str">
        <f t="shared" si="4"/>
        <v>CUST#12847097/COPIER LEASE</v>
      </c>
    </row>
    <row r="999" spans="1:10" x14ac:dyDescent="0.3">
      <c r="A999" t="str">
        <f>""</f>
        <v/>
      </c>
      <c r="G999" t="str">
        <f>""</f>
        <v/>
      </c>
      <c r="H999" t="str">
        <f>""</f>
        <v/>
      </c>
      <c r="J999" t="str">
        <f t="shared" si="4"/>
        <v>CUST#12847097/COPIER LEASE</v>
      </c>
    </row>
    <row r="1000" spans="1:10" x14ac:dyDescent="0.3">
      <c r="A1000" t="str">
        <f>""</f>
        <v/>
      </c>
      <c r="G1000" t="str">
        <f>""</f>
        <v/>
      </c>
      <c r="H1000" t="str">
        <f>""</f>
        <v/>
      </c>
      <c r="J1000" t="str">
        <f t="shared" si="4"/>
        <v>CUST#12847097/COPIER LEASE</v>
      </c>
    </row>
    <row r="1001" spans="1:10" x14ac:dyDescent="0.3">
      <c r="A1001" t="str">
        <f>""</f>
        <v/>
      </c>
      <c r="G1001" t="str">
        <f>""</f>
        <v/>
      </c>
      <c r="H1001" t="str">
        <f>""</f>
        <v/>
      </c>
      <c r="J1001" t="str">
        <f t="shared" si="4"/>
        <v>CUST#12847097/COPIER LEASE</v>
      </c>
    </row>
    <row r="1002" spans="1:10" x14ac:dyDescent="0.3">
      <c r="A1002" t="str">
        <f>""</f>
        <v/>
      </c>
      <c r="G1002" t="str">
        <f>""</f>
        <v/>
      </c>
      <c r="H1002" t="str">
        <f>""</f>
        <v/>
      </c>
      <c r="J1002" t="str">
        <f t="shared" si="4"/>
        <v>CUST#12847097/COPIER LEASE</v>
      </c>
    </row>
    <row r="1003" spans="1:10" x14ac:dyDescent="0.3">
      <c r="A1003" t="str">
        <f>""</f>
        <v/>
      </c>
      <c r="G1003" t="str">
        <f>""</f>
        <v/>
      </c>
      <c r="H1003" t="str">
        <f>""</f>
        <v/>
      </c>
      <c r="J1003" t="str">
        <f t="shared" si="4"/>
        <v>CUST#12847097/COPIER LEASE</v>
      </c>
    </row>
    <row r="1004" spans="1:10" x14ac:dyDescent="0.3">
      <c r="A1004" t="str">
        <f>""</f>
        <v/>
      </c>
      <c r="G1004" t="str">
        <f>""</f>
        <v/>
      </c>
      <c r="H1004" t="str">
        <f>""</f>
        <v/>
      </c>
      <c r="J1004" t="str">
        <f t="shared" si="4"/>
        <v>CUST#12847097/COPIER LEASE</v>
      </c>
    </row>
    <row r="1005" spans="1:10" x14ac:dyDescent="0.3">
      <c r="A1005" t="str">
        <f>""</f>
        <v/>
      </c>
      <c r="G1005" t="str">
        <f>""</f>
        <v/>
      </c>
      <c r="H1005" t="str">
        <f>""</f>
        <v/>
      </c>
      <c r="J1005" t="str">
        <f t="shared" si="4"/>
        <v>CUST#12847097/COPIER LEASE</v>
      </c>
    </row>
    <row r="1006" spans="1:10" x14ac:dyDescent="0.3">
      <c r="A1006" t="str">
        <f>""</f>
        <v/>
      </c>
      <c r="G1006" t="str">
        <f>""</f>
        <v/>
      </c>
      <c r="H1006" t="str">
        <f>""</f>
        <v/>
      </c>
      <c r="J1006" t="str">
        <f t="shared" si="4"/>
        <v>CUST#12847097/COPIER LEASE</v>
      </c>
    </row>
    <row r="1007" spans="1:10" x14ac:dyDescent="0.3">
      <c r="A1007" t="str">
        <f>""</f>
        <v/>
      </c>
      <c r="G1007" t="str">
        <f>""</f>
        <v/>
      </c>
      <c r="H1007" t="str">
        <f>""</f>
        <v/>
      </c>
      <c r="J1007" t="str">
        <f t="shared" si="4"/>
        <v>CUST#12847097/COPIER LEASE</v>
      </c>
    </row>
    <row r="1008" spans="1:10" x14ac:dyDescent="0.3">
      <c r="A1008" t="str">
        <f>""</f>
        <v/>
      </c>
      <c r="G1008" t="str">
        <f>""</f>
        <v/>
      </c>
      <c r="H1008" t="str">
        <f>""</f>
        <v/>
      </c>
      <c r="J1008" t="str">
        <f t="shared" si="4"/>
        <v>CUST#12847097/COPIER LEASE</v>
      </c>
    </row>
    <row r="1009" spans="1:10" x14ac:dyDescent="0.3">
      <c r="A1009" t="str">
        <f>""</f>
        <v/>
      </c>
      <c r="G1009" t="str">
        <f>""</f>
        <v/>
      </c>
      <c r="H1009" t="str">
        <f>""</f>
        <v/>
      </c>
      <c r="J1009" t="str">
        <f t="shared" si="4"/>
        <v>CUST#12847097/COPIER LEASE</v>
      </c>
    </row>
    <row r="1010" spans="1:10" x14ac:dyDescent="0.3">
      <c r="A1010" t="str">
        <f>""</f>
        <v/>
      </c>
      <c r="G1010" t="str">
        <f>""</f>
        <v/>
      </c>
      <c r="H1010" t="str">
        <f>""</f>
        <v/>
      </c>
      <c r="J1010" t="str">
        <f t="shared" si="4"/>
        <v>CUST#12847097/COPIER LEASE</v>
      </c>
    </row>
    <row r="1011" spans="1:10" x14ac:dyDescent="0.3">
      <c r="A1011" t="str">
        <f>""</f>
        <v/>
      </c>
      <c r="G1011" t="str">
        <f>""</f>
        <v/>
      </c>
      <c r="H1011" t="str">
        <f>""</f>
        <v/>
      </c>
      <c r="J1011" t="str">
        <f t="shared" si="4"/>
        <v>CUST#12847097/COPIER LEASE</v>
      </c>
    </row>
    <row r="1012" spans="1:10" x14ac:dyDescent="0.3">
      <c r="A1012" t="str">
        <f>""</f>
        <v/>
      </c>
      <c r="G1012" t="str">
        <f>""</f>
        <v/>
      </c>
      <c r="H1012" t="str">
        <f>""</f>
        <v/>
      </c>
      <c r="J1012" t="str">
        <f t="shared" si="4"/>
        <v>CUST#12847097/COPIER LEASE</v>
      </c>
    </row>
    <row r="1013" spans="1:10" x14ac:dyDescent="0.3">
      <c r="A1013" t="str">
        <f>""</f>
        <v/>
      </c>
      <c r="G1013" t="str">
        <f>""</f>
        <v/>
      </c>
      <c r="H1013" t="str">
        <f>""</f>
        <v/>
      </c>
      <c r="J1013" t="str">
        <f t="shared" si="4"/>
        <v>CUST#12847097/COPIER LEASE</v>
      </c>
    </row>
    <row r="1014" spans="1:10" x14ac:dyDescent="0.3">
      <c r="A1014" t="str">
        <f>""</f>
        <v/>
      </c>
      <c r="G1014" t="str">
        <f>"5049454117"</f>
        <v>5049454117</v>
      </c>
      <c r="H1014" t="str">
        <f>"CUST#12847097/CONT#4457471"</f>
        <v>CUST#12847097/CONT#4457471</v>
      </c>
      <c r="I1014" s="2">
        <v>60.48</v>
      </c>
      <c r="J1014" t="str">
        <f>"CUST#12847097/CONT#4457471"</f>
        <v>CUST#12847097/CONT#4457471</v>
      </c>
    </row>
    <row r="1015" spans="1:10" x14ac:dyDescent="0.3">
      <c r="A1015" t="str">
        <f>"000972"</f>
        <v>000972</v>
      </c>
      <c r="B1015" t="s">
        <v>360</v>
      </c>
      <c r="C1015">
        <v>71797</v>
      </c>
      <c r="D1015" s="2">
        <v>7087.58</v>
      </c>
      <c r="E1015" s="1">
        <v>42940</v>
      </c>
      <c r="F1015" t="s">
        <v>11</v>
      </c>
      <c r="G1015" t="str">
        <f>"30481193"</f>
        <v>30481193</v>
      </c>
      <c r="H1015" t="str">
        <f>"CUST#2000172616"</f>
        <v>CUST#2000172616</v>
      </c>
      <c r="I1015" s="2">
        <v>7087.58</v>
      </c>
      <c r="J1015" t="str">
        <f t="shared" ref="J1015:J1036" si="5">"CUST#2000172616"</f>
        <v>CUST#2000172616</v>
      </c>
    </row>
    <row r="1016" spans="1:10" x14ac:dyDescent="0.3">
      <c r="A1016" t="str">
        <f>""</f>
        <v/>
      </c>
      <c r="G1016" t="str">
        <f>""</f>
        <v/>
      </c>
      <c r="H1016" t="str">
        <f>""</f>
        <v/>
      </c>
      <c r="J1016" t="str">
        <f t="shared" si="5"/>
        <v>CUST#2000172616</v>
      </c>
    </row>
    <row r="1017" spans="1:10" x14ac:dyDescent="0.3">
      <c r="A1017" t="str">
        <f>""</f>
        <v/>
      </c>
      <c r="G1017" t="str">
        <f>""</f>
        <v/>
      </c>
      <c r="H1017" t="str">
        <f>""</f>
        <v/>
      </c>
      <c r="J1017" t="str">
        <f t="shared" si="5"/>
        <v>CUST#2000172616</v>
      </c>
    </row>
    <row r="1018" spans="1:10" x14ac:dyDescent="0.3">
      <c r="A1018" t="str">
        <f>""</f>
        <v/>
      </c>
      <c r="G1018" t="str">
        <f>""</f>
        <v/>
      </c>
      <c r="H1018" t="str">
        <f>""</f>
        <v/>
      </c>
      <c r="J1018" t="str">
        <f t="shared" si="5"/>
        <v>CUST#2000172616</v>
      </c>
    </row>
    <row r="1019" spans="1:10" x14ac:dyDescent="0.3">
      <c r="A1019" t="str">
        <f>""</f>
        <v/>
      </c>
      <c r="G1019" t="str">
        <f>""</f>
        <v/>
      </c>
      <c r="H1019" t="str">
        <f>""</f>
        <v/>
      </c>
      <c r="J1019" t="str">
        <f t="shared" si="5"/>
        <v>CUST#2000172616</v>
      </c>
    </row>
    <row r="1020" spans="1:10" x14ac:dyDescent="0.3">
      <c r="A1020" t="str">
        <f>""</f>
        <v/>
      </c>
      <c r="G1020" t="str">
        <f>""</f>
        <v/>
      </c>
      <c r="H1020" t="str">
        <f>""</f>
        <v/>
      </c>
      <c r="J1020" t="str">
        <f t="shared" si="5"/>
        <v>CUST#2000172616</v>
      </c>
    </row>
    <row r="1021" spans="1:10" x14ac:dyDescent="0.3">
      <c r="A1021" t="str">
        <f>""</f>
        <v/>
      </c>
      <c r="G1021" t="str">
        <f>""</f>
        <v/>
      </c>
      <c r="H1021" t="str">
        <f>""</f>
        <v/>
      </c>
      <c r="J1021" t="str">
        <f t="shared" si="5"/>
        <v>CUST#2000172616</v>
      </c>
    </row>
    <row r="1022" spans="1:10" x14ac:dyDescent="0.3">
      <c r="A1022" t="str">
        <f>""</f>
        <v/>
      </c>
      <c r="G1022" t="str">
        <f>""</f>
        <v/>
      </c>
      <c r="H1022" t="str">
        <f>""</f>
        <v/>
      </c>
      <c r="J1022" t="str">
        <f t="shared" si="5"/>
        <v>CUST#2000172616</v>
      </c>
    </row>
    <row r="1023" spans="1:10" x14ac:dyDescent="0.3">
      <c r="A1023" t="str">
        <f>""</f>
        <v/>
      </c>
      <c r="G1023" t="str">
        <f>""</f>
        <v/>
      </c>
      <c r="H1023" t="str">
        <f>""</f>
        <v/>
      </c>
      <c r="J1023" t="str">
        <f t="shared" si="5"/>
        <v>CUST#2000172616</v>
      </c>
    </row>
    <row r="1024" spans="1:10" x14ac:dyDescent="0.3">
      <c r="A1024" t="str">
        <f>""</f>
        <v/>
      </c>
      <c r="G1024" t="str">
        <f>""</f>
        <v/>
      </c>
      <c r="H1024" t="str">
        <f>""</f>
        <v/>
      </c>
      <c r="J1024" t="str">
        <f t="shared" si="5"/>
        <v>CUST#2000172616</v>
      </c>
    </row>
    <row r="1025" spans="1:10" x14ac:dyDescent="0.3">
      <c r="A1025" t="str">
        <f>""</f>
        <v/>
      </c>
      <c r="G1025" t="str">
        <f>""</f>
        <v/>
      </c>
      <c r="H1025" t="str">
        <f>""</f>
        <v/>
      </c>
      <c r="J1025" t="str">
        <f t="shared" si="5"/>
        <v>CUST#2000172616</v>
      </c>
    </row>
    <row r="1026" spans="1:10" x14ac:dyDescent="0.3">
      <c r="A1026" t="str">
        <f>""</f>
        <v/>
      </c>
      <c r="G1026" t="str">
        <f>""</f>
        <v/>
      </c>
      <c r="H1026" t="str">
        <f>""</f>
        <v/>
      </c>
      <c r="J1026" t="str">
        <f t="shared" si="5"/>
        <v>CUST#2000172616</v>
      </c>
    </row>
    <row r="1027" spans="1:10" x14ac:dyDescent="0.3">
      <c r="A1027" t="str">
        <f>""</f>
        <v/>
      </c>
      <c r="G1027" t="str">
        <f>""</f>
        <v/>
      </c>
      <c r="H1027" t="str">
        <f>""</f>
        <v/>
      </c>
      <c r="J1027" t="str">
        <f t="shared" si="5"/>
        <v>CUST#2000172616</v>
      </c>
    </row>
    <row r="1028" spans="1:10" x14ac:dyDescent="0.3">
      <c r="A1028" t="str">
        <f>""</f>
        <v/>
      </c>
      <c r="G1028" t="str">
        <f>""</f>
        <v/>
      </c>
      <c r="H1028" t="str">
        <f>""</f>
        <v/>
      </c>
      <c r="J1028" t="str">
        <f t="shared" si="5"/>
        <v>CUST#2000172616</v>
      </c>
    </row>
    <row r="1029" spans="1:10" x14ac:dyDescent="0.3">
      <c r="A1029" t="str">
        <f>""</f>
        <v/>
      </c>
      <c r="G1029" t="str">
        <f>""</f>
        <v/>
      </c>
      <c r="H1029" t="str">
        <f>""</f>
        <v/>
      </c>
      <c r="J1029" t="str">
        <f t="shared" si="5"/>
        <v>CUST#2000172616</v>
      </c>
    </row>
    <row r="1030" spans="1:10" x14ac:dyDescent="0.3">
      <c r="A1030" t="str">
        <f>""</f>
        <v/>
      </c>
      <c r="G1030" t="str">
        <f>""</f>
        <v/>
      </c>
      <c r="H1030" t="str">
        <f>""</f>
        <v/>
      </c>
      <c r="J1030" t="str">
        <f t="shared" si="5"/>
        <v>CUST#2000172616</v>
      </c>
    </row>
    <row r="1031" spans="1:10" x14ac:dyDescent="0.3">
      <c r="A1031" t="str">
        <f>""</f>
        <v/>
      </c>
      <c r="G1031" t="str">
        <f>""</f>
        <v/>
      </c>
      <c r="H1031" t="str">
        <f>""</f>
        <v/>
      </c>
      <c r="J1031" t="str">
        <f t="shared" si="5"/>
        <v>CUST#2000172616</v>
      </c>
    </row>
    <row r="1032" spans="1:10" x14ac:dyDescent="0.3">
      <c r="A1032" t="str">
        <f>""</f>
        <v/>
      </c>
      <c r="G1032" t="str">
        <f>""</f>
        <v/>
      </c>
      <c r="H1032" t="str">
        <f>""</f>
        <v/>
      </c>
      <c r="J1032" t="str">
        <f t="shared" si="5"/>
        <v>CUST#2000172616</v>
      </c>
    </row>
    <row r="1033" spans="1:10" x14ac:dyDescent="0.3">
      <c r="A1033" t="str">
        <f>""</f>
        <v/>
      </c>
      <c r="G1033" t="str">
        <f>""</f>
        <v/>
      </c>
      <c r="H1033" t="str">
        <f>""</f>
        <v/>
      </c>
      <c r="J1033" t="str">
        <f t="shared" si="5"/>
        <v>CUST#2000172616</v>
      </c>
    </row>
    <row r="1034" spans="1:10" x14ac:dyDescent="0.3">
      <c r="A1034" t="str">
        <f>""</f>
        <v/>
      </c>
      <c r="G1034" t="str">
        <f>""</f>
        <v/>
      </c>
      <c r="H1034" t="str">
        <f>""</f>
        <v/>
      </c>
      <c r="J1034" t="str">
        <f t="shared" si="5"/>
        <v>CUST#2000172616</v>
      </c>
    </row>
    <row r="1035" spans="1:10" x14ac:dyDescent="0.3">
      <c r="A1035" t="str">
        <f>""</f>
        <v/>
      </c>
      <c r="G1035" t="str">
        <f>""</f>
        <v/>
      </c>
      <c r="H1035" t="str">
        <f>""</f>
        <v/>
      </c>
      <c r="J1035" t="str">
        <f t="shared" si="5"/>
        <v>CUST#2000172616</v>
      </c>
    </row>
    <row r="1036" spans="1:10" x14ac:dyDescent="0.3">
      <c r="A1036" t="str">
        <f>""</f>
        <v/>
      </c>
      <c r="G1036" t="str">
        <f>""</f>
        <v/>
      </c>
      <c r="H1036" t="str">
        <f>""</f>
        <v/>
      </c>
      <c r="J1036" t="str">
        <f t="shared" si="5"/>
        <v>CUST#2000172616</v>
      </c>
    </row>
    <row r="1037" spans="1:10" x14ac:dyDescent="0.3">
      <c r="A1037" t="str">
        <f>"004549"</f>
        <v>004549</v>
      </c>
      <c r="B1037" t="s">
        <v>361</v>
      </c>
      <c r="C1037">
        <v>71484</v>
      </c>
      <c r="D1037" s="2">
        <v>275</v>
      </c>
      <c r="E1037" s="1">
        <v>42926</v>
      </c>
      <c r="F1037" t="s">
        <v>11</v>
      </c>
      <c r="G1037" t="str">
        <f>"721162"</f>
        <v>721162</v>
      </c>
      <c r="H1037" t="str">
        <f>"LANDSCAPING SVCS/708 BULL RUN"</f>
        <v>LANDSCAPING SVCS/708 BULL RUN</v>
      </c>
      <c r="I1037" s="2">
        <v>125</v>
      </c>
      <c r="J1037" t="str">
        <f>"LANDSCAPING SVCS/708 BULL RUN"</f>
        <v>LANDSCAPING SVCS/708 BULL RUN</v>
      </c>
    </row>
    <row r="1038" spans="1:10" x14ac:dyDescent="0.3">
      <c r="A1038" t="str">
        <f>""</f>
        <v/>
      </c>
      <c r="G1038" t="str">
        <f>"721163"</f>
        <v>721163</v>
      </c>
      <c r="H1038" t="str">
        <f>"LANDSCAPING SVCS/1133 OKDY DR"</f>
        <v>LANDSCAPING SVCS/1133 OKDY DR</v>
      </c>
      <c r="I1038" s="2">
        <v>150</v>
      </c>
      <c r="J1038" t="str">
        <f>"LANDSCAPING SVCS/1133 OKDY DR"</f>
        <v>LANDSCAPING SVCS/1133 OKDY DR</v>
      </c>
    </row>
    <row r="1039" spans="1:10" x14ac:dyDescent="0.3">
      <c r="A1039" t="str">
        <f>"000374"</f>
        <v>000374</v>
      </c>
      <c r="B1039" t="s">
        <v>362</v>
      </c>
      <c r="C1039">
        <v>71798</v>
      </c>
      <c r="D1039" s="2">
        <v>39.99</v>
      </c>
      <c r="E1039" s="1">
        <v>42940</v>
      </c>
      <c r="F1039" t="s">
        <v>11</v>
      </c>
      <c r="G1039" t="str">
        <f>"1018772"</f>
        <v>1018772</v>
      </c>
      <c r="H1039" t="str">
        <f>"EMPRESS KITCHEN ROLL TOWELS"</f>
        <v>EMPRESS KITCHEN ROLL TOWELS</v>
      </c>
      <c r="I1039" s="2">
        <v>39.99</v>
      </c>
      <c r="J1039" t="str">
        <f>"EMPRESS KITCHEN ROLL TOWELS"</f>
        <v>EMPRESS KITCHEN ROLL TOWELS</v>
      </c>
    </row>
    <row r="1040" spans="1:10" x14ac:dyDescent="0.3">
      <c r="A1040" t="str">
        <f>"004750"</f>
        <v>004750</v>
      </c>
      <c r="B1040" t="s">
        <v>363</v>
      </c>
      <c r="C1040">
        <v>71485</v>
      </c>
      <c r="D1040" s="2">
        <v>48.47</v>
      </c>
      <c r="E1040" s="1">
        <v>42926</v>
      </c>
      <c r="F1040" t="s">
        <v>11</v>
      </c>
      <c r="G1040" t="str">
        <f>"201706283282"</f>
        <v>201706283282</v>
      </c>
      <c r="H1040" t="str">
        <f>"MILEAGE REIMBURSEMENT"</f>
        <v>MILEAGE REIMBURSEMENT</v>
      </c>
      <c r="I1040" s="2">
        <v>7.7</v>
      </c>
      <c r="J1040" t="str">
        <f>"MILEAGE REIMBURSEMENT"</f>
        <v>MILEAGE REIMBURSEMENT</v>
      </c>
    </row>
    <row r="1041" spans="1:10" x14ac:dyDescent="0.3">
      <c r="A1041" t="str">
        <f>""</f>
        <v/>
      </c>
      <c r="G1041" t="str">
        <f>"201706283283"</f>
        <v>201706283283</v>
      </c>
      <c r="H1041" t="str">
        <f>"MILEAGE REIMBURSEMENT"</f>
        <v>MILEAGE REIMBURSEMENT</v>
      </c>
      <c r="I1041" s="2">
        <v>40.770000000000003</v>
      </c>
      <c r="J1041" t="str">
        <f>"MILEAGE REIMBURSEMENT"</f>
        <v>MILEAGE REIMBURSEMENT</v>
      </c>
    </row>
    <row r="1042" spans="1:10" x14ac:dyDescent="0.3">
      <c r="A1042" t="str">
        <f>"MADDEN"</f>
        <v>MADDEN</v>
      </c>
      <c r="B1042" t="s">
        <v>364</v>
      </c>
      <c r="C1042">
        <v>71799</v>
      </c>
      <c r="D1042" s="2">
        <v>47.93</v>
      </c>
      <c r="E1042" s="1">
        <v>42940</v>
      </c>
      <c r="F1042" t="s">
        <v>11</v>
      </c>
      <c r="G1042" t="str">
        <f>"4003865"</f>
        <v>4003865</v>
      </c>
      <c r="H1042" t="str">
        <f>"INV4003865 FAN BLADE"</f>
        <v>INV4003865 FAN BLADE</v>
      </c>
      <c r="I1042" s="2">
        <v>47.93</v>
      </c>
      <c r="J1042" t="str">
        <f>"INV4003865 FAN BLADE"</f>
        <v>INV4003865 FAN BLADE</v>
      </c>
    </row>
    <row r="1043" spans="1:10" x14ac:dyDescent="0.3">
      <c r="A1043" t="str">
        <f>"004987"</f>
        <v>004987</v>
      </c>
      <c r="B1043" t="s">
        <v>365</v>
      </c>
      <c r="C1043">
        <v>71800</v>
      </c>
      <c r="D1043" s="2">
        <v>140</v>
      </c>
      <c r="E1043" s="1">
        <v>42940</v>
      </c>
      <c r="F1043" t="s">
        <v>11</v>
      </c>
      <c r="G1043" t="str">
        <f>"PER DIEM-R.MORGAN"</f>
        <v>PER DIEM-R.MORGAN</v>
      </c>
      <c r="H1043" t="str">
        <f>"PER DIEM"</f>
        <v>PER DIEM</v>
      </c>
      <c r="I1043" s="2">
        <v>140</v>
      </c>
      <c r="J1043" t="str">
        <f>"PER DIEM"</f>
        <v>PER DIEM</v>
      </c>
    </row>
    <row r="1044" spans="1:10" x14ac:dyDescent="0.3">
      <c r="A1044" t="str">
        <f>"T8555"</f>
        <v>T8555</v>
      </c>
      <c r="B1044" t="s">
        <v>366</v>
      </c>
      <c r="C1044">
        <v>71486</v>
      </c>
      <c r="D1044" s="2">
        <v>1804.33</v>
      </c>
      <c r="E1044" s="1">
        <v>42926</v>
      </c>
      <c r="F1044" t="s">
        <v>11</v>
      </c>
      <c r="G1044" t="str">
        <f>"17971"</f>
        <v>17971</v>
      </c>
      <c r="H1044" t="str">
        <f>"STATE INSP/UNIT#2012/PCT#2"</f>
        <v>STATE INSP/UNIT#2012/PCT#2</v>
      </c>
      <c r="I1044" s="2">
        <v>14</v>
      </c>
      <c r="J1044" t="str">
        <f>"STATE INSP/UNIT#2012/PCT#2"</f>
        <v>STATE INSP/UNIT#2012/PCT#2</v>
      </c>
    </row>
    <row r="1045" spans="1:10" x14ac:dyDescent="0.3">
      <c r="A1045" t="str">
        <f>""</f>
        <v/>
      </c>
      <c r="G1045" t="str">
        <f>"1979"</f>
        <v>1979</v>
      </c>
      <c r="H1045" t="str">
        <f>"CUST#121/PARTS&amp;LABOR/PCT#2"</f>
        <v>CUST#121/PARTS&amp;LABOR/PCT#2</v>
      </c>
      <c r="I1045" s="2">
        <v>1790.33</v>
      </c>
      <c r="J1045" t="str">
        <f>"CUST#121/PARTS&amp;LABOR/PCT#2"</f>
        <v>CUST#121/PARTS&amp;LABOR/PCT#2</v>
      </c>
    </row>
    <row r="1046" spans="1:10" x14ac:dyDescent="0.3">
      <c r="A1046" t="str">
        <f>"ROMCO"</f>
        <v>ROMCO</v>
      </c>
      <c r="B1046" t="s">
        <v>367</v>
      </c>
      <c r="C1046">
        <v>71801</v>
      </c>
      <c r="D1046" s="2">
        <v>1020</v>
      </c>
      <c r="E1046" s="1">
        <v>42940</v>
      </c>
      <c r="F1046" t="s">
        <v>11</v>
      </c>
      <c r="G1046" t="str">
        <f>"10792770"</f>
        <v>10792770</v>
      </c>
      <c r="H1046" t="str">
        <f>"CUST#04911/ORD#PS07060364"</f>
        <v>CUST#04911/ORD#PS07060364</v>
      </c>
      <c r="I1046" s="2">
        <v>1020</v>
      </c>
      <c r="J1046" t="str">
        <f>"CUST#04911/ORD#PS07060364"</f>
        <v>CUST#04911/ORD#PS07060364</v>
      </c>
    </row>
    <row r="1047" spans="1:10" x14ac:dyDescent="0.3">
      <c r="A1047" t="str">
        <f>"004550"</f>
        <v>004550</v>
      </c>
      <c r="B1047" t="s">
        <v>368</v>
      </c>
      <c r="C1047">
        <v>71802</v>
      </c>
      <c r="D1047" s="2">
        <v>60</v>
      </c>
      <c r="E1047" s="1">
        <v>42940</v>
      </c>
      <c r="F1047" t="s">
        <v>11</v>
      </c>
      <c r="G1047" t="str">
        <f>"7005722"</f>
        <v>7005722</v>
      </c>
      <c r="H1047" t="str">
        <f>"REIMBURSEMENT"</f>
        <v>REIMBURSEMENT</v>
      </c>
      <c r="I1047" s="2">
        <v>60</v>
      </c>
      <c r="J1047" t="str">
        <f>"REIMBURSEMENT"</f>
        <v>REIMBURSEMENT</v>
      </c>
    </row>
    <row r="1048" spans="1:10" x14ac:dyDescent="0.3">
      <c r="A1048" t="str">
        <f>"RP-CC"</f>
        <v>RP-CC</v>
      </c>
      <c r="B1048" t="s">
        <v>369</v>
      </c>
      <c r="C1048">
        <v>71487</v>
      </c>
      <c r="D1048" s="2">
        <v>233</v>
      </c>
      <c r="E1048" s="1">
        <v>42926</v>
      </c>
      <c r="F1048" t="s">
        <v>11</v>
      </c>
      <c r="G1048" t="str">
        <f>"201707053346"</f>
        <v>201707053346</v>
      </c>
      <c r="H1048" t="str">
        <f>"RECORDING FEES"</f>
        <v>RECORDING FEES</v>
      </c>
      <c r="I1048" s="2">
        <v>233</v>
      </c>
      <c r="J1048" t="str">
        <f>"RECORDING FEES"</f>
        <v>RECORDING FEES</v>
      </c>
    </row>
    <row r="1049" spans="1:10" x14ac:dyDescent="0.3">
      <c r="A1049" t="str">
        <f>"RP-CC"</f>
        <v>RP-CC</v>
      </c>
      <c r="B1049" t="s">
        <v>369</v>
      </c>
      <c r="C1049">
        <v>71803</v>
      </c>
      <c r="D1049" s="2">
        <v>397</v>
      </c>
      <c r="E1049" s="1">
        <v>42940</v>
      </c>
      <c r="F1049" t="s">
        <v>11</v>
      </c>
      <c r="G1049" t="str">
        <f>"201707193717"</f>
        <v>201707193717</v>
      </c>
      <c r="H1049" t="str">
        <f>"DEVELOPMENT SVCS RECORDING FEE"</f>
        <v>DEVELOPMENT SVCS RECORDING FEE</v>
      </c>
      <c r="I1049" s="2">
        <v>397</v>
      </c>
      <c r="J1049" t="str">
        <f>"DEVELOPMENT SVCS RECORDING FEE"</f>
        <v>DEVELOPMENT SVCS RECORDING FEE</v>
      </c>
    </row>
    <row r="1050" spans="1:10" x14ac:dyDescent="0.3">
      <c r="A1050" t="str">
        <f>"002112"</f>
        <v>002112</v>
      </c>
      <c r="B1050" t="s">
        <v>370</v>
      </c>
      <c r="C1050">
        <v>71488</v>
      </c>
      <c r="D1050" s="2">
        <v>265.97000000000003</v>
      </c>
      <c r="E1050" s="1">
        <v>42926</v>
      </c>
      <c r="F1050" t="s">
        <v>11</v>
      </c>
      <c r="G1050" t="str">
        <f>"201707053334"</f>
        <v>201707053334</v>
      </c>
      <c r="H1050" t="str">
        <f>"AMBULATORY SURG SVCS/IND HLTH"</f>
        <v>AMBULATORY SURG SVCS/IND HLTH</v>
      </c>
      <c r="I1050" s="2">
        <v>265.97000000000003</v>
      </c>
      <c r="J1050" t="str">
        <f>"AMBULATORY SURG SVCS/IND HLTH"</f>
        <v>AMBULATORY SURG SVCS/IND HLTH</v>
      </c>
    </row>
    <row r="1051" spans="1:10" x14ac:dyDescent="0.3">
      <c r="A1051" t="str">
        <f>"002112"</f>
        <v>002112</v>
      </c>
      <c r="B1051" t="s">
        <v>370</v>
      </c>
      <c r="C1051">
        <v>71804</v>
      </c>
      <c r="D1051" s="2">
        <v>469.69</v>
      </c>
      <c r="E1051" s="1">
        <v>42940</v>
      </c>
      <c r="F1051" t="s">
        <v>11</v>
      </c>
      <c r="G1051" t="str">
        <f>"201707193781"</f>
        <v>201707193781</v>
      </c>
      <c r="H1051" t="str">
        <f>"INDIGENT HEALTH"</f>
        <v>INDIGENT HEALTH</v>
      </c>
      <c r="I1051" s="2">
        <v>469.69</v>
      </c>
      <c r="J1051" t="str">
        <f>"INDIGENT HEALTH"</f>
        <v>INDIGENT HEALTH</v>
      </c>
    </row>
    <row r="1052" spans="1:10" x14ac:dyDescent="0.3">
      <c r="A1052" t="str">
        <f>"T11973"</f>
        <v>T11973</v>
      </c>
      <c r="B1052" t="s">
        <v>371</v>
      </c>
      <c r="C1052">
        <v>71489</v>
      </c>
      <c r="D1052" s="2">
        <v>91.1</v>
      </c>
      <c r="E1052" s="1">
        <v>42926</v>
      </c>
      <c r="F1052" t="s">
        <v>11</v>
      </c>
      <c r="G1052" t="str">
        <f>"201707053331"</f>
        <v>201707053331</v>
      </c>
      <c r="H1052" t="str">
        <f>"PHYSICIAN SVCS/XRAY/IND HEALTH"</f>
        <v>PHYSICIAN SVCS/XRAY/IND HEALTH</v>
      </c>
      <c r="I1052" s="2">
        <v>91.1</v>
      </c>
      <c r="J1052" t="str">
        <f>"PHYSICIAN SVCS/XRAY/IND HEALTH"</f>
        <v>PHYSICIAN SVCS/XRAY/IND HEALTH</v>
      </c>
    </row>
    <row r="1053" spans="1:10" x14ac:dyDescent="0.3">
      <c r="A1053" t="str">
        <f>""</f>
        <v/>
      </c>
      <c r="G1053" t="str">
        <f>""</f>
        <v/>
      </c>
      <c r="H1053" t="str">
        <f>""</f>
        <v/>
      </c>
      <c r="J1053" t="str">
        <f>"PHYSICIAN SVCS/XRAY/IND HEALTH"</f>
        <v>PHYSICIAN SVCS/XRAY/IND HEALTH</v>
      </c>
    </row>
    <row r="1054" spans="1:10" x14ac:dyDescent="0.3">
      <c r="A1054" t="str">
        <f>"T11973"</f>
        <v>T11973</v>
      </c>
      <c r="B1054" t="s">
        <v>371</v>
      </c>
      <c r="C1054">
        <v>71805</v>
      </c>
      <c r="D1054" s="2">
        <v>188.21</v>
      </c>
      <c r="E1054" s="1">
        <v>42940</v>
      </c>
      <c r="F1054" t="s">
        <v>11</v>
      </c>
      <c r="G1054" t="str">
        <f>"201707193782"</f>
        <v>201707193782</v>
      </c>
      <c r="H1054" t="str">
        <f>"INDIGENT HEALTH"</f>
        <v>INDIGENT HEALTH</v>
      </c>
      <c r="I1054" s="2">
        <v>188.21</v>
      </c>
      <c r="J1054" t="str">
        <f>"INDIGENT HEALTH"</f>
        <v>INDIGENT HEALTH</v>
      </c>
    </row>
    <row r="1055" spans="1:10" x14ac:dyDescent="0.3">
      <c r="A1055" t="str">
        <f>"T6180"</f>
        <v>T6180</v>
      </c>
      <c r="B1055" t="s">
        <v>372</v>
      </c>
      <c r="C1055">
        <v>71806</v>
      </c>
      <c r="D1055" s="2">
        <v>14105.67</v>
      </c>
      <c r="E1055" s="1">
        <v>42940</v>
      </c>
      <c r="F1055" t="s">
        <v>11</v>
      </c>
      <c r="G1055" t="str">
        <f>"4174"</f>
        <v>4174</v>
      </c>
      <c r="H1055" t="str">
        <f>"JAIL MEDICAL/NPI#1093779704"</f>
        <v>JAIL MEDICAL/NPI#1093779704</v>
      </c>
      <c r="I1055" s="2">
        <v>1288.3599999999999</v>
      </c>
      <c r="J1055" t="str">
        <f>"JAIL MEDICAL/NPI#1093779704"</f>
        <v>JAIL MEDICAL/NPI#1093779704</v>
      </c>
    </row>
    <row r="1056" spans="1:10" x14ac:dyDescent="0.3">
      <c r="A1056" t="str">
        <f>""</f>
        <v/>
      </c>
      <c r="G1056" t="str">
        <f>"4174*08016*1"</f>
        <v>4174*08016*1</v>
      </c>
      <c r="H1056" t="str">
        <f>"JAIL MEDICAL-NPI#1265568638"</f>
        <v>JAIL MEDICAL-NPI#1265568638</v>
      </c>
      <c r="I1056" s="2">
        <v>12817.31</v>
      </c>
      <c r="J1056" t="str">
        <f>"JAIL MEDICAL-NPI#1265568638"</f>
        <v>JAIL MEDICAL-NPI#1265568638</v>
      </c>
    </row>
    <row r="1057" spans="1:11" x14ac:dyDescent="0.3">
      <c r="A1057" t="str">
        <f>"003194"</f>
        <v>003194</v>
      </c>
      <c r="B1057" t="s">
        <v>373</v>
      </c>
      <c r="C1057">
        <v>71807</v>
      </c>
      <c r="D1057" s="2">
        <v>9463.25</v>
      </c>
      <c r="E1057" s="1">
        <v>42940</v>
      </c>
      <c r="F1057" t="s">
        <v>11</v>
      </c>
      <c r="G1057" t="str">
        <f>"PPDINV0007737"</f>
        <v>PPDINV0007737</v>
      </c>
      <c r="H1057" t="str">
        <f>"PREPAID PHONE CARDS"</f>
        <v>PREPAID PHONE CARDS</v>
      </c>
      <c r="I1057" s="2">
        <v>9463.25</v>
      </c>
      <c r="J1057" t="str">
        <f>"PREPAID PHONE CARDS"</f>
        <v>PREPAID PHONE CARDS</v>
      </c>
    </row>
    <row r="1058" spans="1:11" x14ac:dyDescent="0.3">
      <c r="A1058" t="str">
        <f>"003086"</f>
        <v>003086</v>
      </c>
      <c r="B1058" t="s">
        <v>374</v>
      </c>
      <c r="C1058">
        <v>71490</v>
      </c>
      <c r="D1058" s="2">
        <v>360.84</v>
      </c>
      <c r="E1058" s="1">
        <v>42926</v>
      </c>
      <c r="F1058" t="s">
        <v>11</v>
      </c>
      <c r="G1058" t="str">
        <f>"201707053335"</f>
        <v>201707053335</v>
      </c>
      <c r="H1058" t="str">
        <f>"OUTPATIENT SVCS/INDIGENT HLTH"</f>
        <v>OUTPATIENT SVCS/INDIGENT HLTH</v>
      </c>
      <c r="I1058" s="2">
        <v>360.84</v>
      </c>
      <c r="J1058" t="str">
        <f>"OUTPATIENT SVCS/INDIGENT HLTH"</f>
        <v>OUTPATIENT SVCS/INDIGENT HLTH</v>
      </c>
    </row>
    <row r="1059" spans="1:11" x14ac:dyDescent="0.3">
      <c r="A1059" t="str">
        <f>"003086"</f>
        <v>003086</v>
      </c>
      <c r="B1059" t="s">
        <v>374</v>
      </c>
      <c r="C1059">
        <v>71808</v>
      </c>
      <c r="D1059" s="2">
        <v>7567.07</v>
      </c>
      <c r="E1059" s="1">
        <v>42940</v>
      </c>
      <c r="F1059" t="s">
        <v>11</v>
      </c>
      <c r="G1059" t="str">
        <f>"17-S-02418"</f>
        <v>17-S-02418</v>
      </c>
      <c r="H1059" t="str">
        <f>"ID#06/09/2009/ACCT#8070137683"</f>
        <v>ID#06/09/2009/ACCT#8070137683</v>
      </c>
      <c r="I1059" s="2">
        <v>1000</v>
      </c>
      <c r="J1059" t="str">
        <f>"ID#06/09/2009/ACCT#8070137683"</f>
        <v>ID#06/09/2009/ACCT#8070137683</v>
      </c>
    </row>
    <row r="1060" spans="1:11" x14ac:dyDescent="0.3">
      <c r="A1060" t="str">
        <f>""</f>
        <v/>
      </c>
      <c r="G1060" t="str">
        <f>"17-S-03241"</f>
        <v>17-S-03241</v>
      </c>
      <c r="H1060" t="str">
        <f>"ID#09/01/2012/ACCT#8070405068"</f>
        <v>ID#09/01/2012/ACCT#8070405068</v>
      </c>
      <c r="I1060" s="2">
        <v>883</v>
      </c>
      <c r="J1060" t="str">
        <f>"ID#09/01/2012/ACCT#8070405068"</f>
        <v>ID#09/01/2012/ACCT#8070405068</v>
      </c>
    </row>
    <row r="1061" spans="1:11" x14ac:dyDescent="0.3">
      <c r="A1061" t="str">
        <f>""</f>
        <v/>
      </c>
      <c r="G1061" t="str">
        <f>"17-S-03399"</f>
        <v>17-S-03399</v>
      </c>
      <c r="H1061" t="str">
        <f>"ID#03/18/2013/ACCT#8070454794"</f>
        <v>ID#03/18/2013/ACCT#8070454794</v>
      </c>
      <c r="I1061" s="2">
        <v>1000</v>
      </c>
      <c r="J1061" t="str">
        <f>"ID#03/18/2013/ACCT#8070454794"</f>
        <v>ID#03/18/2013/ACCT#8070454794</v>
      </c>
    </row>
    <row r="1062" spans="1:11" x14ac:dyDescent="0.3">
      <c r="A1062" t="str">
        <f>""</f>
        <v/>
      </c>
      <c r="G1062" t="str">
        <f>"201707193785"</f>
        <v>201707193785</v>
      </c>
      <c r="H1062" t="str">
        <f>"INDIGENT HEALTH"</f>
        <v>INDIGENT HEALTH</v>
      </c>
      <c r="I1062" s="2">
        <v>391.07</v>
      </c>
      <c r="J1062" t="str">
        <f>"INDIGENT HEALTH"</f>
        <v>INDIGENT HEALTH</v>
      </c>
    </row>
    <row r="1063" spans="1:11" x14ac:dyDescent="0.3">
      <c r="A1063" t="str">
        <f>""</f>
        <v/>
      </c>
      <c r="G1063" t="str">
        <f>"620171"</f>
        <v>620171</v>
      </c>
      <c r="H1063" t="str">
        <f>"JUNE'17 PRESCRIPTION ASST PROG"</f>
        <v>JUNE'17 PRESCRIPTION ASST PROG</v>
      </c>
      <c r="I1063" s="2">
        <v>4293</v>
      </c>
      <c r="J1063" t="str">
        <f>"JUNE'17 PRESCRIPTION ASST PROG"</f>
        <v>JUNE'17 PRESCRIPTION ASST PROG</v>
      </c>
    </row>
    <row r="1064" spans="1:11" x14ac:dyDescent="0.3">
      <c r="A1064" t="str">
        <f>"003087"</f>
        <v>003087</v>
      </c>
      <c r="B1064" t="s">
        <v>374</v>
      </c>
      <c r="C1064">
        <v>71809</v>
      </c>
      <c r="D1064" s="2">
        <v>159.75</v>
      </c>
      <c r="E1064" s="1">
        <v>42940</v>
      </c>
      <c r="F1064" t="s">
        <v>11</v>
      </c>
      <c r="G1064" t="str">
        <f>"201707193784"</f>
        <v>201707193784</v>
      </c>
      <c r="H1064" t="str">
        <f>"INDIGENT HEALTH"</f>
        <v>INDIGENT HEALTH</v>
      </c>
      <c r="I1064" s="2">
        <v>159.75</v>
      </c>
      <c r="J1064" t="str">
        <f>"INDIGENT HEALTH"</f>
        <v>INDIGENT HEALTH</v>
      </c>
    </row>
    <row r="1065" spans="1:11" x14ac:dyDescent="0.3">
      <c r="A1065" t="str">
        <f>"005146"</f>
        <v>005146</v>
      </c>
      <c r="B1065" t="s">
        <v>375</v>
      </c>
      <c r="C1065">
        <v>71810</v>
      </c>
      <c r="D1065" s="2">
        <v>23.08</v>
      </c>
      <c r="E1065" s="1">
        <v>42940</v>
      </c>
      <c r="F1065" t="s">
        <v>11</v>
      </c>
      <c r="G1065" t="str">
        <f>"REIMBURSE FOR FUEL"</f>
        <v>REIMBURSE FOR FUEL</v>
      </c>
      <c r="H1065" t="str">
        <f>"REIMBURSEMENT"</f>
        <v>REIMBURSEMENT</v>
      </c>
      <c r="I1065" s="2">
        <v>23.08</v>
      </c>
      <c r="J1065" t="str">
        <f>"REIMBURSEMENT"</f>
        <v>REIMBURSEMENT</v>
      </c>
    </row>
    <row r="1066" spans="1:11" x14ac:dyDescent="0.3">
      <c r="A1066" t="str">
        <f>"004521"</f>
        <v>004521</v>
      </c>
      <c r="B1066" t="s">
        <v>376</v>
      </c>
      <c r="C1066">
        <v>71811</v>
      </c>
      <c r="D1066" s="2">
        <v>60</v>
      </c>
      <c r="E1066" s="1">
        <v>42940</v>
      </c>
      <c r="F1066" t="s">
        <v>11</v>
      </c>
      <c r="G1066" t="s">
        <v>198</v>
      </c>
      <c r="H1066" t="s">
        <v>377</v>
      </c>
      <c r="I1066" s="2" t="str">
        <f>"RESTITUTION-D. MCCOMB"</f>
        <v>RESTITUTION-D. MCCOMB</v>
      </c>
      <c r="J1066" t="str">
        <f>"210-0000"</f>
        <v>210-0000</v>
      </c>
      <c r="K1066">
        <v>60</v>
      </c>
    </row>
    <row r="1067" spans="1:11" x14ac:dyDescent="0.3">
      <c r="A1067" t="str">
        <f>"005081"</f>
        <v>005081</v>
      </c>
      <c r="B1067" t="s">
        <v>378</v>
      </c>
      <c r="C1067">
        <v>71491</v>
      </c>
      <c r="D1067" s="2">
        <v>215.72</v>
      </c>
      <c r="E1067" s="1">
        <v>42926</v>
      </c>
      <c r="F1067" t="s">
        <v>11</v>
      </c>
      <c r="G1067" t="str">
        <f>"201707053356"</f>
        <v>201707053356</v>
      </c>
      <c r="H1067" t="str">
        <f>"ACCT#20147/ANIMAL SERVICES"</f>
        <v>ACCT#20147/ANIMAL SERVICES</v>
      </c>
      <c r="I1067" s="2">
        <v>215.72</v>
      </c>
      <c r="J1067" t="str">
        <f>"ACCT#20147/ANIMAL SERVICES"</f>
        <v>ACCT#20147/ANIMAL SERVICES</v>
      </c>
    </row>
    <row r="1068" spans="1:11" x14ac:dyDescent="0.3">
      <c r="A1068" t="str">
        <f>"SIRCHI"</f>
        <v>SIRCHI</v>
      </c>
      <c r="B1068" t="s">
        <v>379</v>
      </c>
      <c r="C1068">
        <v>71812</v>
      </c>
      <c r="D1068" s="2">
        <v>430.64</v>
      </c>
      <c r="E1068" s="1">
        <v>42940</v>
      </c>
      <c r="F1068" t="s">
        <v>11</v>
      </c>
      <c r="G1068" t="str">
        <f>"0306717-IN"</f>
        <v>0306717-IN</v>
      </c>
      <c r="H1068" t="str">
        <f>"INV 0306717-IN"</f>
        <v>INV 0306717-IN</v>
      </c>
      <c r="I1068" s="2">
        <v>430.64</v>
      </c>
      <c r="J1068" t="str">
        <f>"EVIDENCE TUBES"</f>
        <v>EVIDENCE TUBES</v>
      </c>
    </row>
    <row r="1069" spans="1:11" x14ac:dyDescent="0.3">
      <c r="A1069" t="str">
        <f>""</f>
        <v/>
      </c>
      <c r="G1069" t="str">
        <f>""</f>
        <v/>
      </c>
      <c r="H1069" t="str">
        <f>""</f>
        <v/>
      </c>
      <c r="J1069" t="str">
        <f>"FIBER BRUSH"</f>
        <v>FIBER BRUSH</v>
      </c>
    </row>
    <row r="1070" spans="1:11" x14ac:dyDescent="0.3">
      <c r="A1070" t="str">
        <f>""</f>
        <v/>
      </c>
      <c r="G1070" t="str">
        <f>""</f>
        <v/>
      </c>
      <c r="H1070" t="str">
        <f>""</f>
        <v/>
      </c>
      <c r="J1070" t="str">
        <f>"POWDER BRUSH"</f>
        <v>POWDER BRUSH</v>
      </c>
    </row>
    <row r="1071" spans="1:11" x14ac:dyDescent="0.3">
      <c r="A1071" t="str">
        <f>""</f>
        <v/>
      </c>
      <c r="G1071" t="str">
        <f>""</f>
        <v/>
      </c>
      <c r="H1071" t="str">
        <f>""</f>
        <v/>
      </c>
      <c r="J1071" t="str">
        <f>"COCAINE ID SWIPE"</f>
        <v>COCAINE ID SWIPE</v>
      </c>
    </row>
    <row r="1072" spans="1:11" x14ac:dyDescent="0.3">
      <c r="A1072" t="str">
        <f>""</f>
        <v/>
      </c>
      <c r="G1072" t="str">
        <f>""</f>
        <v/>
      </c>
      <c r="H1072" t="str">
        <f>""</f>
        <v/>
      </c>
      <c r="J1072" t="str">
        <f>"EVIDENCE KNIFE"</f>
        <v>EVIDENCE KNIFE</v>
      </c>
    </row>
    <row r="1073" spans="1:10" x14ac:dyDescent="0.3">
      <c r="A1073" t="str">
        <f>""</f>
        <v/>
      </c>
      <c r="G1073" t="str">
        <f>""</f>
        <v/>
      </c>
      <c r="H1073" t="str">
        <f>""</f>
        <v/>
      </c>
      <c r="J1073" t="str">
        <f>"SHIPPING"</f>
        <v>SHIPPING</v>
      </c>
    </row>
    <row r="1074" spans="1:10" x14ac:dyDescent="0.3">
      <c r="A1074" t="str">
        <f>"SS"</f>
        <v>SS</v>
      </c>
      <c r="B1074" t="s">
        <v>380</v>
      </c>
      <c r="C1074">
        <v>71813</v>
      </c>
      <c r="D1074" s="2">
        <v>1552.04</v>
      </c>
      <c r="E1074" s="1">
        <v>42940</v>
      </c>
      <c r="F1074" t="s">
        <v>11</v>
      </c>
      <c r="G1074" t="str">
        <f>"201707143650"</f>
        <v>201707143650</v>
      </c>
      <c r="H1074" t="str">
        <f>"STATEMENT#24713/PCT#2"</f>
        <v>STATEMENT#24713/PCT#2</v>
      </c>
      <c r="I1074" s="2">
        <v>1552.04</v>
      </c>
      <c r="J1074" t="str">
        <f>"STATEMENT#24713/PCT#2"</f>
        <v>STATEMENT#24713/PCT#2</v>
      </c>
    </row>
    <row r="1075" spans="1:10" x14ac:dyDescent="0.3">
      <c r="A1075" t="str">
        <f>"SAP"</f>
        <v>SAP</v>
      </c>
      <c r="B1075" t="s">
        <v>381</v>
      </c>
      <c r="C1075">
        <v>71814</v>
      </c>
      <c r="D1075" s="2">
        <v>2136.4299999999998</v>
      </c>
      <c r="E1075" s="1">
        <v>42940</v>
      </c>
      <c r="F1075" t="s">
        <v>11</v>
      </c>
      <c r="G1075" t="str">
        <f>"201707143649"</f>
        <v>201707143649</v>
      </c>
      <c r="H1075" t="str">
        <f>"ACCT#260/PCT#2"</f>
        <v>ACCT#260/PCT#2</v>
      </c>
      <c r="I1075" s="2">
        <v>2136.4299999999998</v>
      </c>
      <c r="J1075" t="str">
        <f>"ACCT#260/PCT#2"</f>
        <v>ACCT#260/PCT#2</v>
      </c>
    </row>
    <row r="1076" spans="1:10" x14ac:dyDescent="0.3">
      <c r="A1076" t="str">
        <f>"STM"</f>
        <v>STM</v>
      </c>
      <c r="B1076" t="s">
        <v>382</v>
      </c>
      <c r="C1076">
        <v>71492</v>
      </c>
      <c r="D1076" s="2">
        <v>1233.55</v>
      </c>
      <c r="E1076" s="1">
        <v>42926</v>
      </c>
      <c r="F1076" t="s">
        <v>11</v>
      </c>
      <c r="G1076" t="str">
        <f>"63214346"</f>
        <v>63214346</v>
      </c>
      <c r="H1076" t="str">
        <f>"CUST#52157/PCT#3"</f>
        <v>CUST#52157/PCT#3</v>
      </c>
      <c r="I1076" s="2">
        <v>137.65</v>
      </c>
      <c r="J1076" t="str">
        <f>"CUST#52157/PCT#3"</f>
        <v>CUST#52157/PCT#3</v>
      </c>
    </row>
    <row r="1077" spans="1:10" x14ac:dyDescent="0.3">
      <c r="A1077" t="str">
        <f>""</f>
        <v/>
      </c>
      <c r="G1077" t="str">
        <f>"63216459"</f>
        <v>63216459</v>
      </c>
      <c r="H1077" t="str">
        <f>"CUST#52157/PCT#3"</f>
        <v>CUST#52157/PCT#3</v>
      </c>
      <c r="I1077" s="2">
        <v>391.9</v>
      </c>
      <c r="J1077" t="str">
        <f>"CUST#52157/PCT#3"</f>
        <v>CUST#52157/PCT#3</v>
      </c>
    </row>
    <row r="1078" spans="1:10" x14ac:dyDescent="0.3">
      <c r="A1078" t="str">
        <f>""</f>
        <v/>
      </c>
      <c r="G1078" t="str">
        <f>"63218253"</f>
        <v>63218253</v>
      </c>
      <c r="H1078" t="str">
        <f>"ACCT#52157/PCT#3"</f>
        <v>ACCT#52157/PCT#3</v>
      </c>
      <c r="I1078" s="2">
        <v>704</v>
      </c>
      <c r="J1078" t="str">
        <f>"ACCT#52157/PCT#3"</f>
        <v>ACCT#52157/PCT#3</v>
      </c>
    </row>
    <row r="1079" spans="1:10" x14ac:dyDescent="0.3">
      <c r="A1079" t="str">
        <f>"T11061"</f>
        <v>T11061</v>
      </c>
      <c r="B1079" t="s">
        <v>383</v>
      </c>
      <c r="C1079">
        <v>71815</v>
      </c>
      <c r="D1079" s="2">
        <v>158.75</v>
      </c>
      <c r="E1079" s="1">
        <v>42940</v>
      </c>
      <c r="F1079" t="s">
        <v>11</v>
      </c>
      <c r="G1079" t="str">
        <f>"11969495 060917"</f>
        <v>11969495 060917</v>
      </c>
      <c r="H1079" t="str">
        <f>"CUST#556850411969495/DA OFFICE"</f>
        <v>CUST#556850411969495/DA OFFICE</v>
      </c>
      <c r="I1079" s="2">
        <v>151.05000000000001</v>
      </c>
      <c r="J1079" t="str">
        <f>"CUST#556850411969495/DA OFFICE"</f>
        <v>CUST#556850411969495/DA OFFICE</v>
      </c>
    </row>
    <row r="1080" spans="1:10" x14ac:dyDescent="0.3">
      <c r="A1080" t="str">
        <f>""</f>
        <v/>
      </c>
      <c r="G1080" t="str">
        <f>"9604456 062217"</f>
        <v>9604456 062217</v>
      </c>
      <c r="H1080" t="str">
        <f>"CUST#46668439604456/JP#2"</f>
        <v>CUST#46668439604456/JP#2</v>
      </c>
      <c r="I1080" s="2">
        <v>7.7</v>
      </c>
      <c r="J1080" t="str">
        <f>"CUST#46668439604456/JP#2"</f>
        <v>CUST#46668439604456/JP#2</v>
      </c>
    </row>
    <row r="1081" spans="1:10" x14ac:dyDescent="0.3">
      <c r="A1081" t="str">
        <f>"003747"</f>
        <v>003747</v>
      </c>
      <c r="B1081" t="s">
        <v>385</v>
      </c>
      <c r="C1081">
        <v>71816</v>
      </c>
      <c r="D1081" s="2">
        <v>10.62</v>
      </c>
      <c r="E1081" s="1">
        <v>42940</v>
      </c>
      <c r="F1081" t="s">
        <v>11</v>
      </c>
      <c r="G1081" t="str">
        <f>"A0698356S"</f>
        <v>A0698356S</v>
      </c>
      <c r="H1081" t="str">
        <f>"ACCT#0698356-3/OEM"</f>
        <v>ACCT#0698356-3/OEM</v>
      </c>
      <c r="I1081" s="2">
        <v>10.62</v>
      </c>
      <c r="J1081" t="str">
        <f>"ACCT#0698356-3/OEM"</f>
        <v>ACCT#0698356-3/OEM</v>
      </c>
    </row>
    <row r="1082" spans="1:10" x14ac:dyDescent="0.3">
      <c r="A1082" t="str">
        <f>"REDDY"</f>
        <v>REDDY</v>
      </c>
      <c r="B1082" t="s">
        <v>386</v>
      </c>
      <c r="C1082">
        <v>71493</v>
      </c>
      <c r="D1082" s="2">
        <v>137.72</v>
      </c>
      <c r="E1082" s="1">
        <v>42926</v>
      </c>
      <c r="F1082" t="s">
        <v>11</v>
      </c>
      <c r="G1082" t="str">
        <f>"201707053333"</f>
        <v>201707053333</v>
      </c>
      <c r="H1082" t="str">
        <f>"PHYSICIAN SVCS/INDIGENT HEALTH"</f>
        <v>PHYSICIAN SVCS/INDIGENT HEALTH</v>
      </c>
      <c r="I1082" s="2">
        <v>137.72</v>
      </c>
      <c r="J1082" t="str">
        <f>"PHYSICIAN SVCS/INDIGENT HEALTH"</f>
        <v>PHYSICIAN SVCS/INDIGENT HEALTH</v>
      </c>
    </row>
    <row r="1083" spans="1:10" x14ac:dyDescent="0.3">
      <c r="A1083" t="str">
        <f>"003067"</f>
        <v>003067</v>
      </c>
      <c r="B1083" t="s">
        <v>387</v>
      </c>
      <c r="C1083">
        <v>71817</v>
      </c>
      <c r="D1083" s="2">
        <v>54.27</v>
      </c>
      <c r="E1083" s="1">
        <v>42940</v>
      </c>
      <c r="F1083" t="s">
        <v>11</v>
      </c>
      <c r="G1083" t="str">
        <f>"201707193786"</f>
        <v>201707193786</v>
      </c>
      <c r="H1083" t="str">
        <f>"INDIGENT HEALTH"</f>
        <v>INDIGENT HEALTH</v>
      </c>
      <c r="I1083" s="2">
        <v>54.27</v>
      </c>
      <c r="J1083" t="str">
        <f>"INDIGENT HEALTH"</f>
        <v>INDIGENT HEALTH</v>
      </c>
    </row>
    <row r="1084" spans="1:10" x14ac:dyDescent="0.3">
      <c r="A1084" t="str">
        <f>"SCS"</f>
        <v>SCS</v>
      </c>
      <c r="B1084" t="s">
        <v>384</v>
      </c>
      <c r="C1084">
        <v>71818</v>
      </c>
      <c r="D1084" s="2">
        <v>228.61</v>
      </c>
      <c r="E1084" s="1">
        <v>42940</v>
      </c>
      <c r="F1084" t="s">
        <v>11</v>
      </c>
      <c r="G1084" t="str">
        <f>"11969495 070717"</f>
        <v>11969495 070717</v>
      </c>
      <c r="H1084" t="str">
        <f>"CUST#556850411969495/D.A."</f>
        <v>CUST#556850411969495/D.A.</v>
      </c>
      <c r="I1084" s="2">
        <v>228.61</v>
      </c>
      <c r="J1084" t="str">
        <f>"CUST#556850411969495/D.A."</f>
        <v>CUST#556850411969495/D.A.</v>
      </c>
    </row>
    <row r="1085" spans="1:10" x14ac:dyDescent="0.3">
      <c r="A1085" t="str">
        <f>"003508"</f>
        <v>003508</v>
      </c>
      <c r="B1085" t="s">
        <v>388</v>
      </c>
      <c r="C1085">
        <v>71494</v>
      </c>
      <c r="D1085" s="2">
        <v>3209.37</v>
      </c>
      <c r="E1085" s="1">
        <v>42926</v>
      </c>
      <c r="F1085" t="s">
        <v>11</v>
      </c>
      <c r="G1085" t="str">
        <f>"8044990529"</f>
        <v>8044990529</v>
      </c>
      <c r="H1085" t="str">
        <f>"Summary Inv# 8044990529"</f>
        <v>Summary Inv# 8044990529</v>
      </c>
      <c r="I1085" s="2">
        <v>3209.37</v>
      </c>
      <c r="J1085" t="str">
        <f>"Inv# 3343121284"</f>
        <v>Inv# 3343121284</v>
      </c>
    </row>
    <row r="1086" spans="1:10" x14ac:dyDescent="0.3">
      <c r="A1086" t="str">
        <f>""</f>
        <v/>
      </c>
      <c r="G1086" t="str">
        <f>""</f>
        <v/>
      </c>
      <c r="H1086" t="str">
        <f>""</f>
        <v/>
      </c>
      <c r="J1086" t="str">
        <f>"Inv# 3343121273"</f>
        <v>Inv# 3343121273</v>
      </c>
    </row>
    <row r="1087" spans="1:10" x14ac:dyDescent="0.3">
      <c r="A1087" t="str">
        <f>""</f>
        <v/>
      </c>
      <c r="G1087" t="str">
        <f>""</f>
        <v/>
      </c>
      <c r="H1087" t="str">
        <f>""</f>
        <v/>
      </c>
      <c r="J1087" t="str">
        <f>"Inv# 3343121275"</f>
        <v>Inv# 3343121275</v>
      </c>
    </row>
    <row r="1088" spans="1:10" x14ac:dyDescent="0.3">
      <c r="A1088" t="str">
        <f>""</f>
        <v/>
      </c>
      <c r="G1088" t="str">
        <f>""</f>
        <v/>
      </c>
      <c r="H1088" t="str">
        <f>""</f>
        <v/>
      </c>
      <c r="J1088" t="str">
        <f>"Inv# 3343121276"</f>
        <v>Inv# 3343121276</v>
      </c>
    </row>
    <row r="1089" spans="1:10" x14ac:dyDescent="0.3">
      <c r="A1089" t="str">
        <f>""</f>
        <v/>
      </c>
      <c r="G1089" t="str">
        <f>""</f>
        <v/>
      </c>
      <c r="H1089" t="str">
        <f>""</f>
        <v/>
      </c>
      <c r="J1089" t="str">
        <f>"Inv# 3343121283"</f>
        <v>Inv# 3343121283</v>
      </c>
    </row>
    <row r="1090" spans="1:10" x14ac:dyDescent="0.3">
      <c r="A1090" t="str">
        <f>""</f>
        <v/>
      </c>
      <c r="G1090" t="str">
        <f>""</f>
        <v/>
      </c>
      <c r="H1090" t="str">
        <f>""</f>
        <v/>
      </c>
      <c r="J1090" t="str">
        <f>"Inv# 3343121285"</f>
        <v>Inv# 3343121285</v>
      </c>
    </row>
    <row r="1091" spans="1:10" x14ac:dyDescent="0.3">
      <c r="A1091" t="str">
        <f>""</f>
        <v/>
      </c>
      <c r="G1091" t="str">
        <f>""</f>
        <v/>
      </c>
      <c r="H1091" t="str">
        <f>""</f>
        <v/>
      </c>
      <c r="J1091" t="str">
        <f>"Inv# 3343121286"</f>
        <v>Inv# 3343121286</v>
      </c>
    </row>
    <row r="1092" spans="1:10" x14ac:dyDescent="0.3">
      <c r="A1092" t="str">
        <f>""</f>
        <v/>
      </c>
      <c r="G1092" t="str">
        <f>""</f>
        <v/>
      </c>
      <c r="H1092" t="str">
        <f>""</f>
        <v/>
      </c>
      <c r="J1092" t="str">
        <f>"Inv# 3343121287"</f>
        <v>Inv# 3343121287</v>
      </c>
    </row>
    <row r="1093" spans="1:10" x14ac:dyDescent="0.3">
      <c r="A1093" t="str">
        <f>""</f>
        <v/>
      </c>
      <c r="G1093" t="str">
        <f>""</f>
        <v/>
      </c>
      <c r="H1093" t="str">
        <f>""</f>
        <v/>
      </c>
      <c r="J1093" t="str">
        <f>"Inv# 3343121288"</f>
        <v>Inv# 3343121288</v>
      </c>
    </row>
    <row r="1094" spans="1:10" x14ac:dyDescent="0.3">
      <c r="A1094" t="str">
        <f>""</f>
        <v/>
      </c>
      <c r="G1094" t="str">
        <f>""</f>
        <v/>
      </c>
      <c r="H1094" t="str">
        <f>""</f>
        <v/>
      </c>
      <c r="J1094" t="str">
        <f>"Inv# 3343121246"</f>
        <v>Inv# 3343121246</v>
      </c>
    </row>
    <row r="1095" spans="1:10" x14ac:dyDescent="0.3">
      <c r="A1095" t="str">
        <f>""</f>
        <v/>
      </c>
      <c r="G1095" t="str">
        <f>""</f>
        <v/>
      </c>
      <c r="H1095" t="str">
        <f>""</f>
        <v/>
      </c>
      <c r="J1095" t="str">
        <f>"Inv# 3343121289"</f>
        <v>Inv# 3343121289</v>
      </c>
    </row>
    <row r="1096" spans="1:10" x14ac:dyDescent="0.3">
      <c r="A1096" t="str">
        <f>""</f>
        <v/>
      </c>
      <c r="G1096" t="str">
        <f>""</f>
        <v/>
      </c>
      <c r="H1096" t="str">
        <f>""</f>
        <v/>
      </c>
      <c r="J1096" t="str">
        <f>"Inv# 3343121278"</f>
        <v>Inv# 3343121278</v>
      </c>
    </row>
    <row r="1097" spans="1:10" x14ac:dyDescent="0.3">
      <c r="A1097" t="str">
        <f>""</f>
        <v/>
      </c>
      <c r="G1097" t="str">
        <f>""</f>
        <v/>
      </c>
      <c r="H1097" t="str">
        <f>""</f>
        <v/>
      </c>
      <c r="J1097" t="str">
        <f>"Inv# 3343121280"</f>
        <v>Inv# 3343121280</v>
      </c>
    </row>
    <row r="1098" spans="1:10" x14ac:dyDescent="0.3">
      <c r="A1098" t="str">
        <f>""</f>
        <v/>
      </c>
      <c r="G1098" t="str">
        <f>""</f>
        <v/>
      </c>
      <c r="H1098" t="str">
        <f>""</f>
        <v/>
      </c>
      <c r="J1098" t="str">
        <f>"Inv# 3343121253"</f>
        <v>Inv# 3343121253</v>
      </c>
    </row>
    <row r="1099" spans="1:10" x14ac:dyDescent="0.3">
      <c r="A1099" t="str">
        <f>""</f>
        <v/>
      </c>
      <c r="G1099" t="str">
        <f>""</f>
        <v/>
      </c>
      <c r="H1099" t="str">
        <f>""</f>
        <v/>
      </c>
      <c r="J1099" t="str">
        <f>"Inv# 3343121255"</f>
        <v>Inv# 3343121255</v>
      </c>
    </row>
    <row r="1100" spans="1:10" x14ac:dyDescent="0.3">
      <c r="A1100" t="str">
        <f>""</f>
        <v/>
      </c>
      <c r="G1100" t="str">
        <f>""</f>
        <v/>
      </c>
      <c r="H1100" t="str">
        <f>""</f>
        <v/>
      </c>
      <c r="J1100" t="str">
        <f>"Inv# 3343121256"</f>
        <v>Inv# 3343121256</v>
      </c>
    </row>
    <row r="1101" spans="1:10" x14ac:dyDescent="0.3">
      <c r="A1101" t="str">
        <f>""</f>
        <v/>
      </c>
      <c r="G1101" t="str">
        <f>""</f>
        <v/>
      </c>
      <c r="H1101" t="str">
        <f>""</f>
        <v/>
      </c>
      <c r="J1101" t="str">
        <f>"Inv# 3343121259"</f>
        <v>Inv# 3343121259</v>
      </c>
    </row>
    <row r="1102" spans="1:10" x14ac:dyDescent="0.3">
      <c r="A1102" t="str">
        <f>""</f>
        <v/>
      </c>
      <c r="G1102" t="str">
        <f>""</f>
        <v/>
      </c>
      <c r="H1102" t="str">
        <f>""</f>
        <v/>
      </c>
      <c r="J1102" t="str">
        <f>"Inv# 3343121262"</f>
        <v>Inv# 3343121262</v>
      </c>
    </row>
    <row r="1103" spans="1:10" x14ac:dyDescent="0.3">
      <c r="A1103" t="str">
        <f>""</f>
        <v/>
      </c>
      <c r="G1103" t="str">
        <f>""</f>
        <v/>
      </c>
      <c r="H1103" t="str">
        <f>""</f>
        <v/>
      </c>
      <c r="J1103" t="str">
        <f>"Inv# 3343121265"</f>
        <v>Inv# 3343121265</v>
      </c>
    </row>
    <row r="1104" spans="1:10" x14ac:dyDescent="0.3">
      <c r="A1104" t="str">
        <f>""</f>
        <v/>
      </c>
      <c r="G1104" t="str">
        <f>""</f>
        <v/>
      </c>
      <c r="H1104" t="str">
        <f>""</f>
        <v/>
      </c>
      <c r="J1104" t="str">
        <f>"Inv# 3343121266"</f>
        <v>Inv# 3343121266</v>
      </c>
    </row>
    <row r="1105" spans="1:10" x14ac:dyDescent="0.3">
      <c r="A1105" t="str">
        <f>""</f>
        <v/>
      </c>
      <c r="G1105" t="str">
        <f>""</f>
        <v/>
      </c>
      <c r="H1105" t="str">
        <f>""</f>
        <v/>
      </c>
      <c r="J1105" t="str">
        <f>"Inv# 3343121267"</f>
        <v>Inv# 3343121267</v>
      </c>
    </row>
    <row r="1106" spans="1:10" x14ac:dyDescent="0.3">
      <c r="A1106" t="str">
        <f>""</f>
        <v/>
      </c>
      <c r="G1106" t="str">
        <f>""</f>
        <v/>
      </c>
      <c r="H1106" t="str">
        <f>""</f>
        <v/>
      </c>
      <c r="J1106" t="str">
        <f>"Inv# 3343121270"</f>
        <v>Inv# 3343121270</v>
      </c>
    </row>
    <row r="1107" spans="1:10" x14ac:dyDescent="0.3">
      <c r="A1107" t="str">
        <f>""</f>
        <v/>
      </c>
      <c r="G1107" t="str">
        <f>""</f>
        <v/>
      </c>
      <c r="H1107" t="str">
        <f>""</f>
        <v/>
      </c>
      <c r="J1107" t="str">
        <f>"Inv# 3343121271"</f>
        <v>Inv# 3343121271</v>
      </c>
    </row>
    <row r="1108" spans="1:10" x14ac:dyDescent="0.3">
      <c r="A1108" t="str">
        <f>""</f>
        <v/>
      </c>
      <c r="G1108" t="str">
        <f>""</f>
        <v/>
      </c>
      <c r="H1108" t="str">
        <f>""</f>
        <v/>
      </c>
      <c r="J1108" t="str">
        <f>"Inv# 3343121258"</f>
        <v>Inv# 3343121258</v>
      </c>
    </row>
    <row r="1109" spans="1:10" x14ac:dyDescent="0.3">
      <c r="A1109" t="str">
        <f>""</f>
        <v/>
      </c>
      <c r="G1109" t="str">
        <f>""</f>
        <v/>
      </c>
      <c r="H1109" t="str">
        <f>""</f>
        <v/>
      </c>
      <c r="J1109" t="str">
        <f>"Inv# 3343121249"</f>
        <v>Inv# 3343121249</v>
      </c>
    </row>
    <row r="1110" spans="1:10" x14ac:dyDescent="0.3">
      <c r="A1110" t="str">
        <f>""</f>
        <v/>
      </c>
      <c r="G1110" t="str">
        <f>""</f>
        <v/>
      </c>
      <c r="H1110" t="str">
        <f>""</f>
        <v/>
      </c>
      <c r="J1110" t="str">
        <f>"Inv# 3343121251"</f>
        <v>Inv# 3343121251</v>
      </c>
    </row>
    <row r="1111" spans="1:10" x14ac:dyDescent="0.3">
      <c r="A1111" t="str">
        <f>""</f>
        <v/>
      </c>
      <c r="G1111" t="str">
        <f>""</f>
        <v/>
      </c>
      <c r="H1111" t="str">
        <f>""</f>
        <v/>
      </c>
      <c r="J1111" t="str">
        <f>"Inv# 3343121252"</f>
        <v>Inv# 3343121252</v>
      </c>
    </row>
    <row r="1112" spans="1:10" x14ac:dyDescent="0.3">
      <c r="A1112" t="str">
        <f>"003508"</f>
        <v>003508</v>
      </c>
      <c r="B1112" t="s">
        <v>388</v>
      </c>
      <c r="C1112">
        <v>71819</v>
      </c>
      <c r="D1112" s="2">
        <v>2116.98</v>
      </c>
      <c r="E1112" s="1">
        <v>42940</v>
      </c>
      <c r="F1112" t="s">
        <v>11</v>
      </c>
      <c r="G1112" t="str">
        <f>"8045235335"</f>
        <v>8045235335</v>
      </c>
      <c r="H1112" t="str">
        <f>"Sum. Inv# 8045235355"</f>
        <v>Sum. Inv# 8045235355</v>
      </c>
      <c r="I1112" s="2">
        <v>2116.98</v>
      </c>
      <c r="J1112" t="str">
        <f>"Inv# 3344874186"</f>
        <v>Inv# 3344874186</v>
      </c>
    </row>
    <row r="1113" spans="1:10" x14ac:dyDescent="0.3">
      <c r="A1113" t="str">
        <f>""</f>
        <v/>
      </c>
      <c r="G1113" t="str">
        <f>""</f>
        <v/>
      </c>
      <c r="H1113" t="str">
        <f>""</f>
        <v/>
      </c>
      <c r="J1113" t="str">
        <f>"Inv# 3344874167"</f>
        <v>Inv# 3344874167</v>
      </c>
    </row>
    <row r="1114" spans="1:10" x14ac:dyDescent="0.3">
      <c r="A1114" t="str">
        <f>""</f>
        <v/>
      </c>
      <c r="G1114" t="str">
        <f>""</f>
        <v/>
      </c>
      <c r="H1114" t="str">
        <f>""</f>
        <v/>
      </c>
      <c r="J1114" t="str">
        <f>"Inv# 3344874174"</f>
        <v>Inv# 3344874174</v>
      </c>
    </row>
    <row r="1115" spans="1:10" x14ac:dyDescent="0.3">
      <c r="A1115" t="str">
        <f>""</f>
        <v/>
      </c>
      <c r="G1115" t="str">
        <f>""</f>
        <v/>
      </c>
      <c r="H1115" t="str">
        <f>""</f>
        <v/>
      </c>
      <c r="J1115" t="str">
        <f>"Inv# 3344874206"</f>
        <v>Inv# 3344874206</v>
      </c>
    </row>
    <row r="1116" spans="1:10" x14ac:dyDescent="0.3">
      <c r="A1116" t="str">
        <f>""</f>
        <v/>
      </c>
      <c r="G1116" t="str">
        <f>""</f>
        <v/>
      </c>
      <c r="H1116" t="str">
        <f>""</f>
        <v/>
      </c>
      <c r="J1116" t="str">
        <f>"Inv# 3344874212"</f>
        <v>Inv# 3344874212</v>
      </c>
    </row>
    <row r="1117" spans="1:10" x14ac:dyDescent="0.3">
      <c r="A1117" t="str">
        <f>""</f>
        <v/>
      </c>
      <c r="G1117" t="str">
        <f>""</f>
        <v/>
      </c>
      <c r="H1117" t="str">
        <f>""</f>
        <v/>
      </c>
      <c r="J1117" t="str">
        <f>"Inv# 3344874217"</f>
        <v>Inv# 3344874217</v>
      </c>
    </row>
    <row r="1118" spans="1:10" x14ac:dyDescent="0.3">
      <c r="A1118" t="str">
        <f>""</f>
        <v/>
      </c>
      <c r="G1118" t="str">
        <f>""</f>
        <v/>
      </c>
      <c r="H1118" t="str">
        <f>""</f>
        <v/>
      </c>
      <c r="J1118" t="str">
        <f>"Inv# 3344874222"</f>
        <v>Inv# 3344874222</v>
      </c>
    </row>
    <row r="1119" spans="1:10" x14ac:dyDescent="0.3">
      <c r="A1119" t="str">
        <f>""</f>
        <v/>
      </c>
      <c r="G1119" t="str">
        <f>""</f>
        <v/>
      </c>
      <c r="H1119" t="str">
        <f>""</f>
        <v/>
      </c>
      <c r="J1119" t="str">
        <f>"Inv# 3344874109"</f>
        <v>Inv# 3344874109</v>
      </c>
    </row>
    <row r="1120" spans="1:10" x14ac:dyDescent="0.3">
      <c r="A1120" t="str">
        <f>""</f>
        <v/>
      </c>
      <c r="G1120" t="str">
        <f>""</f>
        <v/>
      </c>
      <c r="H1120" t="str">
        <f>""</f>
        <v/>
      </c>
      <c r="J1120" t="str">
        <f>"Inv# 3344874113"</f>
        <v>Inv# 3344874113</v>
      </c>
    </row>
    <row r="1121" spans="1:10" x14ac:dyDescent="0.3">
      <c r="A1121" t="str">
        <f>""</f>
        <v/>
      </c>
      <c r="G1121" t="str">
        <f>""</f>
        <v/>
      </c>
      <c r="H1121" t="str">
        <f>""</f>
        <v/>
      </c>
      <c r="J1121" t="str">
        <f>"Inv# 3344874192"</f>
        <v>Inv# 3344874192</v>
      </c>
    </row>
    <row r="1122" spans="1:10" x14ac:dyDescent="0.3">
      <c r="A1122" t="str">
        <f>""</f>
        <v/>
      </c>
      <c r="G1122" t="str">
        <f>""</f>
        <v/>
      </c>
      <c r="H1122" t="str">
        <f>""</f>
        <v/>
      </c>
      <c r="J1122" t="str">
        <f>"Inv# 3344874233"</f>
        <v>Inv# 3344874233</v>
      </c>
    </row>
    <row r="1123" spans="1:10" x14ac:dyDescent="0.3">
      <c r="A1123" t="str">
        <f>""</f>
        <v/>
      </c>
      <c r="G1123" t="str">
        <f>""</f>
        <v/>
      </c>
      <c r="H1123" t="str">
        <f>""</f>
        <v/>
      </c>
      <c r="J1123" t="str">
        <f>"Inv# 3344874235"</f>
        <v>Inv# 3344874235</v>
      </c>
    </row>
    <row r="1124" spans="1:10" x14ac:dyDescent="0.3">
      <c r="A1124" t="str">
        <f>""</f>
        <v/>
      </c>
      <c r="G1124" t="str">
        <f>""</f>
        <v/>
      </c>
      <c r="H1124" t="str">
        <f>""</f>
        <v/>
      </c>
      <c r="J1124" t="str">
        <f>"Inv# 3344874237"</f>
        <v>Inv# 3344874237</v>
      </c>
    </row>
    <row r="1125" spans="1:10" x14ac:dyDescent="0.3">
      <c r="A1125" t="str">
        <f>""</f>
        <v/>
      </c>
      <c r="G1125" t="str">
        <f>""</f>
        <v/>
      </c>
      <c r="H1125" t="str">
        <f>""</f>
        <v/>
      </c>
      <c r="J1125" t="str">
        <f>"Inv# 334874229"</f>
        <v>Inv# 334874229</v>
      </c>
    </row>
    <row r="1126" spans="1:10" x14ac:dyDescent="0.3">
      <c r="A1126" t="str">
        <f>""</f>
        <v/>
      </c>
      <c r="G1126" t="str">
        <f>""</f>
        <v/>
      </c>
      <c r="H1126" t="str">
        <f>""</f>
        <v/>
      </c>
      <c r="J1126" t="str">
        <f>"Inv# 3344874233"</f>
        <v>Inv# 3344874233</v>
      </c>
    </row>
    <row r="1127" spans="1:10" x14ac:dyDescent="0.3">
      <c r="A1127" t="str">
        <f>""</f>
        <v/>
      </c>
      <c r="G1127" t="str">
        <f>""</f>
        <v/>
      </c>
      <c r="H1127" t="str">
        <f>""</f>
        <v/>
      </c>
      <c r="J1127" t="str">
        <f>"Inv# 3344874226"</f>
        <v>Inv# 3344874226</v>
      </c>
    </row>
    <row r="1128" spans="1:10" x14ac:dyDescent="0.3">
      <c r="A1128" t="str">
        <f>""</f>
        <v/>
      </c>
      <c r="G1128" t="str">
        <f>""</f>
        <v/>
      </c>
      <c r="H1128" t="str">
        <f>""</f>
        <v/>
      </c>
      <c r="J1128" t="str">
        <f>"Inv# 3344874180"</f>
        <v>Inv# 3344874180</v>
      </c>
    </row>
    <row r="1129" spans="1:10" x14ac:dyDescent="0.3">
      <c r="A1129" t="str">
        <f>""</f>
        <v/>
      </c>
      <c r="G1129" t="str">
        <f>""</f>
        <v/>
      </c>
      <c r="H1129" t="str">
        <f>""</f>
        <v/>
      </c>
      <c r="J1129" t="str">
        <f>"Inv# 3344874119"</f>
        <v>Inv# 3344874119</v>
      </c>
    </row>
    <row r="1130" spans="1:10" x14ac:dyDescent="0.3">
      <c r="A1130" t="str">
        <f>""</f>
        <v/>
      </c>
      <c r="G1130" t="str">
        <f>""</f>
        <v/>
      </c>
      <c r="H1130" t="str">
        <f>""</f>
        <v/>
      </c>
      <c r="J1130" t="str">
        <f>"Inv# 3344874121"</f>
        <v>Inv# 3344874121</v>
      </c>
    </row>
    <row r="1131" spans="1:10" x14ac:dyDescent="0.3">
      <c r="A1131" t="str">
        <f>""</f>
        <v/>
      </c>
      <c r="G1131" t="str">
        <f>""</f>
        <v/>
      </c>
      <c r="H1131" t="str">
        <f>""</f>
        <v/>
      </c>
      <c r="J1131" t="str">
        <f>"Inv# 3344874124"</f>
        <v>Inv# 3344874124</v>
      </c>
    </row>
    <row r="1132" spans="1:10" x14ac:dyDescent="0.3">
      <c r="A1132" t="str">
        <f>""</f>
        <v/>
      </c>
      <c r="G1132" t="str">
        <f>""</f>
        <v/>
      </c>
      <c r="H1132" t="str">
        <f>""</f>
        <v/>
      </c>
      <c r="J1132" t="str">
        <f>"Inv# 3344874129"</f>
        <v>Inv# 3344874129</v>
      </c>
    </row>
    <row r="1133" spans="1:10" x14ac:dyDescent="0.3">
      <c r="A1133" t="str">
        <f>""</f>
        <v/>
      </c>
      <c r="G1133" t="str">
        <f>""</f>
        <v/>
      </c>
      <c r="H1133" t="str">
        <f>""</f>
        <v/>
      </c>
      <c r="J1133" t="str">
        <f>"Inv# 3344874134"</f>
        <v>Inv# 3344874134</v>
      </c>
    </row>
    <row r="1134" spans="1:10" x14ac:dyDescent="0.3">
      <c r="A1134" t="str">
        <f>""</f>
        <v/>
      </c>
      <c r="G1134" t="str">
        <f>""</f>
        <v/>
      </c>
      <c r="H1134" t="str">
        <f>""</f>
        <v/>
      </c>
      <c r="J1134" t="str">
        <f>"Inv# 3344874144"</f>
        <v>Inv# 3344874144</v>
      </c>
    </row>
    <row r="1135" spans="1:10" x14ac:dyDescent="0.3">
      <c r="A1135" t="str">
        <f>""</f>
        <v/>
      </c>
      <c r="G1135" t="str">
        <f>""</f>
        <v/>
      </c>
      <c r="H1135" t="str">
        <f>""</f>
        <v/>
      </c>
      <c r="J1135" t="str">
        <f>"Inv# 3344874152"</f>
        <v>Inv# 3344874152</v>
      </c>
    </row>
    <row r="1136" spans="1:10" x14ac:dyDescent="0.3">
      <c r="A1136" t="str">
        <f>""</f>
        <v/>
      </c>
      <c r="G1136" t="str">
        <f>""</f>
        <v/>
      </c>
      <c r="H1136" t="str">
        <f>""</f>
        <v/>
      </c>
      <c r="J1136" t="str">
        <f>"Inv# 3344874157"</f>
        <v>Inv# 3344874157</v>
      </c>
    </row>
    <row r="1137" spans="1:10" x14ac:dyDescent="0.3">
      <c r="A1137" t="str">
        <f>""</f>
        <v/>
      </c>
      <c r="G1137" t="str">
        <f>""</f>
        <v/>
      </c>
      <c r="H1137" t="str">
        <f>""</f>
        <v/>
      </c>
      <c r="J1137" t="str">
        <f>"Inv# 3344874158"</f>
        <v>Inv# 3344874158</v>
      </c>
    </row>
    <row r="1138" spans="1:10" x14ac:dyDescent="0.3">
      <c r="A1138" t="str">
        <f>""</f>
        <v/>
      </c>
      <c r="G1138" t="str">
        <f>""</f>
        <v/>
      </c>
      <c r="H1138" t="str">
        <f>""</f>
        <v/>
      </c>
      <c r="J1138" t="str">
        <f>"Inv# 3344874160"</f>
        <v>Inv# 3344874160</v>
      </c>
    </row>
    <row r="1139" spans="1:10" x14ac:dyDescent="0.3">
      <c r="A1139" t="str">
        <f>"T5850"</f>
        <v>T5850</v>
      </c>
      <c r="B1139" t="s">
        <v>389</v>
      </c>
      <c r="C1139">
        <v>71820</v>
      </c>
      <c r="D1139" s="2">
        <v>265</v>
      </c>
      <c r="E1139" s="1">
        <v>42940</v>
      </c>
      <c r="F1139" t="s">
        <v>11</v>
      </c>
      <c r="G1139" t="str">
        <f>"201707113485"</f>
        <v>201707113485</v>
      </c>
      <c r="H1139" t="str">
        <f>"2017-2018 STATE BAR MEMBERSHIP"</f>
        <v>2017-2018 STATE BAR MEMBERSHIP</v>
      </c>
      <c r="I1139" s="2">
        <v>265</v>
      </c>
      <c r="J1139" t="str">
        <f>"2017-2018 STATE BAR MEMBERSHIP"</f>
        <v>2017-2018 STATE BAR MEMBERSHIP</v>
      </c>
    </row>
    <row r="1140" spans="1:10" x14ac:dyDescent="0.3">
      <c r="A1140" t="str">
        <f>"ST"</f>
        <v>ST</v>
      </c>
      <c r="B1140" t="s">
        <v>390</v>
      </c>
      <c r="C1140">
        <v>71884</v>
      </c>
      <c r="D1140" s="2">
        <v>2321.0700000000002</v>
      </c>
      <c r="E1140" s="1">
        <v>42944</v>
      </c>
      <c r="F1140" t="s">
        <v>11</v>
      </c>
      <c r="G1140" t="str">
        <f>"201707283877"</f>
        <v>201707283877</v>
      </c>
      <c r="H1140" t="str">
        <f>"Sexual Assault Q2 Apr/June '17"</f>
        <v>Sexual Assault Q2 Apr/June '17</v>
      </c>
      <c r="I1140" s="2">
        <v>410</v>
      </c>
      <c r="J1140" t="str">
        <f>"Sexual Assault Q2 Apr/June '17"</f>
        <v>Sexual Assault Q2 Apr/June '17</v>
      </c>
    </row>
    <row r="1141" spans="1:10" x14ac:dyDescent="0.3">
      <c r="A1141" t="str">
        <f>""</f>
        <v/>
      </c>
      <c r="G1141" t="str">
        <f>"201707283878"</f>
        <v>201707283878</v>
      </c>
      <c r="H1141" t="str">
        <f>"Drug Court Q2 Apr to June '17"</f>
        <v>Drug Court Q2 Apr to June '17</v>
      </c>
      <c r="I1141" s="2">
        <v>1911.07</v>
      </c>
      <c r="J1141" t="str">
        <f>"Drug Court Q2 Apr to June '17"</f>
        <v>Drug Court Q2 Apr to June '17</v>
      </c>
    </row>
    <row r="1142" spans="1:10" x14ac:dyDescent="0.3">
      <c r="A1142" t="str">
        <f>"T459"</f>
        <v>T459</v>
      </c>
      <c r="B1142" t="s">
        <v>391</v>
      </c>
      <c r="C1142">
        <v>71821</v>
      </c>
      <c r="D1142" s="2">
        <v>526.16</v>
      </c>
      <c r="E1142" s="1">
        <v>42940</v>
      </c>
      <c r="F1142" t="s">
        <v>11</v>
      </c>
      <c r="G1142" t="str">
        <f>"201707143632"</f>
        <v>201707143632</v>
      </c>
      <c r="H1142" t="str">
        <f>"EIN#74-6000226/JUNE 2017"</f>
        <v>EIN#74-6000226/JUNE 2017</v>
      </c>
      <c r="I1142" s="2">
        <v>526.16</v>
      </c>
      <c r="J1142" t="str">
        <f>"EIN#74-6000226/JUNE 2017"</f>
        <v>EIN#74-6000226/JUNE 2017</v>
      </c>
    </row>
    <row r="1143" spans="1:10" x14ac:dyDescent="0.3">
      <c r="A1143" t="str">
        <f>"T8648"</f>
        <v>T8648</v>
      </c>
      <c r="B1143" t="s">
        <v>392</v>
      </c>
      <c r="C1143">
        <v>71495</v>
      </c>
      <c r="D1143" s="2">
        <v>723.61</v>
      </c>
      <c r="E1143" s="1">
        <v>42926</v>
      </c>
      <c r="F1143" t="s">
        <v>11</v>
      </c>
      <c r="G1143" t="str">
        <f>"4007180883"</f>
        <v>4007180883</v>
      </c>
      <c r="H1143" t="str">
        <f>"MEDICAL WASTE 4007180883"</f>
        <v>MEDICAL WASTE 4007180883</v>
      </c>
      <c r="I1143" s="2">
        <v>723.61</v>
      </c>
      <c r="J1143" t="str">
        <f>"MEDICAL WASTE 4007180883"</f>
        <v>MEDICAL WASTE 4007180883</v>
      </c>
    </row>
    <row r="1144" spans="1:10" x14ac:dyDescent="0.3">
      <c r="A1144" t="str">
        <f>"002260"</f>
        <v>002260</v>
      </c>
      <c r="B1144" t="s">
        <v>393</v>
      </c>
      <c r="C1144">
        <v>71496</v>
      </c>
      <c r="D1144" s="2">
        <v>286</v>
      </c>
      <c r="E1144" s="1">
        <v>42926</v>
      </c>
      <c r="F1144" t="s">
        <v>11</v>
      </c>
      <c r="G1144" t="str">
        <f>"201707063378"</f>
        <v>201707063378</v>
      </c>
      <c r="H1144" t="str">
        <f>"06/26/17 - 06/30/17"</f>
        <v>06/26/17 - 06/30/17</v>
      </c>
      <c r="I1144" s="2">
        <v>214.5</v>
      </c>
      <c r="J1144" t="str">
        <f>"06/26/17 - 06/30/17"</f>
        <v>06/26/17 - 06/30/17</v>
      </c>
    </row>
    <row r="1145" spans="1:10" x14ac:dyDescent="0.3">
      <c r="A1145" t="str">
        <f>""</f>
        <v/>
      </c>
      <c r="G1145" t="str">
        <f>"201707063380"</f>
        <v>201707063380</v>
      </c>
      <c r="H1145" t="str">
        <f>"07/03/17 - 07/07/17"</f>
        <v>07/03/17 - 07/07/17</v>
      </c>
      <c r="I1145" s="2">
        <v>71.5</v>
      </c>
      <c r="J1145" t="str">
        <f>"STEVE GRANADO"</f>
        <v>STEVE GRANADO</v>
      </c>
    </row>
    <row r="1146" spans="1:10" x14ac:dyDescent="0.3">
      <c r="A1146" t="str">
        <f>"002260"</f>
        <v>002260</v>
      </c>
      <c r="B1146" t="s">
        <v>393</v>
      </c>
      <c r="C1146">
        <v>71822</v>
      </c>
      <c r="D1146" s="2">
        <v>435.5</v>
      </c>
      <c r="E1146" s="1">
        <v>42940</v>
      </c>
      <c r="F1146" t="s">
        <v>11</v>
      </c>
      <c r="G1146" t="str">
        <f>"201707183673"</f>
        <v>201707183673</v>
      </c>
      <c r="H1146" t="str">
        <f>"TRASH REMOVAL/PCT #4"</f>
        <v>TRASH REMOVAL/PCT #4</v>
      </c>
      <c r="I1146" s="2">
        <v>435.5</v>
      </c>
      <c r="J1146" t="str">
        <f>"TRASH REMOVAL/PCT #4"</f>
        <v>TRASH REMOVAL/PCT #4</v>
      </c>
    </row>
    <row r="1147" spans="1:10" x14ac:dyDescent="0.3">
      <c r="A1147" t="str">
        <f>"001804"</f>
        <v>001804</v>
      </c>
      <c r="B1147" t="s">
        <v>394</v>
      </c>
      <c r="C1147">
        <v>71823</v>
      </c>
      <c r="D1147" s="2">
        <v>320.69</v>
      </c>
      <c r="E1147" s="1">
        <v>42940</v>
      </c>
      <c r="F1147" t="s">
        <v>11</v>
      </c>
      <c r="G1147" t="str">
        <f>"201707133611"</f>
        <v>201707133611</v>
      </c>
      <c r="H1147" t="str">
        <f>"REIMBURSEMENT FOR EXPENSES"</f>
        <v>REIMBURSEMENT FOR EXPENSES</v>
      </c>
      <c r="I1147" s="2">
        <v>320.69</v>
      </c>
      <c r="J1147" t="str">
        <f>"REIMBURSEMENT FOR EXPENSES"</f>
        <v>REIMBURSEMENT FOR EXPENSES</v>
      </c>
    </row>
    <row r="1148" spans="1:10" x14ac:dyDescent="0.3">
      <c r="A1148" t="str">
        <f>""</f>
        <v/>
      </c>
      <c r="G1148" t="str">
        <f>""</f>
        <v/>
      </c>
      <c r="H1148" t="str">
        <f>""</f>
        <v/>
      </c>
      <c r="J1148" t="str">
        <f>"REIMBURSEMENT FOR EXPENSES"</f>
        <v>REIMBURSEMENT FOR EXPENSES</v>
      </c>
    </row>
    <row r="1149" spans="1:10" x14ac:dyDescent="0.3">
      <c r="A1149" t="str">
        <f>"004216"</f>
        <v>004216</v>
      </c>
      <c r="B1149" t="s">
        <v>395</v>
      </c>
      <c r="C1149">
        <v>71497</v>
      </c>
      <c r="D1149" s="2">
        <v>101</v>
      </c>
      <c r="E1149" s="1">
        <v>42926</v>
      </c>
      <c r="F1149" t="s">
        <v>11</v>
      </c>
      <c r="G1149" t="str">
        <f>"9283726401"</f>
        <v>9283726401</v>
      </c>
      <c r="H1149" t="str">
        <f>"INV 9283726401"</f>
        <v>INV 9283726401</v>
      </c>
      <c r="I1149" s="2">
        <v>51</v>
      </c>
      <c r="J1149" t="str">
        <f>"INV 9283726401"</f>
        <v>INV 9283726401</v>
      </c>
    </row>
    <row r="1150" spans="1:10" x14ac:dyDescent="0.3">
      <c r="A1150" t="str">
        <f>""</f>
        <v/>
      </c>
      <c r="G1150" t="str">
        <f>"9285599647"</f>
        <v>9285599647</v>
      </c>
      <c r="H1150" t="str">
        <f>"INV 9285599647"</f>
        <v>INV 9285599647</v>
      </c>
      <c r="I1150" s="2">
        <v>50</v>
      </c>
      <c r="J1150" t="str">
        <f>"INV 9285599647"</f>
        <v>INV 9285599647</v>
      </c>
    </row>
    <row r="1151" spans="1:10" x14ac:dyDescent="0.3">
      <c r="A1151" t="str">
        <f>"002224"</f>
        <v>002224</v>
      </c>
      <c r="B1151" t="s">
        <v>396</v>
      </c>
      <c r="C1151">
        <v>71824</v>
      </c>
      <c r="D1151" s="2">
        <v>489</v>
      </c>
      <c r="E1151" s="1">
        <v>42940</v>
      </c>
      <c r="F1151" t="s">
        <v>11</v>
      </c>
      <c r="G1151" t="str">
        <f>"16-S-04157"</f>
        <v>16-S-04157</v>
      </c>
      <c r="H1151" t="str">
        <f>"SANE EXAM"</f>
        <v>SANE EXAM</v>
      </c>
      <c r="I1151" s="2">
        <v>489</v>
      </c>
      <c r="J1151" t="str">
        <f>"SANE EXAM"</f>
        <v>SANE EXAM</v>
      </c>
    </row>
    <row r="1152" spans="1:10" x14ac:dyDescent="0.3">
      <c r="A1152" t="str">
        <f>"004087"</f>
        <v>004087</v>
      </c>
      <c r="B1152" t="s">
        <v>397</v>
      </c>
      <c r="C1152">
        <v>71498</v>
      </c>
      <c r="D1152" s="2">
        <v>91.28</v>
      </c>
      <c r="E1152" s="1">
        <v>42926</v>
      </c>
      <c r="F1152" t="s">
        <v>11</v>
      </c>
      <c r="G1152" t="str">
        <f>"17070507"</f>
        <v>17070507</v>
      </c>
      <c r="H1152" t="str">
        <f>"SVC CONTRACT-COUNTY CLERK"</f>
        <v>SVC CONTRACT-COUNTY CLERK</v>
      </c>
      <c r="I1152" s="2">
        <v>91.28</v>
      </c>
      <c r="J1152" t="str">
        <f>"SVC CONTRACT-COUNTY CLERK"</f>
        <v>SVC CONTRACT-COUNTY CLERK</v>
      </c>
    </row>
    <row r="1153" spans="1:10" x14ac:dyDescent="0.3">
      <c r="A1153" t="str">
        <f>"TAE"</f>
        <v>TAE</v>
      </c>
      <c r="B1153" t="s">
        <v>398</v>
      </c>
      <c r="C1153">
        <v>71825</v>
      </c>
      <c r="D1153" s="2">
        <v>314.45999999999998</v>
      </c>
      <c r="E1153" s="1">
        <v>42940</v>
      </c>
      <c r="F1153" t="s">
        <v>11</v>
      </c>
      <c r="G1153" t="str">
        <f>"54454"</f>
        <v>54454</v>
      </c>
      <c r="H1153" t="str">
        <f>"SUPPLIES/PCT#3"</f>
        <v>SUPPLIES/PCT#3</v>
      </c>
      <c r="I1153" s="2">
        <v>314.45999999999998</v>
      </c>
      <c r="J1153" t="str">
        <f>"SUPPLIES/PCT#3"</f>
        <v>SUPPLIES/PCT#3</v>
      </c>
    </row>
    <row r="1154" spans="1:10" x14ac:dyDescent="0.3">
      <c r="A1154" t="str">
        <f>"TIMW"</f>
        <v>TIMW</v>
      </c>
      <c r="B1154" t="s">
        <v>399</v>
      </c>
      <c r="C1154">
        <v>71499</v>
      </c>
      <c r="D1154" s="2">
        <v>40</v>
      </c>
      <c r="E1154" s="1">
        <v>42926</v>
      </c>
      <c r="F1154" t="s">
        <v>11</v>
      </c>
      <c r="G1154" t="str">
        <f>"10756"</f>
        <v>10756</v>
      </c>
      <c r="H1154" t="str">
        <f>"SALES ORD#10777/PCT#2"</f>
        <v>SALES ORD#10777/PCT#2</v>
      </c>
      <c r="I1154" s="2">
        <v>40</v>
      </c>
      <c r="J1154" t="str">
        <f>"SALES ORD#10777/PCT#2"</f>
        <v>SALES ORD#10777/PCT#2</v>
      </c>
    </row>
    <row r="1155" spans="1:10" x14ac:dyDescent="0.3">
      <c r="A1155" t="str">
        <f>"T7300"</f>
        <v>T7300</v>
      </c>
      <c r="B1155" t="s">
        <v>400</v>
      </c>
      <c r="C1155">
        <v>71826</v>
      </c>
      <c r="D1155" s="2">
        <v>1000</v>
      </c>
      <c r="E1155" s="1">
        <v>42940</v>
      </c>
      <c r="F1155" t="s">
        <v>11</v>
      </c>
      <c r="G1155" t="str">
        <f>"123097"</f>
        <v>123097</v>
      </c>
      <c r="H1155" t="str">
        <f>"REGISTRATION-K. RUEHMAN"</f>
        <v>REGISTRATION-K. RUEHMAN</v>
      </c>
      <c r="I1155" s="2">
        <v>350</v>
      </c>
      <c r="J1155" t="str">
        <f>"REGISTRATION-K. RUEHMAN"</f>
        <v>REGISTRATION-K. RUEHMAN</v>
      </c>
    </row>
    <row r="1156" spans="1:10" x14ac:dyDescent="0.3">
      <c r="A1156" t="str">
        <f>""</f>
        <v/>
      </c>
      <c r="G1156" t="str">
        <f>"124945"</f>
        <v>124945</v>
      </c>
      <c r="H1156" t="str">
        <f>"2017 LEGISLATIVE UPDATE"</f>
        <v>2017 LEGISLATIVE UPDATE</v>
      </c>
      <c r="I1156" s="2">
        <v>100</v>
      </c>
      <c r="J1156" t="str">
        <f>"2017 LEGISLATIVE UPDATE"</f>
        <v>2017 LEGISLATIVE UPDATE</v>
      </c>
    </row>
    <row r="1157" spans="1:10" x14ac:dyDescent="0.3">
      <c r="A1157" t="str">
        <f>""</f>
        <v/>
      </c>
      <c r="G1157" t="str">
        <f>"124971"</f>
        <v>124971</v>
      </c>
      <c r="H1157" t="str">
        <f>"2017 ANNUAL CRIM &amp; CIVIL CONV"</f>
        <v>2017 ANNUAL CRIM &amp; CIVIL CONV</v>
      </c>
      <c r="I1157" s="2">
        <v>350</v>
      </c>
      <c r="J1157" t="str">
        <f>"2017 ANNUAL CRIM &amp; CIVIL CONV"</f>
        <v>2017 ANNUAL CRIM &amp; CIVIL CONV</v>
      </c>
    </row>
    <row r="1158" spans="1:10" x14ac:dyDescent="0.3">
      <c r="A1158" t="str">
        <f>""</f>
        <v/>
      </c>
      <c r="G1158" t="str">
        <f>"125361"</f>
        <v>125361</v>
      </c>
      <c r="H1158" t="str">
        <f>"AUSTIN 2017 LEG UPDATE-D.LEWIS"</f>
        <v>AUSTIN 2017 LEG UPDATE-D.LEWIS</v>
      </c>
      <c r="I1158" s="2">
        <v>100</v>
      </c>
      <c r="J1158" t="str">
        <f>"AUSTIN 2017 LEG UPDATE-D.LEWIS"</f>
        <v>AUSTIN 2017 LEG UPDATE-D.LEWIS</v>
      </c>
    </row>
    <row r="1159" spans="1:10" x14ac:dyDescent="0.3">
      <c r="A1159" t="str">
        <f>""</f>
        <v/>
      </c>
      <c r="G1159" t="str">
        <f>"125365"</f>
        <v>125365</v>
      </c>
      <c r="H1159" t="str">
        <f>"AUSTIN 2017 LEGISLATIVE UPDATE"</f>
        <v>AUSTIN 2017 LEGISLATIVE UPDATE</v>
      </c>
      <c r="I1159" s="2">
        <v>100</v>
      </c>
      <c r="J1159" t="str">
        <f>"AUSTIN 2017 LEGISLATIVE UPDATE"</f>
        <v>AUSTIN 2017 LEGISLATIVE UPDATE</v>
      </c>
    </row>
    <row r="1160" spans="1:10" x14ac:dyDescent="0.3">
      <c r="A1160" t="str">
        <f>"T8745"</f>
        <v>T8745</v>
      </c>
      <c r="B1160" t="s">
        <v>401</v>
      </c>
      <c r="C1160">
        <v>71827</v>
      </c>
      <c r="D1160" s="2">
        <v>193</v>
      </c>
      <c r="E1160" s="1">
        <v>42940</v>
      </c>
      <c r="F1160" t="s">
        <v>11</v>
      </c>
      <c r="G1160" t="str">
        <f>"1708056"</f>
        <v>1708056</v>
      </c>
      <c r="H1160" t="str">
        <f>"MONTHLY MAINT AGREEMENT"</f>
        <v>MONTHLY MAINT AGREEMENT</v>
      </c>
      <c r="I1160" s="2">
        <v>193</v>
      </c>
      <c r="J1160" t="str">
        <f>"MONTHLY MAINT AGREEMENT"</f>
        <v>MONTHLY MAINT AGREEMENT</v>
      </c>
    </row>
    <row r="1161" spans="1:10" x14ac:dyDescent="0.3">
      <c r="A1161" t="str">
        <f>"002996"</f>
        <v>002996</v>
      </c>
      <c r="B1161" t="s">
        <v>402</v>
      </c>
      <c r="C1161">
        <v>71500</v>
      </c>
      <c r="D1161" s="2">
        <v>3774</v>
      </c>
      <c r="E1161" s="1">
        <v>42926</v>
      </c>
      <c r="F1161" t="s">
        <v>11</v>
      </c>
      <c r="G1161" t="str">
        <f>"1132"</f>
        <v>1132</v>
      </c>
      <c r="H1161" t="str">
        <f>"CONCRETE WK/RIVERSIDE DR/PCT#1"</f>
        <v>CONCRETE WK/RIVERSIDE DR/PCT#1</v>
      </c>
      <c r="I1161" s="2">
        <v>1560</v>
      </c>
      <c r="J1161" t="str">
        <f>"CONCRETE WK/RIVERSIDE DR/PCT#1"</f>
        <v>CONCRETE WK/RIVERSIDE DR/PCT#1</v>
      </c>
    </row>
    <row r="1162" spans="1:10" x14ac:dyDescent="0.3">
      <c r="A1162" t="str">
        <f>""</f>
        <v/>
      </c>
      <c r="G1162" t="str">
        <f>"1133"</f>
        <v>1133</v>
      </c>
      <c r="H1162" t="str">
        <f>"CONCRETE WK/KAANAPALI LN/PCT#1"</f>
        <v>CONCRETE WK/KAANAPALI LN/PCT#1</v>
      </c>
      <c r="I1162" s="2">
        <v>484</v>
      </c>
      <c r="J1162" t="str">
        <f>"CONCRETE WK/KAANAPALI LN/PCT#1"</f>
        <v>CONCRETE WK/KAANAPALI LN/PCT#1</v>
      </c>
    </row>
    <row r="1163" spans="1:10" x14ac:dyDescent="0.3">
      <c r="A1163" t="str">
        <f>""</f>
        <v/>
      </c>
      <c r="G1163" t="str">
        <f>"1134"</f>
        <v>1134</v>
      </c>
      <c r="H1163" t="str">
        <f>"CONCRETE 411 KAANAPALI / P1"</f>
        <v>CONCRETE 411 KAANAPALI / P1</v>
      </c>
      <c r="I1163" s="2">
        <v>290</v>
      </c>
      <c r="J1163" t="str">
        <f>"CONCRETE 411 KAANAPALI / P1"</f>
        <v>CONCRETE 411 KAANAPALI / P1</v>
      </c>
    </row>
    <row r="1164" spans="1:10" x14ac:dyDescent="0.3">
      <c r="A1164" t="str">
        <f>""</f>
        <v/>
      </c>
      <c r="G1164" t="str">
        <f>"1135"</f>
        <v>1135</v>
      </c>
      <c r="H1164" t="str">
        <f>"CONCRETE WK/117 ALCALOA/PCT#1"</f>
        <v>CONCRETE WK/117 ALCALOA/PCT#1</v>
      </c>
      <c r="I1164" s="2">
        <v>200</v>
      </c>
      <c r="J1164" t="str">
        <f>"CONCRETE WK/117 ALCALOA/PCT#1"</f>
        <v>CONCRETE WK/117 ALCALOA/PCT#1</v>
      </c>
    </row>
    <row r="1165" spans="1:10" x14ac:dyDescent="0.3">
      <c r="A1165" t="str">
        <f>""</f>
        <v/>
      </c>
      <c r="G1165" t="str">
        <f>"1136"</f>
        <v>1136</v>
      </c>
      <c r="H1165" t="str">
        <f>"CONCRETE WK/N POHAKEA DR/PCT#1"</f>
        <v>CONCRETE WK/N POHAKEA DR/PCT#1</v>
      </c>
      <c r="I1165" s="2">
        <v>68</v>
      </c>
      <c r="J1165" t="str">
        <f>"CONCRETE WK/N POHAKEA DR/PCT#1"</f>
        <v>CONCRETE WK/N POHAKEA DR/PCT#1</v>
      </c>
    </row>
    <row r="1166" spans="1:10" x14ac:dyDescent="0.3">
      <c r="A1166" t="str">
        <f>""</f>
        <v/>
      </c>
      <c r="G1166" t="str">
        <f>"1137"</f>
        <v>1137</v>
      </c>
      <c r="H1166" t="str">
        <f>"CONCRETE WK/KOAHIKIAPU/PCT#1"</f>
        <v>CONCRETE WK/KOAHIKIAPU/PCT#1</v>
      </c>
      <c r="I1166" s="2">
        <v>68</v>
      </c>
      <c r="J1166" t="str">
        <f>"CONCRETE WK/KOAHIKIAPU/PCT#1"</f>
        <v>CONCRETE WK/KOAHIKIAPU/PCT#1</v>
      </c>
    </row>
    <row r="1167" spans="1:10" x14ac:dyDescent="0.3">
      <c r="A1167" t="str">
        <f>""</f>
        <v/>
      </c>
      <c r="G1167" t="str">
        <f>"1138"</f>
        <v>1138</v>
      </c>
      <c r="H1167" t="str">
        <f>"CONCRETE WK/RIVERWOOD DR/PCT#1"</f>
        <v>CONCRETE WK/RIVERWOOD DR/PCT#1</v>
      </c>
      <c r="I1167" s="2">
        <v>400</v>
      </c>
      <c r="J1167" t="str">
        <f>"CONCRETE WK/RIVERWOOD DR/PCT#1"</f>
        <v>CONCRETE WK/RIVERWOOD DR/PCT#1</v>
      </c>
    </row>
    <row r="1168" spans="1:10" x14ac:dyDescent="0.3">
      <c r="A1168" t="str">
        <f>""</f>
        <v/>
      </c>
      <c r="G1168" t="str">
        <f>"1139"</f>
        <v>1139</v>
      </c>
      <c r="H1168" t="str">
        <f>"CONCRETE WK/KAANAPALI/PCT#1"</f>
        <v>CONCRETE WK/KAANAPALI/PCT#1</v>
      </c>
      <c r="I1168" s="2">
        <v>300</v>
      </c>
      <c r="J1168" t="str">
        <f>"CONCRETE WK/KAANAPALI/PCT#1"</f>
        <v>CONCRETE WK/KAANAPALI/PCT#1</v>
      </c>
    </row>
    <row r="1169" spans="1:10" x14ac:dyDescent="0.3">
      <c r="A1169" t="str">
        <f>""</f>
        <v/>
      </c>
      <c r="G1169" t="str">
        <f>"1140"</f>
        <v>1140</v>
      </c>
      <c r="H1169" t="str">
        <f>"CONCRETE WK/PCT#1"</f>
        <v>CONCRETE WK/PCT#1</v>
      </c>
      <c r="I1169" s="2">
        <v>101</v>
      </c>
      <c r="J1169" t="str">
        <f>"CONCRETE WK/PCT#1"</f>
        <v>CONCRETE WK/PCT#1</v>
      </c>
    </row>
    <row r="1170" spans="1:10" x14ac:dyDescent="0.3">
      <c r="A1170" t="str">
        <f>""</f>
        <v/>
      </c>
      <c r="G1170" t="str">
        <f>"1141"</f>
        <v>1141</v>
      </c>
      <c r="H1170" t="str">
        <f>"CONCRETE WK/MANAWAIANUI/PCT#1"</f>
        <v>CONCRETE WK/MANAWAIANUI/PCT#1</v>
      </c>
      <c r="I1170" s="2">
        <v>101</v>
      </c>
      <c r="J1170" t="str">
        <f>"CONCRETE WORK/PCT#1"</f>
        <v>CONCRETE WORK/PCT#1</v>
      </c>
    </row>
    <row r="1171" spans="1:10" x14ac:dyDescent="0.3">
      <c r="A1171" t="str">
        <f>""</f>
        <v/>
      </c>
      <c r="G1171" t="str">
        <f>"1142"</f>
        <v>1142</v>
      </c>
      <c r="H1171" t="str">
        <f>"CONCRETE WORK/KAINALU LN/PCT#1"</f>
        <v>CONCRETE WORK/KAINALU LN/PCT#1</v>
      </c>
      <c r="I1171" s="2">
        <v>101</v>
      </c>
      <c r="J1171" t="str">
        <f>"CONCRETE WORK/KAINALU LN/PCT#1"</f>
        <v>CONCRETE WORK/KAINALU LN/PCT#1</v>
      </c>
    </row>
    <row r="1172" spans="1:10" x14ac:dyDescent="0.3">
      <c r="A1172" t="str">
        <f>""</f>
        <v/>
      </c>
      <c r="G1172" t="str">
        <f>"1143"</f>
        <v>1143</v>
      </c>
      <c r="H1172" t="str">
        <f>"CONCRETE WK/KAINALU DR/PCT#1"</f>
        <v>CONCRETE WK/KAINALU DR/PCT#1</v>
      </c>
      <c r="I1172" s="2">
        <v>101</v>
      </c>
      <c r="J1172" t="str">
        <f>"CONCRETE WK/KAINALU DR/PCT#1"</f>
        <v>CONCRETE WK/KAINALU DR/PCT#1</v>
      </c>
    </row>
    <row r="1173" spans="1:10" x14ac:dyDescent="0.3">
      <c r="A1173" t="str">
        <f>"T11830"</f>
        <v>T11830</v>
      </c>
      <c r="B1173" t="s">
        <v>403</v>
      </c>
      <c r="C1173">
        <v>71501</v>
      </c>
      <c r="D1173" s="2">
        <v>194.4</v>
      </c>
      <c r="E1173" s="1">
        <v>42926</v>
      </c>
      <c r="F1173" t="s">
        <v>11</v>
      </c>
      <c r="G1173" t="str">
        <f>"201706293288"</f>
        <v>201706293288</v>
      </c>
      <c r="H1173" t="str">
        <f>"MILEAGE-11/30/2016"</f>
        <v>MILEAGE-11/30/2016</v>
      </c>
      <c r="I1173" s="2">
        <v>129.6</v>
      </c>
      <c r="J1173" t="str">
        <f>"MILEAGE-11/30/2016"</f>
        <v>MILEAGE-11/30/2016</v>
      </c>
    </row>
    <row r="1174" spans="1:10" x14ac:dyDescent="0.3">
      <c r="A1174" t="str">
        <f>""</f>
        <v/>
      </c>
      <c r="G1174" t="str">
        <f>"201706293289"</f>
        <v>201706293289</v>
      </c>
      <c r="H1174" t="str">
        <f>"MILEAGE-4/28/2017"</f>
        <v>MILEAGE-4/28/2017</v>
      </c>
      <c r="I1174" s="2">
        <v>64.8</v>
      </c>
      <c r="J1174" t="str">
        <f>"MILEAGE-4/28/2017"</f>
        <v>MILEAGE-4/28/2017</v>
      </c>
    </row>
    <row r="1175" spans="1:10" x14ac:dyDescent="0.3">
      <c r="A1175" t="str">
        <f>"T6855"</f>
        <v>T6855</v>
      </c>
      <c r="B1175" t="s">
        <v>404</v>
      </c>
      <c r="C1175">
        <v>71502</v>
      </c>
      <c r="D1175" s="2">
        <v>9843.98</v>
      </c>
      <c r="E1175" s="1">
        <v>42926</v>
      </c>
      <c r="F1175" t="s">
        <v>11</v>
      </c>
      <c r="G1175" t="str">
        <f>"0654895-IN"</f>
        <v>0654895-IN</v>
      </c>
      <c r="H1175" t="str">
        <f>"CUST#01-0112917/PCT#3"</f>
        <v>CUST#01-0112917/PCT#3</v>
      </c>
      <c r="I1175" s="2">
        <v>3226.51</v>
      </c>
      <c r="J1175" t="str">
        <f>"CUST#01-0112917/PCT#3"</f>
        <v>CUST#01-0112917/PCT#3</v>
      </c>
    </row>
    <row r="1176" spans="1:10" x14ac:dyDescent="0.3">
      <c r="A1176" t="str">
        <f>""</f>
        <v/>
      </c>
      <c r="G1176" t="str">
        <f>"0654900-IN"</f>
        <v>0654900-IN</v>
      </c>
      <c r="H1176" t="str">
        <f>"CUST#01-0112917/PRECINCT#2"</f>
        <v>CUST#01-0112917/PRECINCT#2</v>
      </c>
      <c r="I1176" s="2">
        <v>1898.65</v>
      </c>
      <c r="J1176" t="str">
        <f>"CUST#01-0112917/PRECINCT#2"</f>
        <v>CUST#01-0112917/PRECINCT#2</v>
      </c>
    </row>
    <row r="1177" spans="1:10" x14ac:dyDescent="0.3">
      <c r="A1177" t="str">
        <f>""</f>
        <v/>
      </c>
      <c r="G1177" t="str">
        <f>"0656402-IN"</f>
        <v>0656402-IN</v>
      </c>
      <c r="H1177" t="str">
        <f>"CUST#01-0112917/PCT#3"</f>
        <v>CUST#01-0112917/PCT#3</v>
      </c>
      <c r="I1177" s="2">
        <v>2648.48</v>
      </c>
      <c r="J1177" t="str">
        <f>"CUST#01-0112917/PCT#3"</f>
        <v>CUST#01-0112917/PCT#3</v>
      </c>
    </row>
    <row r="1178" spans="1:10" x14ac:dyDescent="0.3">
      <c r="A1178" t="str">
        <f>""</f>
        <v/>
      </c>
      <c r="G1178" t="str">
        <f>"0656746-IN"</f>
        <v>0656746-IN</v>
      </c>
      <c r="H1178" t="str">
        <f>"CUST#01-0112917/PRECINCT #2"</f>
        <v>CUST#01-0112917/PRECINCT #2</v>
      </c>
      <c r="I1178" s="2">
        <v>2070.34</v>
      </c>
      <c r="J1178" t="str">
        <f>"CUST#01-0112917/PRECINCT #2"</f>
        <v>CUST#01-0112917/PRECINCT #2</v>
      </c>
    </row>
    <row r="1179" spans="1:10" x14ac:dyDescent="0.3">
      <c r="A1179" t="str">
        <f>"T6855"</f>
        <v>T6855</v>
      </c>
      <c r="B1179" t="s">
        <v>404</v>
      </c>
      <c r="C1179">
        <v>71828</v>
      </c>
      <c r="D1179" s="2">
        <v>5190.72</v>
      </c>
      <c r="E1179" s="1">
        <v>42940</v>
      </c>
      <c r="F1179" t="s">
        <v>11</v>
      </c>
      <c r="G1179" t="str">
        <f>"0658395-IN"</f>
        <v>0658395-IN</v>
      </c>
      <c r="H1179" t="str">
        <f>"CUST#01-0112917/PCT#2"</f>
        <v>CUST#01-0112917/PCT#2</v>
      </c>
      <c r="I1179" s="2">
        <v>2342.79</v>
      </c>
      <c r="J1179" t="str">
        <f>"CUST#01-0112917/PCT#2"</f>
        <v>CUST#01-0112917/PCT#2</v>
      </c>
    </row>
    <row r="1180" spans="1:10" x14ac:dyDescent="0.3">
      <c r="A1180" t="str">
        <f>""</f>
        <v/>
      </c>
      <c r="G1180" t="str">
        <f>"0659761-IN"</f>
        <v>0659761-IN</v>
      </c>
      <c r="H1180" t="str">
        <f>"ACCT#01-0112917/PCT#3"</f>
        <v>ACCT#01-0112917/PCT#3</v>
      </c>
      <c r="I1180" s="2">
        <v>2847.93</v>
      </c>
      <c r="J1180" t="str">
        <f>"ACCT#01-0112917/PCT#3"</f>
        <v>ACCT#01-0112917/PCT#3</v>
      </c>
    </row>
    <row r="1181" spans="1:10" x14ac:dyDescent="0.3">
      <c r="A1181" t="str">
        <f>"T14371"</f>
        <v>T14371</v>
      </c>
      <c r="B1181" t="s">
        <v>405</v>
      </c>
      <c r="C1181">
        <v>71503</v>
      </c>
      <c r="D1181" s="2">
        <v>386.65</v>
      </c>
      <c r="E1181" s="1">
        <v>42926</v>
      </c>
      <c r="F1181" t="s">
        <v>11</v>
      </c>
      <c r="G1181" t="str">
        <f>"201707053336"</f>
        <v>201707053336</v>
      </c>
      <c r="H1181" t="str">
        <f>"OPTIONAL SVCS/INDIGENT HEALTH"</f>
        <v>OPTIONAL SVCS/INDIGENT HEALTH</v>
      </c>
      <c r="I1181" s="2">
        <v>386.65</v>
      </c>
      <c r="J1181" t="str">
        <f>"OPTIONAL SVCS/INDIGENT HEALTH"</f>
        <v>OPTIONAL SVCS/INDIGENT HEALTH</v>
      </c>
    </row>
    <row r="1182" spans="1:10" x14ac:dyDescent="0.3">
      <c r="A1182" t="str">
        <f>"T14371"</f>
        <v>T14371</v>
      </c>
      <c r="B1182" t="s">
        <v>405</v>
      </c>
      <c r="C1182">
        <v>71829</v>
      </c>
      <c r="D1182" s="2">
        <v>2135.62</v>
      </c>
      <c r="E1182" s="1">
        <v>42940</v>
      </c>
      <c r="F1182" t="s">
        <v>11</v>
      </c>
      <c r="G1182" t="str">
        <f>"201707193787"</f>
        <v>201707193787</v>
      </c>
      <c r="H1182" t="str">
        <f>"INDIGENT HEALTH"</f>
        <v>INDIGENT HEALTH</v>
      </c>
      <c r="I1182" s="2">
        <v>2135.62</v>
      </c>
      <c r="J1182" t="str">
        <f>"INDIGENT HEALTH"</f>
        <v>INDIGENT HEALTH</v>
      </c>
    </row>
    <row r="1183" spans="1:10" x14ac:dyDescent="0.3">
      <c r="A1183" t="str">
        <f>""</f>
        <v/>
      </c>
      <c r="G1183" t="str">
        <f>""</f>
        <v/>
      </c>
      <c r="H1183" t="str">
        <f>""</f>
        <v/>
      </c>
      <c r="J1183" t="str">
        <f>"INDIGENT HEALTH"</f>
        <v>INDIGENT HEALTH</v>
      </c>
    </row>
    <row r="1184" spans="1:10" x14ac:dyDescent="0.3">
      <c r="A1184" t="str">
        <f>"TXAGG"</f>
        <v>TXAGG</v>
      </c>
      <c r="B1184" t="s">
        <v>406</v>
      </c>
      <c r="C1184">
        <v>71504</v>
      </c>
      <c r="D1184" s="2">
        <v>3106.25</v>
      </c>
      <c r="E1184" s="1">
        <v>42926</v>
      </c>
      <c r="F1184" t="s">
        <v>11</v>
      </c>
      <c r="G1184" t="str">
        <f>"89472"</f>
        <v>89472</v>
      </c>
      <c r="H1184" t="str">
        <f>"RIP RAP/PCT#1"</f>
        <v>RIP RAP/PCT#1</v>
      </c>
      <c r="I1184" s="2">
        <v>3106.25</v>
      </c>
      <c r="J1184" t="str">
        <f>"RIP RAP/PCT#1"</f>
        <v>RIP RAP/PCT#1</v>
      </c>
    </row>
    <row r="1185" spans="1:10" x14ac:dyDescent="0.3">
      <c r="A1185" t="str">
        <f>"001468"</f>
        <v>001468</v>
      </c>
      <c r="B1185" t="s">
        <v>407</v>
      </c>
      <c r="C1185">
        <v>71506</v>
      </c>
      <c r="D1185" s="2">
        <v>642</v>
      </c>
      <c r="E1185" s="1">
        <v>42926</v>
      </c>
      <c r="F1185" t="s">
        <v>11</v>
      </c>
      <c r="G1185" t="str">
        <f>"43385"</f>
        <v>43385</v>
      </c>
      <c r="H1185" t="str">
        <f>"INV 43385"</f>
        <v>INV 43385</v>
      </c>
      <c r="I1185" s="2">
        <v>71</v>
      </c>
      <c r="J1185" t="str">
        <f>"INV 43385"</f>
        <v>INV 43385</v>
      </c>
    </row>
    <row r="1186" spans="1:10" x14ac:dyDescent="0.3">
      <c r="A1186" t="str">
        <f>""</f>
        <v/>
      </c>
      <c r="G1186" t="str">
        <f>"43414"</f>
        <v>43414</v>
      </c>
      <c r="H1186" t="str">
        <f>"INV 43414"</f>
        <v>INV 43414</v>
      </c>
      <c r="I1186" s="2">
        <v>50</v>
      </c>
      <c r="J1186" t="str">
        <f>"INV 43414"</f>
        <v>INV 43414</v>
      </c>
    </row>
    <row r="1187" spans="1:10" x14ac:dyDescent="0.3">
      <c r="A1187" t="str">
        <f>""</f>
        <v/>
      </c>
      <c r="G1187" t="str">
        <f>"43415"</f>
        <v>43415</v>
      </c>
      <c r="H1187" t="str">
        <f>"INV 43415"</f>
        <v>INV 43415</v>
      </c>
      <c r="I1187" s="2">
        <v>50</v>
      </c>
      <c r="J1187" t="str">
        <f>"INV 43415"</f>
        <v>INV 43415</v>
      </c>
    </row>
    <row r="1188" spans="1:10" x14ac:dyDescent="0.3">
      <c r="A1188" t="str">
        <f>""</f>
        <v/>
      </c>
      <c r="G1188" t="str">
        <f>"JULY BOND RENEWAL"</f>
        <v>JULY BOND RENEWAL</v>
      </c>
      <c r="H1188" t="str">
        <f>"JULY BOND RENEWAL"</f>
        <v>JULY BOND RENEWAL</v>
      </c>
      <c r="I1188" s="2">
        <v>400</v>
      </c>
      <c r="J1188" t="str">
        <f>"JULY BOND RENEWAL"</f>
        <v>JULY BOND RENEWAL</v>
      </c>
    </row>
    <row r="1189" spans="1:10" x14ac:dyDescent="0.3">
      <c r="A1189" t="str">
        <f>""</f>
        <v/>
      </c>
      <c r="G1189" t="str">
        <f>"NOTARY-V.HORSLEY"</f>
        <v>NOTARY-V.HORSLEY</v>
      </c>
      <c r="H1189" t="str">
        <f>"NOTARY BOND"</f>
        <v>NOTARY BOND</v>
      </c>
      <c r="I1189" s="2">
        <v>71</v>
      </c>
      <c r="J1189" t="str">
        <f>"NOTARY BOND"</f>
        <v>NOTARY BOND</v>
      </c>
    </row>
    <row r="1190" spans="1:10" x14ac:dyDescent="0.3">
      <c r="A1190" t="str">
        <f>"TACUE"</f>
        <v>TACUE</v>
      </c>
      <c r="B1190" t="s">
        <v>408</v>
      </c>
      <c r="C1190">
        <v>71505</v>
      </c>
      <c r="D1190" s="2">
        <v>7052.21</v>
      </c>
      <c r="E1190" s="1">
        <v>42926</v>
      </c>
      <c r="F1190" t="s">
        <v>11</v>
      </c>
      <c r="G1190" t="str">
        <f>"201707053345"</f>
        <v>201707053345</v>
      </c>
      <c r="H1190" t="str">
        <f>"UNEMPLOYMENT/2ND QTR 2017"</f>
        <v>UNEMPLOYMENT/2ND QTR 2017</v>
      </c>
      <c r="I1190" s="2">
        <v>6227.79</v>
      </c>
      <c r="J1190" t="str">
        <f t="shared" ref="J1190:J1226" si="6">"UNEMPLOYMENT/2ND QTR 2017"</f>
        <v>UNEMPLOYMENT/2ND QTR 2017</v>
      </c>
    </row>
    <row r="1191" spans="1:10" x14ac:dyDescent="0.3">
      <c r="A1191" t="str">
        <f>""</f>
        <v/>
      </c>
      <c r="G1191" t="str">
        <f>""</f>
        <v/>
      </c>
      <c r="H1191" t="str">
        <f>""</f>
        <v/>
      </c>
      <c r="J1191" t="str">
        <f t="shared" si="6"/>
        <v>UNEMPLOYMENT/2ND QTR 2017</v>
      </c>
    </row>
    <row r="1192" spans="1:10" x14ac:dyDescent="0.3">
      <c r="A1192" t="str">
        <f>""</f>
        <v/>
      </c>
      <c r="G1192" t="str">
        <f>""</f>
        <v/>
      </c>
      <c r="H1192" t="str">
        <f>""</f>
        <v/>
      </c>
      <c r="J1192" t="str">
        <f t="shared" si="6"/>
        <v>UNEMPLOYMENT/2ND QTR 2017</v>
      </c>
    </row>
    <row r="1193" spans="1:10" x14ac:dyDescent="0.3">
      <c r="A1193" t="str">
        <f>""</f>
        <v/>
      </c>
      <c r="G1193" t="str">
        <f>""</f>
        <v/>
      </c>
      <c r="H1193" t="str">
        <f>""</f>
        <v/>
      </c>
      <c r="J1193" t="str">
        <f t="shared" si="6"/>
        <v>UNEMPLOYMENT/2ND QTR 2017</v>
      </c>
    </row>
    <row r="1194" spans="1:10" x14ac:dyDescent="0.3">
      <c r="A1194" t="str">
        <f>""</f>
        <v/>
      </c>
      <c r="G1194" t="str">
        <f>""</f>
        <v/>
      </c>
      <c r="H1194" t="str">
        <f>""</f>
        <v/>
      </c>
      <c r="J1194" t="str">
        <f t="shared" si="6"/>
        <v>UNEMPLOYMENT/2ND QTR 2017</v>
      </c>
    </row>
    <row r="1195" spans="1:10" x14ac:dyDescent="0.3">
      <c r="A1195" t="str">
        <f>""</f>
        <v/>
      </c>
      <c r="G1195" t="str">
        <f>""</f>
        <v/>
      </c>
      <c r="H1195" t="str">
        <f>""</f>
        <v/>
      </c>
      <c r="J1195" t="str">
        <f t="shared" si="6"/>
        <v>UNEMPLOYMENT/2ND QTR 2017</v>
      </c>
    </row>
    <row r="1196" spans="1:10" x14ac:dyDescent="0.3">
      <c r="A1196" t="str">
        <f>""</f>
        <v/>
      </c>
      <c r="G1196" t="str">
        <f>""</f>
        <v/>
      </c>
      <c r="H1196" t="str">
        <f>""</f>
        <v/>
      </c>
      <c r="J1196" t="str">
        <f t="shared" si="6"/>
        <v>UNEMPLOYMENT/2ND QTR 2017</v>
      </c>
    </row>
    <row r="1197" spans="1:10" x14ac:dyDescent="0.3">
      <c r="A1197" t="str">
        <f>""</f>
        <v/>
      </c>
      <c r="G1197" t="str">
        <f>""</f>
        <v/>
      </c>
      <c r="H1197" t="str">
        <f>""</f>
        <v/>
      </c>
      <c r="J1197" t="str">
        <f t="shared" si="6"/>
        <v>UNEMPLOYMENT/2ND QTR 2017</v>
      </c>
    </row>
    <row r="1198" spans="1:10" x14ac:dyDescent="0.3">
      <c r="A1198" t="str">
        <f>""</f>
        <v/>
      </c>
      <c r="G1198" t="str">
        <f>""</f>
        <v/>
      </c>
      <c r="H1198" t="str">
        <f>""</f>
        <v/>
      </c>
      <c r="J1198" t="str">
        <f t="shared" si="6"/>
        <v>UNEMPLOYMENT/2ND QTR 2017</v>
      </c>
    </row>
    <row r="1199" spans="1:10" x14ac:dyDescent="0.3">
      <c r="A1199" t="str">
        <f>""</f>
        <v/>
      </c>
      <c r="G1199" t="str">
        <f>""</f>
        <v/>
      </c>
      <c r="H1199" t="str">
        <f>""</f>
        <v/>
      </c>
      <c r="J1199" t="str">
        <f t="shared" si="6"/>
        <v>UNEMPLOYMENT/2ND QTR 2017</v>
      </c>
    </row>
    <row r="1200" spans="1:10" x14ac:dyDescent="0.3">
      <c r="A1200" t="str">
        <f>""</f>
        <v/>
      </c>
      <c r="G1200" t="str">
        <f>""</f>
        <v/>
      </c>
      <c r="H1200" t="str">
        <f>""</f>
        <v/>
      </c>
      <c r="J1200" t="str">
        <f t="shared" si="6"/>
        <v>UNEMPLOYMENT/2ND QTR 2017</v>
      </c>
    </row>
    <row r="1201" spans="1:10" x14ac:dyDescent="0.3">
      <c r="A1201" t="str">
        <f>""</f>
        <v/>
      </c>
      <c r="G1201" t="str">
        <f>""</f>
        <v/>
      </c>
      <c r="H1201" t="str">
        <f>""</f>
        <v/>
      </c>
      <c r="J1201" t="str">
        <f t="shared" si="6"/>
        <v>UNEMPLOYMENT/2ND QTR 2017</v>
      </c>
    </row>
    <row r="1202" spans="1:10" x14ac:dyDescent="0.3">
      <c r="A1202" t="str">
        <f>""</f>
        <v/>
      </c>
      <c r="G1202" t="str">
        <f>""</f>
        <v/>
      </c>
      <c r="H1202" t="str">
        <f>""</f>
        <v/>
      </c>
      <c r="J1202" t="str">
        <f t="shared" si="6"/>
        <v>UNEMPLOYMENT/2ND QTR 2017</v>
      </c>
    </row>
    <row r="1203" spans="1:10" x14ac:dyDescent="0.3">
      <c r="A1203" t="str">
        <f>""</f>
        <v/>
      </c>
      <c r="G1203" t="str">
        <f>""</f>
        <v/>
      </c>
      <c r="H1203" t="str">
        <f>""</f>
        <v/>
      </c>
      <c r="J1203" t="str">
        <f t="shared" si="6"/>
        <v>UNEMPLOYMENT/2ND QTR 2017</v>
      </c>
    </row>
    <row r="1204" spans="1:10" x14ac:dyDescent="0.3">
      <c r="A1204" t="str">
        <f>""</f>
        <v/>
      </c>
      <c r="G1204" t="str">
        <f>""</f>
        <v/>
      </c>
      <c r="H1204" t="str">
        <f>""</f>
        <v/>
      </c>
      <c r="J1204" t="str">
        <f t="shared" si="6"/>
        <v>UNEMPLOYMENT/2ND QTR 2017</v>
      </c>
    </row>
    <row r="1205" spans="1:10" x14ac:dyDescent="0.3">
      <c r="A1205" t="str">
        <f>""</f>
        <v/>
      </c>
      <c r="G1205" t="str">
        <f>""</f>
        <v/>
      </c>
      <c r="H1205" t="str">
        <f>""</f>
        <v/>
      </c>
      <c r="J1205" t="str">
        <f t="shared" si="6"/>
        <v>UNEMPLOYMENT/2ND QTR 2017</v>
      </c>
    </row>
    <row r="1206" spans="1:10" x14ac:dyDescent="0.3">
      <c r="A1206" t="str">
        <f>""</f>
        <v/>
      </c>
      <c r="G1206" t="str">
        <f>""</f>
        <v/>
      </c>
      <c r="H1206" t="str">
        <f>""</f>
        <v/>
      </c>
      <c r="J1206" t="str">
        <f t="shared" si="6"/>
        <v>UNEMPLOYMENT/2ND QTR 2017</v>
      </c>
    </row>
    <row r="1207" spans="1:10" x14ac:dyDescent="0.3">
      <c r="A1207" t="str">
        <f>""</f>
        <v/>
      </c>
      <c r="G1207" t="str">
        <f>""</f>
        <v/>
      </c>
      <c r="H1207" t="str">
        <f>""</f>
        <v/>
      </c>
      <c r="J1207" t="str">
        <f t="shared" si="6"/>
        <v>UNEMPLOYMENT/2ND QTR 2017</v>
      </c>
    </row>
    <row r="1208" spans="1:10" x14ac:dyDescent="0.3">
      <c r="A1208" t="str">
        <f>""</f>
        <v/>
      </c>
      <c r="G1208" t="str">
        <f>""</f>
        <v/>
      </c>
      <c r="H1208" t="str">
        <f>""</f>
        <v/>
      </c>
      <c r="J1208" t="str">
        <f t="shared" si="6"/>
        <v>UNEMPLOYMENT/2ND QTR 2017</v>
      </c>
    </row>
    <row r="1209" spans="1:10" x14ac:dyDescent="0.3">
      <c r="A1209" t="str">
        <f>""</f>
        <v/>
      </c>
      <c r="G1209" t="str">
        <f>""</f>
        <v/>
      </c>
      <c r="H1209" t="str">
        <f>""</f>
        <v/>
      </c>
      <c r="J1209" t="str">
        <f t="shared" si="6"/>
        <v>UNEMPLOYMENT/2ND QTR 2017</v>
      </c>
    </row>
    <row r="1210" spans="1:10" x14ac:dyDescent="0.3">
      <c r="A1210" t="str">
        <f>""</f>
        <v/>
      </c>
      <c r="G1210" t="str">
        <f>""</f>
        <v/>
      </c>
      <c r="H1210" t="str">
        <f>""</f>
        <v/>
      </c>
      <c r="J1210" t="str">
        <f t="shared" si="6"/>
        <v>UNEMPLOYMENT/2ND QTR 2017</v>
      </c>
    </row>
    <row r="1211" spans="1:10" x14ac:dyDescent="0.3">
      <c r="A1211" t="str">
        <f>""</f>
        <v/>
      </c>
      <c r="G1211" t="str">
        <f>""</f>
        <v/>
      </c>
      <c r="H1211" t="str">
        <f>""</f>
        <v/>
      </c>
      <c r="J1211" t="str">
        <f t="shared" si="6"/>
        <v>UNEMPLOYMENT/2ND QTR 2017</v>
      </c>
    </row>
    <row r="1212" spans="1:10" x14ac:dyDescent="0.3">
      <c r="A1212" t="str">
        <f>""</f>
        <v/>
      </c>
      <c r="G1212" t="str">
        <f>""</f>
        <v/>
      </c>
      <c r="H1212" t="str">
        <f>""</f>
        <v/>
      </c>
      <c r="J1212" t="str">
        <f t="shared" si="6"/>
        <v>UNEMPLOYMENT/2ND QTR 2017</v>
      </c>
    </row>
    <row r="1213" spans="1:10" x14ac:dyDescent="0.3">
      <c r="A1213" t="str">
        <f>""</f>
        <v/>
      </c>
      <c r="G1213" t="str">
        <f>""</f>
        <v/>
      </c>
      <c r="H1213" t="str">
        <f>""</f>
        <v/>
      </c>
      <c r="J1213" t="str">
        <f t="shared" si="6"/>
        <v>UNEMPLOYMENT/2ND QTR 2017</v>
      </c>
    </row>
    <row r="1214" spans="1:10" x14ac:dyDescent="0.3">
      <c r="A1214" t="str">
        <f>""</f>
        <v/>
      </c>
      <c r="G1214" t="str">
        <f>""</f>
        <v/>
      </c>
      <c r="H1214" t="str">
        <f>""</f>
        <v/>
      </c>
      <c r="J1214" t="str">
        <f t="shared" si="6"/>
        <v>UNEMPLOYMENT/2ND QTR 2017</v>
      </c>
    </row>
    <row r="1215" spans="1:10" x14ac:dyDescent="0.3">
      <c r="A1215" t="str">
        <f>""</f>
        <v/>
      </c>
      <c r="G1215" t="str">
        <f>""</f>
        <v/>
      </c>
      <c r="H1215" t="str">
        <f>""</f>
        <v/>
      </c>
      <c r="J1215" t="str">
        <f t="shared" si="6"/>
        <v>UNEMPLOYMENT/2ND QTR 2017</v>
      </c>
    </row>
    <row r="1216" spans="1:10" x14ac:dyDescent="0.3">
      <c r="A1216" t="str">
        <f>""</f>
        <v/>
      </c>
      <c r="G1216" t="str">
        <f>""</f>
        <v/>
      </c>
      <c r="H1216" t="str">
        <f>""</f>
        <v/>
      </c>
      <c r="J1216" t="str">
        <f t="shared" si="6"/>
        <v>UNEMPLOYMENT/2ND QTR 2017</v>
      </c>
    </row>
    <row r="1217" spans="1:10" x14ac:dyDescent="0.3">
      <c r="A1217" t="str">
        <f>""</f>
        <v/>
      </c>
      <c r="G1217" t="str">
        <f>""</f>
        <v/>
      </c>
      <c r="H1217" t="str">
        <f>""</f>
        <v/>
      </c>
      <c r="J1217" t="str">
        <f t="shared" si="6"/>
        <v>UNEMPLOYMENT/2ND QTR 2017</v>
      </c>
    </row>
    <row r="1218" spans="1:10" x14ac:dyDescent="0.3">
      <c r="A1218" t="str">
        <f>""</f>
        <v/>
      </c>
      <c r="G1218" t="str">
        <f>""</f>
        <v/>
      </c>
      <c r="H1218" t="str">
        <f>""</f>
        <v/>
      </c>
      <c r="J1218" t="str">
        <f t="shared" si="6"/>
        <v>UNEMPLOYMENT/2ND QTR 2017</v>
      </c>
    </row>
    <row r="1219" spans="1:10" x14ac:dyDescent="0.3">
      <c r="A1219" t="str">
        <f>""</f>
        <v/>
      </c>
      <c r="G1219" t="str">
        <f>""</f>
        <v/>
      </c>
      <c r="H1219" t="str">
        <f>""</f>
        <v/>
      </c>
      <c r="J1219" t="str">
        <f t="shared" si="6"/>
        <v>UNEMPLOYMENT/2ND QTR 2017</v>
      </c>
    </row>
    <row r="1220" spans="1:10" x14ac:dyDescent="0.3">
      <c r="A1220" t="str">
        <f>""</f>
        <v/>
      </c>
      <c r="G1220" t="str">
        <f>""</f>
        <v/>
      </c>
      <c r="H1220" t="str">
        <f>""</f>
        <v/>
      </c>
      <c r="J1220" t="str">
        <f t="shared" si="6"/>
        <v>UNEMPLOYMENT/2ND QTR 2017</v>
      </c>
    </row>
    <row r="1221" spans="1:10" x14ac:dyDescent="0.3">
      <c r="A1221" t="str">
        <f>""</f>
        <v/>
      </c>
      <c r="G1221" t="str">
        <f>""</f>
        <v/>
      </c>
      <c r="H1221" t="str">
        <f>""</f>
        <v/>
      </c>
      <c r="J1221" t="str">
        <f t="shared" si="6"/>
        <v>UNEMPLOYMENT/2ND QTR 2017</v>
      </c>
    </row>
    <row r="1222" spans="1:10" x14ac:dyDescent="0.3">
      <c r="A1222" t="str">
        <f>""</f>
        <v/>
      </c>
      <c r="G1222" t="str">
        <f>""</f>
        <v/>
      </c>
      <c r="H1222" t="str">
        <f>""</f>
        <v/>
      </c>
      <c r="J1222" t="str">
        <f t="shared" si="6"/>
        <v>UNEMPLOYMENT/2ND QTR 2017</v>
      </c>
    </row>
    <row r="1223" spans="1:10" x14ac:dyDescent="0.3">
      <c r="A1223" t="str">
        <f>""</f>
        <v/>
      </c>
      <c r="G1223" t="str">
        <f>""</f>
        <v/>
      </c>
      <c r="H1223" t="str">
        <f>""</f>
        <v/>
      </c>
      <c r="J1223" t="str">
        <f t="shared" si="6"/>
        <v>UNEMPLOYMENT/2ND QTR 2017</v>
      </c>
    </row>
    <row r="1224" spans="1:10" x14ac:dyDescent="0.3">
      <c r="A1224" t="str">
        <f>""</f>
        <v/>
      </c>
      <c r="G1224" t="str">
        <f>""</f>
        <v/>
      </c>
      <c r="H1224" t="str">
        <f>""</f>
        <v/>
      </c>
      <c r="J1224" t="str">
        <f t="shared" si="6"/>
        <v>UNEMPLOYMENT/2ND QTR 2017</v>
      </c>
    </row>
    <row r="1225" spans="1:10" x14ac:dyDescent="0.3">
      <c r="A1225" t="str">
        <f>""</f>
        <v/>
      </c>
      <c r="G1225" t="str">
        <f>"201707053358"</f>
        <v>201707053358</v>
      </c>
      <c r="H1225" t="str">
        <f>"UNEMPLOYMENT/2ND QTR 2017"</f>
        <v>UNEMPLOYMENT/2ND QTR 2017</v>
      </c>
      <c r="I1225" s="2">
        <v>158.12</v>
      </c>
      <c r="J1225" t="str">
        <f t="shared" si="6"/>
        <v>UNEMPLOYMENT/2ND QTR 2017</v>
      </c>
    </row>
    <row r="1226" spans="1:10" x14ac:dyDescent="0.3">
      <c r="A1226" t="str">
        <f>""</f>
        <v/>
      </c>
      <c r="G1226" t="str">
        <f>"201707053360"</f>
        <v>201707053360</v>
      </c>
      <c r="H1226" t="str">
        <f>"UNEMPLOYMENT/2ND QTR 2017"</f>
        <v>UNEMPLOYMENT/2ND QTR 2017</v>
      </c>
      <c r="I1226" s="2">
        <v>223.27</v>
      </c>
      <c r="J1226" t="str">
        <f t="shared" si="6"/>
        <v>UNEMPLOYMENT/2ND QTR 2017</v>
      </c>
    </row>
    <row r="1227" spans="1:10" x14ac:dyDescent="0.3">
      <c r="A1227" t="str">
        <f>""</f>
        <v/>
      </c>
      <c r="G1227" t="str">
        <f>"201707053361"</f>
        <v>201707053361</v>
      </c>
      <c r="H1227" t="str">
        <f>"UNEMPLOYMENT-2ND QTR 2017"</f>
        <v>UNEMPLOYMENT-2ND QTR 2017</v>
      </c>
      <c r="I1227" s="2">
        <v>220.25</v>
      </c>
      <c r="J1227" t="str">
        <f>"UNEMPLOYMENT-2ND QTR 2017"</f>
        <v>UNEMPLOYMENT-2ND QTR 2017</v>
      </c>
    </row>
    <row r="1228" spans="1:10" x14ac:dyDescent="0.3">
      <c r="A1228" t="str">
        <f>""</f>
        <v/>
      </c>
      <c r="G1228" t="str">
        <f>"201707053363"</f>
        <v>201707053363</v>
      </c>
      <c r="H1228" t="str">
        <f>"UNEMPLOYMENT/2ND QTR 2017"</f>
        <v>UNEMPLOYMENT/2ND QTR 2017</v>
      </c>
      <c r="I1228" s="2">
        <v>222.78</v>
      </c>
      <c r="J1228" t="str">
        <f>"UNEMPLOYMENT/2ND QTR 2017"</f>
        <v>UNEMPLOYMENT/2ND QTR 2017</v>
      </c>
    </row>
    <row r="1229" spans="1:10" x14ac:dyDescent="0.3">
      <c r="A1229" t="str">
        <f>"TACUE"</f>
        <v>TACUE</v>
      </c>
      <c r="B1229" t="s">
        <v>408</v>
      </c>
      <c r="C1229">
        <v>71542</v>
      </c>
      <c r="D1229" s="2">
        <v>0.01</v>
      </c>
      <c r="E1229" s="1">
        <v>42926</v>
      </c>
      <c r="F1229" t="s">
        <v>11</v>
      </c>
      <c r="G1229" t="str">
        <f>"201707103477"</f>
        <v>201707103477</v>
      </c>
      <c r="H1229" t="str">
        <f>"UNEMPLOYMENT/2ND QTR 2017"</f>
        <v>UNEMPLOYMENT/2ND QTR 2017</v>
      </c>
      <c r="I1229" s="2">
        <v>0.01</v>
      </c>
      <c r="J1229" t="str">
        <f>"UNEMPLOYMENT/2ND QTR 2017"</f>
        <v>UNEMPLOYMENT/2ND QTR 2017</v>
      </c>
    </row>
    <row r="1230" spans="1:10" x14ac:dyDescent="0.3">
      <c r="A1230" t="str">
        <f>"TACRMP"</f>
        <v>TACRMP</v>
      </c>
      <c r="B1230" t="s">
        <v>408</v>
      </c>
      <c r="C1230">
        <v>71830</v>
      </c>
      <c r="D1230" s="2">
        <v>60</v>
      </c>
      <c r="E1230" s="1">
        <v>42940</v>
      </c>
      <c r="F1230" t="s">
        <v>84</v>
      </c>
      <c r="G1230" t="str">
        <f>"37717"</f>
        <v>37717</v>
      </c>
      <c r="H1230" t="str">
        <f>"ACCT#210251/DUES-T.SPARKMAN"</f>
        <v>ACCT#210251/DUES-T.SPARKMAN</v>
      </c>
      <c r="I1230" s="2">
        <v>60</v>
      </c>
    </row>
    <row r="1231" spans="1:10" x14ac:dyDescent="0.3">
      <c r="A1231" t="str">
        <f>"TACUE"</f>
        <v>TACUE</v>
      </c>
      <c r="B1231" t="s">
        <v>408</v>
      </c>
      <c r="C1231">
        <v>971539</v>
      </c>
      <c r="D1231" s="2">
        <v>32.880000000000003</v>
      </c>
      <c r="E1231" s="1">
        <v>42926</v>
      </c>
      <c r="F1231" t="s">
        <v>35</v>
      </c>
      <c r="G1231" t="str">
        <f>"201707123608"</f>
        <v>201707123608</v>
      </c>
      <c r="H1231" t="str">
        <f>"Unemployment Q2 2017"</f>
        <v>Unemployment Q2 2017</v>
      </c>
      <c r="I1231" s="2">
        <v>32.880000000000003</v>
      </c>
      <c r="J1231" t="str">
        <f>"Unemployment Q2 2017"</f>
        <v>Unemployment Q2 2017</v>
      </c>
    </row>
    <row r="1232" spans="1:10" x14ac:dyDescent="0.3">
      <c r="A1232" t="str">
        <f>"002122"</f>
        <v>002122</v>
      </c>
      <c r="B1232" t="s">
        <v>409</v>
      </c>
      <c r="C1232">
        <v>71831</v>
      </c>
      <c r="D1232" s="2">
        <v>392.57</v>
      </c>
      <c r="E1232" s="1">
        <v>42940</v>
      </c>
      <c r="F1232" t="s">
        <v>11</v>
      </c>
      <c r="G1232" t="str">
        <f>"201707143651"</f>
        <v>201707143651</v>
      </c>
      <c r="H1232" t="str">
        <f>"ACCT#0005/PCT#4"</f>
        <v>ACCT#0005/PCT#4</v>
      </c>
      <c r="I1232" s="2">
        <v>392.57</v>
      </c>
      <c r="J1232" t="str">
        <f>"ACCT#0005/PCT#4"</f>
        <v>ACCT#0005/PCT#4</v>
      </c>
    </row>
    <row r="1233" spans="1:11" x14ac:dyDescent="0.3">
      <c r="A1233" t="str">
        <f>"TCSC"</f>
        <v>TCSC</v>
      </c>
      <c r="B1233" t="s">
        <v>410</v>
      </c>
      <c r="C1233">
        <v>71832</v>
      </c>
      <c r="D1233" s="2">
        <v>677.55</v>
      </c>
      <c r="E1233" s="1">
        <v>42940</v>
      </c>
      <c r="F1233" t="s">
        <v>11</v>
      </c>
      <c r="G1233" t="str">
        <f>"28198"</f>
        <v>28198</v>
      </c>
      <c r="H1233" t="str">
        <f>"CUST#1570/BASE/PCT#1"</f>
        <v>CUST#1570/BASE/PCT#1</v>
      </c>
      <c r="I1233" s="2">
        <v>540.39</v>
      </c>
      <c r="J1233" t="str">
        <f>"CUST#1570/BASE/PCT#1"</f>
        <v>CUST#1570/BASE/PCT#1</v>
      </c>
    </row>
    <row r="1234" spans="1:11" x14ac:dyDescent="0.3">
      <c r="A1234" t="str">
        <f>""</f>
        <v/>
      </c>
      <c r="G1234" t="str">
        <f>"29045"</f>
        <v>29045</v>
      </c>
      <c r="H1234" t="str">
        <f>"CUST # 1570 / BASE / P1"</f>
        <v>CUST # 1570 / BASE / P1</v>
      </c>
      <c r="I1234" s="2">
        <v>137.16</v>
      </c>
      <c r="J1234" t="str">
        <f>"CUST # 1570 / BASE / P1"</f>
        <v>CUST # 1570 / BASE / P1</v>
      </c>
    </row>
    <row r="1235" spans="1:11" x14ac:dyDescent="0.3">
      <c r="A1235" t="str">
        <f>"002976"</f>
        <v>002976</v>
      </c>
      <c r="B1235" t="s">
        <v>411</v>
      </c>
      <c r="C1235">
        <v>71507</v>
      </c>
      <c r="D1235" s="2">
        <v>500</v>
      </c>
      <c r="E1235" s="1">
        <v>42926</v>
      </c>
      <c r="F1235" t="s">
        <v>11</v>
      </c>
      <c r="G1235" t="str">
        <f>"01490563"</f>
        <v>01490563</v>
      </c>
      <c r="H1235" t="str">
        <f>"CLIENT#00511884/TIER 2"</f>
        <v>CLIENT#00511884/TIER 2</v>
      </c>
      <c r="I1235" s="2">
        <v>500</v>
      </c>
      <c r="J1235" t="str">
        <f>"CLIENT#00511884/TIER 2"</f>
        <v>CLIENT#00511884/TIER 2</v>
      </c>
    </row>
    <row r="1236" spans="1:11" x14ac:dyDescent="0.3">
      <c r="A1236" t="str">
        <f>"004277"</f>
        <v>004277</v>
      </c>
      <c r="B1236" t="s">
        <v>412</v>
      </c>
      <c r="C1236">
        <v>71833</v>
      </c>
      <c r="D1236" s="2">
        <v>20</v>
      </c>
      <c r="E1236" s="1">
        <v>42940</v>
      </c>
      <c r="F1236" t="s">
        <v>11</v>
      </c>
      <c r="G1236" t="s">
        <v>153</v>
      </c>
      <c r="H1236" t="s">
        <v>413</v>
      </c>
      <c r="I1236" s="2" t="str">
        <f>"RESTITUTION-G. COCKERHAM"</f>
        <v>RESTITUTION-G. COCKERHAM</v>
      </c>
      <c r="J1236" t="str">
        <f>"210-0000"</f>
        <v>210-0000</v>
      </c>
      <c r="K1236">
        <v>20</v>
      </c>
    </row>
    <row r="1237" spans="1:11" x14ac:dyDescent="0.3">
      <c r="A1237" t="str">
        <f>"002354"</f>
        <v>002354</v>
      </c>
      <c r="B1237" t="s">
        <v>414</v>
      </c>
      <c r="C1237">
        <v>71834</v>
      </c>
      <c r="D1237" s="2">
        <v>74</v>
      </c>
      <c r="E1237" s="1">
        <v>42940</v>
      </c>
      <c r="F1237" t="s">
        <v>11</v>
      </c>
      <c r="G1237" t="s">
        <v>17</v>
      </c>
      <c r="H1237" t="s">
        <v>415</v>
      </c>
      <c r="I1237" s="2" t="str">
        <f>"RESTITUTION-R. STEPHENS"</f>
        <v>RESTITUTION-R. STEPHENS</v>
      </c>
      <c r="J1237" t="str">
        <f>"210-0000"</f>
        <v>210-0000</v>
      </c>
      <c r="K1237">
        <v>50</v>
      </c>
    </row>
    <row r="1238" spans="1:11" x14ac:dyDescent="0.3">
      <c r="A1238" t="str">
        <f>""</f>
        <v/>
      </c>
      <c r="G1238" t="s">
        <v>17</v>
      </c>
      <c r="H1238" t="s">
        <v>416</v>
      </c>
      <c r="I1238" s="2" t="str">
        <f>"RESTITUTION-J.MCCLENDON"</f>
        <v>RESTITUTION-J.MCCLENDON</v>
      </c>
      <c r="J1238" t="str">
        <f>"210-0000"</f>
        <v>210-0000</v>
      </c>
      <c r="K1238">
        <v>24</v>
      </c>
    </row>
    <row r="1239" spans="1:11" x14ac:dyDescent="0.3">
      <c r="A1239" t="str">
        <f>"T10512"</f>
        <v>T10512</v>
      </c>
      <c r="B1239" t="s">
        <v>417</v>
      </c>
      <c r="C1239">
        <v>71508</v>
      </c>
      <c r="D1239" s="2">
        <v>150</v>
      </c>
      <c r="E1239" s="1">
        <v>42926</v>
      </c>
      <c r="F1239" t="s">
        <v>11</v>
      </c>
      <c r="G1239" t="str">
        <f>"201707053353"</f>
        <v>201707053353</v>
      </c>
      <c r="H1239" t="str">
        <f>"FY_17 LEG WKSHP-CONSTABLE"</f>
        <v>FY_17 LEG WKSHP-CONSTABLE</v>
      </c>
      <c r="I1239" s="2">
        <v>150</v>
      </c>
      <c r="J1239" t="str">
        <f>"FY_17 LEG WKSHP-CONSTABLE"</f>
        <v>FY_17 LEG WKSHP-CONSTABLE</v>
      </c>
    </row>
    <row r="1240" spans="1:11" x14ac:dyDescent="0.3">
      <c r="A1240" t="str">
        <f>"T7170"</f>
        <v>T7170</v>
      </c>
      <c r="B1240" t="s">
        <v>419</v>
      </c>
      <c r="C1240">
        <v>71509</v>
      </c>
      <c r="D1240" s="2">
        <v>81</v>
      </c>
      <c r="E1240" s="1">
        <v>42926</v>
      </c>
      <c r="F1240" t="s">
        <v>11</v>
      </c>
      <c r="G1240" t="str">
        <f>"J2-47745"</f>
        <v>J2-47745</v>
      </c>
      <c r="H1240" t="str">
        <f>"A16585-CARRANZA"</f>
        <v>A16585-CARRANZA</v>
      </c>
      <c r="I1240" s="2">
        <v>81</v>
      </c>
      <c r="J1240" t="str">
        <f>"A16585-CARRANZA"</f>
        <v>A16585-CARRANZA</v>
      </c>
    </row>
    <row r="1241" spans="1:11" x14ac:dyDescent="0.3">
      <c r="A1241" t="str">
        <f>"T7170"</f>
        <v>T7170</v>
      </c>
      <c r="B1241" t="s">
        <v>419</v>
      </c>
      <c r="C1241">
        <v>71599</v>
      </c>
      <c r="D1241" s="2">
        <v>1058.5</v>
      </c>
      <c r="E1241" s="1">
        <v>42937</v>
      </c>
      <c r="F1241" t="s">
        <v>11</v>
      </c>
      <c r="G1241" t="str">
        <f>"A11709"</f>
        <v>A11709</v>
      </c>
      <c r="H1241" t="str">
        <f>"ROMO  J - J2-41609"</f>
        <v>ROMO  J - J2-41609</v>
      </c>
      <c r="I1241" s="2">
        <v>81</v>
      </c>
      <c r="J1241" t="str">
        <f>"ROMO  J - J2-41609"</f>
        <v>ROMO  J - J2-41609</v>
      </c>
    </row>
    <row r="1242" spans="1:11" x14ac:dyDescent="0.3">
      <c r="A1242" t="str">
        <f>""</f>
        <v/>
      </c>
      <c r="G1242" t="str">
        <f>"A8101124"</f>
        <v>A8101124</v>
      </c>
      <c r="H1242" t="str">
        <f>"JOHNSON  J - 1CO-1916-15"</f>
        <v>JOHNSON  J - 1CO-1916-15</v>
      </c>
      <c r="I1242" s="2">
        <v>80.75</v>
      </c>
      <c r="J1242" t="str">
        <f>"TEXAS PARKS &amp; WILDLIFE FUNDS"</f>
        <v>TEXAS PARKS &amp; WILDLIFE FUNDS</v>
      </c>
    </row>
    <row r="1243" spans="1:11" x14ac:dyDescent="0.3">
      <c r="A1243" t="str">
        <f>""</f>
        <v/>
      </c>
      <c r="G1243" t="str">
        <f>"A8101126"</f>
        <v>A8101126</v>
      </c>
      <c r="H1243" t="str">
        <f>"MOORE  W E -1CO-1943-16"</f>
        <v>MOORE  W E -1CO-1943-16</v>
      </c>
      <c r="I1243" s="2">
        <v>157.25</v>
      </c>
      <c r="J1243" t="str">
        <f>"TEXAS PARKS &amp; WILDLIFE FUNDS"</f>
        <v>TEXAS PARKS &amp; WILDLIFE FUNDS</v>
      </c>
    </row>
    <row r="1244" spans="1:11" x14ac:dyDescent="0.3">
      <c r="A1244" t="str">
        <f>""</f>
        <v/>
      </c>
      <c r="G1244" t="str">
        <f>"A8101126-1"</f>
        <v>A8101126-1</v>
      </c>
      <c r="H1244" t="str">
        <f>"MOORE  W E - 1CO-1944-16"</f>
        <v>MOORE  W E - 1CO-1944-16</v>
      </c>
      <c r="I1244" s="2">
        <v>157.25</v>
      </c>
      <c r="J1244" t="str">
        <f>"TEXAS PARKS &amp; WILDLIFE FUNDS"</f>
        <v>TEXAS PARKS &amp; WILDLIFE FUNDS</v>
      </c>
    </row>
    <row r="1245" spans="1:11" x14ac:dyDescent="0.3">
      <c r="A1245" t="str">
        <f>""</f>
        <v/>
      </c>
      <c r="G1245" t="str">
        <f>"A8101132"</f>
        <v>A8101132</v>
      </c>
      <c r="H1245" t="str">
        <f>"LOPEZ - 1C0-0484-16"</f>
        <v>LOPEZ - 1C0-0484-16</v>
      </c>
      <c r="I1245" s="2">
        <v>157.25</v>
      </c>
      <c r="J1245" t="str">
        <f>"LOPEZ - 1C0-0484-16"</f>
        <v>LOPEZ - 1C0-0484-16</v>
      </c>
    </row>
    <row r="1246" spans="1:11" x14ac:dyDescent="0.3">
      <c r="A1246" t="str">
        <f>""</f>
        <v/>
      </c>
      <c r="G1246" t="str">
        <f>"A8101695"</f>
        <v>A8101695</v>
      </c>
      <c r="H1246" t="str">
        <f>"HORZYA  M - 1CO-1479-15"</f>
        <v>HORZYA  M - 1CO-1479-15</v>
      </c>
      <c r="I1246" s="2">
        <v>80.75</v>
      </c>
      <c r="J1246" t="str">
        <f>"TEXAS PARKS &amp; WILDLIFE FUNDS"</f>
        <v>TEXAS PARKS &amp; WILDLIFE FUNDS</v>
      </c>
    </row>
    <row r="1247" spans="1:11" x14ac:dyDescent="0.3">
      <c r="A1247" t="str">
        <f>""</f>
        <v/>
      </c>
      <c r="G1247" t="str">
        <f>"A8167375"</f>
        <v>A8167375</v>
      </c>
      <c r="H1247" t="str">
        <f>"GILBERT  A - 1C0-0047-17"</f>
        <v>GILBERT  A - 1C0-0047-17</v>
      </c>
      <c r="I1247" s="2">
        <v>114.75</v>
      </c>
      <c r="J1247" t="str">
        <f>"TEXAS PARKS &amp; WILDLIFE FUNDS"</f>
        <v>TEXAS PARKS &amp; WILDLIFE FUNDS</v>
      </c>
    </row>
    <row r="1248" spans="1:11" x14ac:dyDescent="0.3">
      <c r="A1248" t="str">
        <f>""</f>
        <v/>
      </c>
      <c r="G1248" t="str">
        <f>"A8167394"</f>
        <v>A8167394</v>
      </c>
      <c r="H1248" t="str">
        <f>"HUERTA-RAMIREZ  J - J2-41349"</f>
        <v>HUERTA-RAMIREZ  J - J2-41349</v>
      </c>
      <c r="I1248" s="2">
        <v>114.75</v>
      </c>
      <c r="J1248" t="str">
        <f>"HUERTA-RAMIREZ  J - J2-41349"</f>
        <v>HUERTA-RAMIREZ  J - J2-41349</v>
      </c>
    </row>
    <row r="1249" spans="1:10" x14ac:dyDescent="0.3">
      <c r="A1249" t="str">
        <f>""</f>
        <v/>
      </c>
      <c r="G1249" t="str">
        <f>"A8167397"</f>
        <v>A8167397</v>
      </c>
      <c r="H1249" t="str">
        <f>"BENNETT  E - J2-41316"</f>
        <v>BENNETT  E - J2-41316</v>
      </c>
      <c r="I1249" s="2">
        <v>114.75</v>
      </c>
      <c r="J1249" t="str">
        <f>"BENNETT  E - J2-41316"</f>
        <v>BENNETT  E - J2-41316</v>
      </c>
    </row>
    <row r="1250" spans="1:10" x14ac:dyDescent="0.3">
      <c r="A1250" t="str">
        <f>"T7170"</f>
        <v>T7170</v>
      </c>
      <c r="B1250" t="s">
        <v>419</v>
      </c>
      <c r="C1250">
        <v>71835</v>
      </c>
      <c r="D1250" s="2">
        <v>238.25</v>
      </c>
      <c r="E1250" s="1">
        <v>42940</v>
      </c>
      <c r="F1250" t="s">
        <v>11</v>
      </c>
      <c r="G1250" t="str">
        <f>"ICO-0650-17"</f>
        <v>ICO-0650-17</v>
      </c>
      <c r="H1250" t="str">
        <f>"A-16590 NAPOLSKI"</f>
        <v>A-16590 NAPOLSKI</v>
      </c>
      <c r="I1250" s="2">
        <v>81</v>
      </c>
      <c r="J1250" t="str">
        <f>"A-16590 NAPOLSKI"</f>
        <v>A-16590 NAPOLSKI</v>
      </c>
    </row>
    <row r="1251" spans="1:10" x14ac:dyDescent="0.3">
      <c r="A1251" t="str">
        <f>""</f>
        <v/>
      </c>
      <c r="G1251" t="str">
        <f>"J2-48256"</f>
        <v>J2-48256</v>
      </c>
      <c r="H1251" t="str">
        <f>"A8139437-ZOCH"</f>
        <v>A8139437-ZOCH</v>
      </c>
      <c r="I1251" s="2">
        <v>157.25</v>
      </c>
      <c r="J1251" t="str">
        <f>"A8139437-ZOCH"</f>
        <v>A8139437-ZOCH</v>
      </c>
    </row>
    <row r="1252" spans="1:10" x14ac:dyDescent="0.3">
      <c r="A1252" t="str">
        <f>"000565"</f>
        <v>000565</v>
      </c>
      <c r="B1252" t="s">
        <v>420</v>
      </c>
      <c r="C1252">
        <v>71836</v>
      </c>
      <c r="D1252" s="2">
        <v>2625</v>
      </c>
      <c r="E1252" s="1">
        <v>42940</v>
      </c>
      <c r="F1252" t="s">
        <v>11</v>
      </c>
      <c r="G1252" t="str">
        <f>"TRAINING CONFERENC"</f>
        <v>TRAINING CONFERENC</v>
      </c>
      <c r="H1252" t="str">
        <f>"TRAINING CONFERENCE"</f>
        <v>TRAINING CONFERENCE</v>
      </c>
      <c r="I1252" s="2">
        <v>2625</v>
      </c>
      <c r="J1252" t="str">
        <f>"TRAINING CONFERENCE"</f>
        <v>TRAINING CONFERENCE</v>
      </c>
    </row>
    <row r="1253" spans="1:10" x14ac:dyDescent="0.3">
      <c r="A1253" t="str">
        <f>"003850"</f>
        <v>003850</v>
      </c>
      <c r="B1253" t="s">
        <v>421</v>
      </c>
      <c r="C1253">
        <v>71837</v>
      </c>
      <c r="D1253" s="2">
        <v>144.07</v>
      </c>
      <c r="E1253" s="1">
        <v>42940</v>
      </c>
      <c r="F1253" t="s">
        <v>11</v>
      </c>
      <c r="G1253" t="str">
        <f>"201707193789"</f>
        <v>201707193789</v>
      </c>
      <c r="H1253" t="str">
        <f>"INDIGENT HEALTH"</f>
        <v>INDIGENT HEALTH</v>
      </c>
      <c r="I1253" s="2">
        <v>144.07</v>
      </c>
      <c r="J1253" t="str">
        <f>"INDIGENT HEALTH"</f>
        <v>INDIGENT HEALTH</v>
      </c>
    </row>
    <row r="1254" spans="1:10" x14ac:dyDescent="0.3">
      <c r="A1254" t="str">
        <f>"003946"</f>
        <v>003946</v>
      </c>
      <c r="B1254" t="s">
        <v>422</v>
      </c>
      <c r="C1254">
        <v>71510</v>
      </c>
      <c r="D1254" s="2">
        <v>1625</v>
      </c>
      <c r="E1254" s="1">
        <v>42926</v>
      </c>
      <c r="F1254" t="s">
        <v>11</v>
      </c>
      <c r="G1254" t="str">
        <f>"201707063405"</f>
        <v>201707063405</v>
      </c>
      <c r="H1254" t="str">
        <f>"302192017B"</f>
        <v>302192017B</v>
      </c>
      <c r="I1254" s="2">
        <v>250</v>
      </c>
      <c r="J1254" t="str">
        <f>"302192017B"</f>
        <v>302192017B</v>
      </c>
    </row>
    <row r="1255" spans="1:10" x14ac:dyDescent="0.3">
      <c r="A1255" t="str">
        <f>""</f>
        <v/>
      </c>
      <c r="G1255" t="str">
        <f>"201707063406"</f>
        <v>201707063406</v>
      </c>
      <c r="H1255" t="str">
        <f>"2017222017B"</f>
        <v>2017222017B</v>
      </c>
      <c r="I1255" s="2">
        <v>250</v>
      </c>
      <c r="J1255" t="str">
        <f>"2017222017B"</f>
        <v>2017222017B</v>
      </c>
    </row>
    <row r="1256" spans="1:10" x14ac:dyDescent="0.3">
      <c r="A1256" t="str">
        <f>""</f>
        <v/>
      </c>
      <c r="G1256" t="str">
        <f>"201707063407"</f>
        <v>201707063407</v>
      </c>
      <c r="H1256" t="str">
        <f>"54925/54926"</f>
        <v>54925/54926</v>
      </c>
      <c r="I1256" s="2">
        <v>375</v>
      </c>
      <c r="J1256" t="str">
        <f>"54925/54926"</f>
        <v>54925/54926</v>
      </c>
    </row>
    <row r="1257" spans="1:10" x14ac:dyDescent="0.3">
      <c r="A1257" t="str">
        <f>""</f>
        <v/>
      </c>
      <c r="G1257" t="str">
        <f>"201707063408"</f>
        <v>201707063408</v>
      </c>
      <c r="H1257" t="str">
        <f>"54858"</f>
        <v>54858</v>
      </c>
      <c r="I1257" s="2">
        <v>250</v>
      </c>
      <c r="J1257" t="str">
        <f>"54858"</f>
        <v>54858</v>
      </c>
    </row>
    <row r="1258" spans="1:10" x14ac:dyDescent="0.3">
      <c r="A1258" t="str">
        <f>""</f>
        <v/>
      </c>
      <c r="G1258" t="str">
        <f>"201707063409"</f>
        <v>201707063409</v>
      </c>
      <c r="H1258" t="str">
        <f>"54657"</f>
        <v>54657</v>
      </c>
      <c r="I1258" s="2">
        <v>250</v>
      </c>
      <c r="J1258" t="str">
        <f>"54657"</f>
        <v>54657</v>
      </c>
    </row>
    <row r="1259" spans="1:10" x14ac:dyDescent="0.3">
      <c r="A1259" t="str">
        <f>""</f>
        <v/>
      </c>
      <c r="G1259" t="str">
        <f>"201707063410"</f>
        <v>201707063410</v>
      </c>
      <c r="H1259" t="str">
        <f>"54692"</f>
        <v>54692</v>
      </c>
      <c r="I1259" s="2">
        <v>250</v>
      </c>
      <c r="J1259" t="str">
        <f>"54692"</f>
        <v>54692</v>
      </c>
    </row>
    <row r="1260" spans="1:10" x14ac:dyDescent="0.3">
      <c r="A1260" t="str">
        <f>"003946"</f>
        <v>003946</v>
      </c>
      <c r="B1260" t="s">
        <v>422</v>
      </c>
      <c r="C1260">
        <v>71838</v>
      </c>
      <c r="D1260" s="2">
        <v>375</v>
      </c>
      <c r="E1260" s="1">
        <v>42940</v>
      </c>
      <c r="F1260" t="s">
        <v>11</v>
      </c>
      <c r="G1260" t="str">
        <f>"201707183693"</f>
        <v>201707183693</v>
      </c>
      <c r="H1260" t="str">
        <f>"52800 401034-2"</f>
        <v>52800 401034-2</v>
      </c>
      <c r="I1260" s="2">
        <v>375</v>
      </c>
      <c r="J1260" t="str">
        <f>"52800 401034-2"</f>
        <v>52800 401034-2</v>
      </c>
    </row>
    <row r="1261" spans="1:10" x14ac:dyDescent="0.3">
      <c r="A1261" t="str">
        <f>"T10299"</f>
        <v>T10299</v>
      </c>
      <c r="B1261" t="s">
        <v>423</v>
      </c>
      <c r="C1261">
        <v>71839</v>
      </c>
      <c r="D1261" s="2">
        <v>175</v>
      </c>
      <c r="E1261" s="1">
        <v>42940</v>
      </c>
      <c r="F1261" t="s">
        <v>11</v>
      </c>
      <c r="G1261" t="str">
        <f>"201707133616"</f>
        <v>201707133616</v>
      </c>
      <c r="H1261" t="str">
        <f>"PICK UP EXPIRED HORSE/BCSO"</f>
        <v>PICK UP EXPIRED HORSE/BCSO</v>
      </c>
      <c r="I1261" s="2">
        <v>175</v>
      </c>
      <c r="J1261" t="str">
        <f>"PICK UP EXPIRED HORSE/BCSO"</f>
        <v>PICK UP EXPIRED HORSE/BCSO</v>
      </c>
    </row>
    <row r="1262" spans="1:10" x14ac:dyDescent="0.3">
      <c r="A1262" t="str">
        <f>"002317"</f>
        <v>002317</v>
      </c>
      <c r="B1262" t="s">
        <v>424</v>
      </c>
      <c r="C1262">
        <v>71511</v>
      </c>
      <c r="D1262" s="2">
        <v>2087.5</v>
      </c>
      <c r="E1262" s="1">
        <v>42926</v>
      </c>
      <c r="F1262" t="s">
        <v>11</v>
      </c>
      <c r="G1262" t="str">
        <f>"201706293293"</f>
        <v>201706293293</v>
      </c>
      <c r="H1262" t="str">
        <f>"16 243"</f>
        <v>16 243</v>
      </c>
      <c r="I1262" s="2">
        <v>600</v>
      </c>
      <c r="J1262" t="str">
        <f>"16 243"</f>
        <v>16 243</v>
      </c>
    </row>
    <row r="1263" spans="1:10" x14ac:dyDescent="0.3">
      <c r="A1263" t="str">
        <f>""</f>
        <v/>
      </c>
      <c r="G1263" t="str">
        <f>"201706293303"</f>
        <v>201706293303</v>
      </c>
      <c r="H1263" t="str">
        <f>"16 284/559-335"</f>
        <v>16 284/559-335</v>
      </c>
      <c r="I1263" s="2">
        <v>500</v>
      </c>
      <c r="J1263" t="str">
        <f>"16 284/559-335"</f>
        <v>16 284/559-335</v>
      </c>
    </row>
    <row r="1264" spans="1:10" x14ac:dyDescent="0.3">
      <c r="A1264" t="str">
        <f>""</f>
        <v/>
      </c>
      <c r="G1264" t="str">
        <f>"201707063437"</f>
        <v>201707063437</v>
      </c>
      <c r="H1264" t="str">
        <f>"54 363"</f>
        <v>54 363</v>
      </c>
      <c r="I1264" s="2">
        <v>250</v>
      </c>
      <c r="J1264" t="str">
        <f>"54 363"</f>
        <v>54 363</v>
      </c>
    </row>
    <row r="1265" spans="1:10" x14ac:dyDescent="0.3">
      <c r="A1265" t="str">
        <f>""</f>
        <v/>
      </c>
      <c r="G1265" t="str">
        <f>"201707063438"</f>
        <v>201707063438</v>
      </c>
      <c r="H1265" t="str">
        <f>"16-17977"</f>
        <v>16-17977</v>
      </c>
      <c r="I1265" s="2">
        <v>250</v>
      </c>
      <c r="J1265" t="str">
        <f>"16-17977"</f>
        <v>16-17977</v>
      </c>
    </row>
    <row r="1266" spans="1:10" x14ac:dyDescent="0.3">
      <c r="A1266" t="str">
        <f>""</f>
        <v/>
      </c>
      <c r="G1266" t="str">
        <f>"201707063439"</f>
        <v>201707063439</v>
      </c>
      <c r="H1266" t="str">
        <f>"16-18018"</f>
        <v>16-18018</v>
      </c>
      <c r="I1266" s="2">
        <v>225</v>
      </c>
      <c r="J1266" t="str">
        <f>"16-18018"</f>
        <v>16-18018</v>
      </c>
    </row>
    <row r="1267" spans="1:10" x14ac:dyDescent="0.3">
      <c r="A1267" t="str">
        <f>""</f>
        <v/>
      </c>
      <c r="G1267" t="str">
        <f>"201707063440"</f>
        <v>201707063440</v>
      </c>
      <c r="H1267" t="str">
        <f>"16 17758"</f>
        <v>16 17758</v>
      </c>
      <c r="I1267" s="2">
        <v>112.5</v>
      </c>
      <c r="J1267" t="str">
        <f>"16 17758"</f>
        <v>16 17758</v>
      </c>
    </row>
    <row r="1268" spans="1:10" x14ac:dyDescent="0.3">
      <c r="A1268" t="str">
        <f>""</f>
        <v/>
      </c>
      <c r="G1268" t="str">
        <f>"201707063441"</f>
        <v>201707063441</v>
      </c>
      <c r="H1268" t="str">
        <f>"16 18018"</f>
        <v>16 18018</v>
      </c>
      <c r="I1268" s="2">
        <v>150</v>
      </c>
      <c r="J1268" t="str">
        <f>"16 18018"</f>
        <v>16 18018</v>
      </c>
    </row>
    <row r="1269" spans="1:10" x14ac:dyDescent="0.3">
      <c r="A1269" t="str">
        <f>"002317"</f>
        <v>002317</v>
      </c>
      <c r="B1269" t="s">
        <v>424</v>
      </c>
      <c r="C1269">
        <v>71840</v>
      </c>
      <c r="D1269" s="2">
        <v>2150</v>
      </c>
      <c r="E1269" s="1">
        <v>42940</v>
      </c>
      <c r="F1269" t="s">
        <v>11</v>
      </c>
      <c r="G1269" t="str">
        <f>"201707113588"</f>
        <v>201707113588</v>
      </c>
      <c r="H1269" t="str">
        <f>"423-5092"</f>
        <v>423-5092</v>
      </c>
      <c r="I1269" s="2">
        <v>100</v>
      </c>
      <c r="J1269" t="str">
        <f>"423-5092"</f>
        <v>423-5092</v>
      </c>
    </row>
    <row r="1270" spans="1:10" x14ac:dyDescent="0.3">
      <c r="A1270" t="str">
        <f>""</f>
        <v/>
      </c>
      <c r="G1270" t="str">
        <f>"201707113589"</f>
        <v>201707113589</v>
      </c>
      <c r="H1270" t="str">
        <f>"02-0113-5  02-0113-6"</f>
        <v>02-0113-5  02-0113-6</v>
      </c>
      <c r="I1270" s="2">
        <v>600</v>
      </c>
      <c r="J1270" t="str">
        <f>"02-0113-5  02-0113-6"</f>
        <v>02-0113-5  02-0113-6</v>
      </c>
    </row>
    <row r="1271" spans="1:10" x14ac:dyDescent="0.3">
      <c r="A1271" t="str">
        <f>""</f>
        <v/>
      </c>
      <c r="G1271" t="str">
        <f>"201707113594"</f>
        <v>201707113594</v>
      </c>
      <c r="H1271" t="str">
        <f>"301004-2015A"</f>
        <v>301004-2015A</v>
      </c>
      <c r="I1271" s="2">
        <v>400</v>
      </c>
      <c r="J1271" t="str">
        <f>"301004-2015A"</f>
        <v>301004-2015A</v>
      </c>
    </row>
    <row r="1272" spans="1:10" x14ac:dyDescent="0.3">
      <c r="A1272" t="str">
        <f>""</f>
        <v/>
      </c>
      <c r="G1272" t="str">
        <f>"201707143637"</f>
        <v>201707143637</v>
      </c>
      <c r="H1272" t="str">
        <f>"16 034/410254-2M/1JP42817AB"</f>
        <v>16 034/410254-2M/1JP42817AB</v>
      </c>
      <c r="I1272" s="2">
        <v>800</v>
      </c>
      <c r="J1272" t="str">
        <f>"16 034/410254-2M/1JP42817AB"</f>
        <v>16 034/410254-2M/1JP42817AB</v>
      </c>
    </row>
    <row r="1273" spans="1:10" x14ac:dyDescent="0.3">
      <c r="A1273" t="str">
        <f>""</f>
        <v/>
      </c>
      <c r="G1273" t="str">
        <f>"201707183702"</f>
        <v>201707183702</v>
      </c>
      <c r="H1273" t="str">
        <f>"54 958"</f>
        <v>54 958</v>
      </c>
      <c r="I1273" s="2">
        <v>250</v>
      </c>
      <c r="J1273" t="str">
        <f>"54 958"</f>
        <v>54 958</v>
      </c>
    </row>
    <row r="1274" spans="1:10" x14ac:dyDescent="0.3">
      <c r="A1274" t="str">
        <f>"005062"</f>
        <v>005062</v>
      </c>
      <c r="B1274" t="s">
        <v>425</v>
      </c>
      <c r="C1274">
        <v>71512</v>
      </c>
      <c r="D1274" s="2">
        <v>2541.2199999999998</v>
      </c>
      <c r="E1274" s="1">
        <v>42926</v>
      </c>
      <c r="F1274" t="s">
        <v>11</v>
      </c>
      <c r="G1274" t="str">
        <f>"#23547 23548 23608"</f>
        <v>#23547 23548 23608</v>
      </c>
      <c r="H1274" t="str">
        <f>"ADMIN SERVER  REPAIR"</f>
        <v>ADMIN SERVER  REPAIR</v>
      </c>
      <c r="I1274" s="2">
        <v>920</v>
      </c>
      <c r="J1274" t="str">
        <f>"INV 023547"</f>
        <v>INV 023547</v>
      </c>
    </row>
    <row r="1275" spans="1:10" x14ac:dyDescent="0.3">
      <c r="A1275" t="str">
        <f>""</f>
        <v/>
      </c>
      <c r="G1275" t="str">
        <f>""</f>
        <v/>
      </c>
      <c r="H1275" t="str">
        <f>""</f>
        <v/>
      </c>
      <c r="J1275" t="str">
        <f>"INV 023548"</f>
        <v>INV 023548</v>
      </c>
    </row>
    <row r="1276" spans="1:10" x14ac:dyDescent="0.3">
      <c r="A1276" t="str">
        <f>""</f>
        <v/>
      </c>
      <c r="G1276" t="str">
        <f>""</f>
        <v/>
      </c>
      <c r="H1276" t="str">
        <f>""</f>
        <v/>
      </c>
      <c r="J1276" t="str">
        <f>"INV 023608"</f>
        <v>INV 023608</v>
      </c>
    </row>
    <row r="1277" spans="1:10" x14ac:dyDescent="0.3">
      <c r="A1277" t="str">
        <f>""</f>
        <v/>
      </c>
      <c r="G1277" t="str">
        <f>"023608"</f>
        <v>023608</v>
      </c>
      <c r="H1277" t="str">
        <f>"MINI SPLIT INV023608"</f>
        <v>MINI SPLIT INV023608</v>
      </c>
      <c r="I1277" s="2">
        <v>420</v>
      </c>
      <c r="J1277" t="str">
        <f>"MINI SPLIT INV023608"</f>
        <v>MINI SPLIT INV023608</v>
      </c>
    </row>
    <row r="1278" spans="1:10" x14ac:dyDescent="0.3">
      <c r="A1278" t="str">
        <f>""</f>
        <v/>
      </c>
      <c r="G1278" t="str">
        <f>"023609"</f>
        <v>023609</v>
      </c>
      <c r="H1278" t="str">
        <f>"UNIT COMPRESSOR 023609"</f>
        <v>UNIT COMPRESSOR 023609</v>
      </c>
      <c r="I1278" s="2">
        <v>1201.22</v>
      </c>
      <c r="J1278" t="str">
        <f>"UNIT COMPRESSOR 023609"</f>
        <v>UNIT COMPRESSOR 023609</v>
      </c>
    </row>
    <row r="1279" spans="1:10" x14ac:dyDescent="0.3">
      <c r="A1279" t="str">
        <f>"TIME"</f>
        <v>TIME</v>
      </c>
      <c r="B1279" t="s">
        <v>426</v>
      </c>
      <c r="C1279">
        <v>71513</v>
      </c>
      <c r="D1279" s="2">
        <v>10262.700000000001</v>
      </c>
      <c r="E1279" s="1">
        <v>42926</v>
      </c>
      <c r="F1279" t="s">
        <v>11</v>
      </c>
      <c r="G1279" t="str">
        <f>"201707053351"</f>
        <v>201707053351</v>
      </c>
      <c r="H1279" t="str">
        <f>"ACCT#8260163000003669"</f>
        <v>ACCT#8260163000003669</v>
      </c>
      <c r="I1279" s="2">
        <v>10262.700000000001</v>
      </c>
      <c r="J1279" t="str">
        <f>"ACCT#8260163000003669"</f>
        <v>ACCT#8260163000003669</v>
      </c>
    </row>
    <row r="1280" spans="1:10" x14ac:dyDescent="0.3">
      <c r="A1280" t="str">
        <f>""</f>
        <v/>
      </c>
      <c r="G1280" t="str">
        <f>""</f>
        <v/>
      </c>
      <c r="H1280" t="str">
        <f>""</f>
        <v/>
      </c>
      <c r="J1280" t="str">
        <f>"ACCT#8260163000003669"</f>
        <v>ACCT#8260163000003669</v>
      </c>
    </row>
    <row r="1281" spans="1:11" x14ac:dyDescent="0.3">
      <c r="A1281" t="str">
        <f>""</f>
        <v/>
      </c>
      <c r="G1281" t="str">
        <f>""</f>
        <v/>
      </c>
      <c r="H1281" t="str">
        <f>""</f>
        <v/>
      </c>
      <c r="J1281" t="str">
        <f>"ACCT#8260163000003669"</f>
        <v>ACCT#8260163000003669</v>
      </c>
    </row>
    <row r="1282" spans="1:11" x14ac:dyDescent="0.3">
      <c r="A1282" t="str">
        <f>"002522"</f>
        <v>002522</v>
      </c>
      <c r="B1282" t="s">
        <v>427</v>
      </c>
      <c r="C1282">
        <v>71841</v>
      </c>
      <c r="D1282" s="2">
        <v>18.190000000000001</v>
      </c>
      <c r="E1282" s="1">
        <v>42940</v>
      </c>
      <c r="F1282" t="s">
        <v>11</v>
      </c>
      <c r="G1282" t="s">
        <v>124</v>
      </c>
      <c r="H1282" t="s">
        <v>428</v>
      </c>
      <c r="I1282" s="2" t="str">
        <f>"RESTITUTION-R. WRIGHT"</f>
        <v>RESTITUTION-R. WRIGHT</v>
      </c>
      <c r="J1282" t="str">
        <f>"210-0000"</f>
        <v>210-0000</v>
      </c>
      <c r="K1282">
        <v>18.190000000000001</v>
      </c>
    </row>
    <row r="1283" spans="1:11" x14ac:dyDescent="0.3">
      <c r="A1283" t="str">
        <f>"002337"</f>
        <v>002337</v>
      </c>
      <c r="B1283" t="s">
        <v>429</v>
      </c>
      <c r="C1283">
        <v>71514</v>
      </c>
      <c r="D1283" s="2">
        <v>541</v>
      </c>
      <c r="E1283" s="1">
        <v>42926</v>
      </c>
      <c r="F1283" t="s">
        <v>11</v>
      </c>
      <c r="G1283" t="str">
        <f>"10346"</f>
        <v>10346</v>
      </c>
      <c r="H1283" t="str">
        <f>"SERVICE-4/19/2017"</f>
        <v>SERVICE-4/19/2017</v>
      </c>
      <c r="I1283" s="2">
        <v>65</v>
      </c>
      <c r="J1283" t="str">
        <f>"SERVICE-4/19/2017"</f>
        <v>SERVICE-4/19/2017</v>
      </c>
    </row>
    <row r="1284" spans="1:11" x14ac:dyDescent="0.3">
      <c r="A1284" t="str">
        <f>""</f>
        <v/>
      </c>
      <c r="G1284" t="str">
        <f>"12179-5/2/2017"</f>
        <v>12179-5/2/2017</v>
      </c>
      <c r="H1284" t="str">
        <f>"SERVICE-5/2/2017"</f>
        <v>SERVICE-5/2/2017</v>
      </c>
      <c r="I1284" s="2">
        <v>75</v>
      </c>
      <c r="J1284" t="str">
        <f>"SERVICE-5/2/2017"</f>
        <v>SERVICE-5/2/2017</v>
      </c>
    </row>
    <row r="1285" spans="1:11" x14ac:dyDescent="0.3">
      <c r="A1285" t="str">
        <f>""</f>
        <v/>
      </c>
      <c r="G1285" t="str">
        <f>"12179A"</f>
        <v>12179A</v>
      </c>
      <c r="H1285" t="str">
        <f>"SERVICE-4/19/2017"</f>
        <v>SERVICE-4/19/2017</v>
      </c>
      <c r="I1285" s="2">
        <v>26</v>
      </c>
      <c r="J1285" t="str">
        <f>"SERVICE-4/19/2017"</f>
        <v>SERVICE-4/19/2017</v>
      </c>
    </row>
    <row r="1286" spans="1:11" x14ac:dyDescent="0.3">
      <c r="A1286" t="str">
        <f>""</f>
        <v/>
      </c>
      <c r="G1286" t="str">
        <f>"12580"</f>
        <v>12580</v>
      </c>
      <c r="H1286" t="str">
        <f>"SERVICE-4/25/2017"</f>
        <v>SERVICE-4/25/2017</v>
      </c>
      <c r="I1286" s="2">
        <v>75</v>
      </c>
      <c r="J1286" t="str">
        <f>"SERVICE-4/25/2017"</f>
        <v>SERVICE-4/25/2017</v>
      </c>
    </row>
    <row r="1287" spans="1:11" x14ac:dyDescent="0.3">
      <c r="A1287" t="str">
        <f>""</f>
        <v/>
      </c>
      <c r="G1287" t="str">
        <f>"12589"</f>
        <v>12589</v>
      </c>
      <c r="H1287" t="str">
        <f>"SERVICE-4/19/2017"</f>
        <v>SERVICE-4/19/2017</v>
      </c>
      <c r="I1287" s="2">
        <v>150</v>
      </c>
      <c r="J1287" t="str">
        <f>"SERVICE-4/19/2017"</f>
        <v>SERVICE-4/19/2017</v>
      </c>
    </row>
    <row r="1288" spans="1:11" x14ac:dyDescent="0.3">
      <c r="A1288" t="str">
        <f>""</f>
        <v/>
      </c>
      <c r="G1288" t="str">
        <f>"12666"</f>
        <v>12666</v>
      </c>
      <c r="H1288" t="str">
        <f>"SERVICE-4/19/2017"</f>
        <v>SERVICE-4/19/2017</v>
      </c>
      <c r="I1288" s="2">
        <v>150</v>
      </c>
      <c r="J1288" t="str">
        <f>"SERVICE-4/19/2017"</f>
        <v>SERVICE-4/19/2017</v>
      </c>
    </row>
    <row r="1289" spans="1:11" x14ac:dyDescent="0.3">
      <c r="A1289" t="str">
        <f>"002337"</f>
        <v>002337</v>
      </c>
      <c r="B1289" t="s">
        <v>429</v>
      </c>
      <c r="C1289">
        <v>71842</v>
      </c>
      <c r="D1289" s="2">
        <v>450</v>
      </c>
      <c r="E1289" s="1">
        <v>42940</v>
      </c>
      <c r="F1289" t="s">
        <v>11</v>
      </c>
      <c r="G1289" t="str">
        <f>"12528"</f>
        <v>12528</v>
      </c>
      <c r="H1289" t="str">
        <f>"SERVICE 6/5/17"</f>
        <v>SERVICE 6/5/17</v>
      </c>
      <c r="I1289" s="2">
        <v>75</v>
      </c>
      <c r="J1289" t="str">
        <f>"SERVICE 6/5/17"</f>
        <v>SERVICE 6/5/17</v>
      </c>
    </row>
    <row r="1290" spans="1:11" x14ac:dyDescent="0.3">
      <c r="A1290" t="str">
        <f>""</f>
        <v/>
      </c>
      <c r="G1290" t="str">
        <f>"12563"</f>
        <v>12563</v>
      </c>
      <c r="H1290" t="str">
        <f>"SERVICE-5/15/17"</f>
        <v>SERVICE-5/15/17</v>
      </c>
      <c r="I1290" s="2">
        <v>150</v>
      </c>
      <c r="J1290" t="str">
        <f>"SERVICE-5/15/17"</f>
        <v>SERVICE-5/15/17</v>
      </c>
    </row>
    <row r="1291" spans="1:11" x14ac:dyDescent="0.3">
      <c r="A1291" t="str">
        <f>""</f>
        <v/>
      </c>
      <c r="G1291" t="str">
        <f>"12603"</f>
        <v>12603</v>
      </c>
      <c r="H1291" t="str">
        <f>"SERVICE 6/5/17"</f>
        <v>SERVICE 6/5/17</v>
      </c>
      <c r="I1291" s="2">
        <v>150</v>
      </c>
      <c r="J1291" t="str">
        <f>"SERVICE 6/5/17"</f>
        <v>SERVICE 6/5/17</v>
      </c>
    </row>
    <row r="1292" spans="1:11" x14ac:dyDescent="0.3">
      <c r="A1292" t="str">
        <f>""</f>
        <v/>
      </c>
      <c r="G1292" t="str">
        <f>"12687"</f>
        <v>12687</v>
      </c>
      <c r="H1292" t="str">
        <f>"SERVICE-6/1/17"</f>
        <v>SERVICE-6/1/17</v>
      </c>
      <c r="I1292" s="2">
        <v>75</v>
      </c>
      <c r="J1292" t="str">
        <f>"SERVICE-6/1/17"</f>
        <v>SERVICE-6/1/17</v>
      </c>
    </row>
    <row r="1293" spans="1:11" x14ac:dyDescent="0.3">
      <c r="A1293" t="str">
        <f>"T6199"</f>
        <v>T6199</v>
      </c>
      <c r="B1293" t="s">
        <v>430</v>
      </c>
      <c r="C1293">
        <v>71515</v>
      </c>
      <c r="D1293" s="2">
        <v>70</v>
      </c>
      <c r="E1293" s="1">
        <v>42926</v>
      </c>
      <c r="F1293" t="s">
        <v>84</v>
      </c>
      <c r="G1293" t="s">
        <v>124</v>
      </c>
      <c r="H1293" t="s">
        <v>125</v>
      </c>
      <c r="I1293" s="2" t="str">
        <f>"SERVICE-5/1/2017"</f>
        <v>SERVICE-5/1/2017</v>
      </c>
    </row>
    <row r="1294" spans="1:11" x14ac:dyDescent="0.3">
      <c r="A1294" t="str">
        <f>"005136"</f>
        <v>005136</v>
      </c>
      <c r="B1294" t="s">
        <v>431</v>
      </c>
      <c r="C1294">
        <v>71516</v>
      </c>
      <c r="D1294" s="2">
        <v>2900</v>
      </c>
      <c r="E1294" s="1">
        <v>42926</v>
      </c>
      <c r="F1294" t="s">
        <v>11</v>
      </c>
      <c r="G1294" t="str">
        <f>"3300000473"</f>
        <v>3300000473</v>
      </c>
      <c r="H1294" t="str">
        <f>"INV# 3300000473/CUST# 100011"</f>
        <v>INV# 3300000473/CUST# 100011</v>
      </c>
      <c r="I1294" s="2">
        <v>2900</v>
      </c>
      <c r="J1294" t="str">
        <f>"INV# 3300000473/CUST# 100011"</f>
        <v>INV# 3300000473/CUST# 100011</v>
      </c>
    </row>
    <row r="1295" spans="1:11" x14ac:dyDescent="0.3">
      <c r="A1295" t="str">
        <f>"005136"</f>
        <v>005136</v>
      </c>
      <c r="B1295" t="s">
        <v>431</v>
      </c>
      <c r="C1295">
        <v>71843</v>
      </c>
      <c r="D1295" s="2">
        <v>2900</v>
      </c>
      <c r="E1295" s="1">
        <v>42940</v>
      </c>
      <c r="F1295" t="s">
        <v>11</v>
      </c>
      <c r="G1295" t="str">
        <f>"3300000477"</f>
        <v>3300000477</v>
      </c>
      <c r="H1295" t="str">
        <f>"CUST#100008/INV#3300000477"</f>
        <v>CUST#100008/INV#3300000477</v>
      </c>
      <c r="I1295" s="2">
        <v>2900</v>
      </c>
      <c r="J1295" t="str">
        <f>"CUST#100008/INV#3300000477"</f>
        <v>CUST#100008/INV#3300000477</v>
      </c>
    </row>
    <row r="1296" spans="1:11" x14ac:dyDescent="0.3">
      <c r="A1296" t="str">
        <f>"002944"</f>
        <v>002944</v>
      </c>
      <c r="B1296" t="s">
        <v>432</v>
      </c>
      <c r="C1296">
        <v>71726</v>
      </c>
      <c r="D1296" s="2">
        <v>2295.64</v>
      </c>
      <c r="E1296" s="1">
        <v>42940</v>
      </c>
      <c r="F1296" t="s">
        <v>11</v>
      </c>
      <c r="G1296" t="str">
        <f>"660805"</f>
        <v>660805</v>
      </c>
      <c r="H1296" t="str">
        <f>"UNIT 88 INV660805"</f>
        <v>UNIT 88 INV660805</v>
      </c>
      <c r="I1296" s="2">
        <v>112.27</v>
      </c>
      <c r="J1296" t="str">
        <f>"UNIT 88 INV660805"</f>
        <v>UNIT 88 INV660805</v>
      </c>
    </row>
    <row r="1297" spans="1:10" x14ac:dyDescent="0.3">
      <c r="A1297" t="str">
        <f>""</f>
        <v/>
      </c>
      <c r="G1297" t="str">
        <f>"661599"</f>
        <v>661599</v>
      </c>
      <c r="H1297" t="str">
        <f>"INV 661599/UNIT 1670"</f>
        <v>INV 661599/UNIT 1670</v>
      </c>
      <c r="I1297" s="2">
        <v>521.64</v>
      </c>
      <c r="J1297" t="str">
        <f>"INV 661599/UNIT 1670"</f>
        <v>INV 661599/UNIT 1670</v>
      </c>
    </row>
    <row r="1298" spans="1:10" x14ac:dyDescent="0.3">
      <c r="A1298" t="str">
        <f>""</f>
        <v/>
      </c>
      <c r="G1298" t="str">
        <f>"662560"</f>
        <v>662560</v>
      </c>
      <c r="H1298" t="str">
        <f>"INV 662560/UNIT 0119"</f>
        <v>INV 662560/UNIT 0119</v>
      </c>
      <c r="I1298" s="2">
        <v>521.64</v>
      </c>
      <c r="J1298" t="str">
        <f>"INV 662560/UNIT 0119"</f>
        <v>INV 662560/UNIT 0119</v>
      </c>
    </row>
    <row r="1299" spans="1:10" x14ac:dyDescent="0.3">
      <c r="A1299" t="str">
        <f>""</f>
        <v/>
      </c>
      <c r="G1299" t="str">
        <f>"662816"</f>
        <v>662816</v>
      </c>
      <c r="H1299" t="str">
        <f>"INV 662816/UNIT 4717"</f>
        <v>INV 662816/UNIT 4717</v>
      </c>
      <c r="I1299" s="2">
        <v>130.41</v>
      </c>
      <c r="J1299" t="str">
        <f>"INV 662816/UNIT 4717"</f>
        <v>INV 662816/UNIT 4717</v>
      </c>
    </row>
    <row r="1300" spans="1:10" x14ac:dyDescent="0.3">
      <c r="A1300" t="str">
        <f>""</f>
        <v/>
      </c>
      <c r="G1300" t="str">
        <f>"663594"</f>
        <v>663594</v>
      </c>
      <c r="H1300" t="str">
        <f>"INV 663594 / UNIT 0118"</f>
        <v>INV 663594 / UNIT 0118</v>
      </c>
      <c r="I1300" s="2">
        <v>521.64</v>
      </c>
      <c r="J1300" t="str">
        <f>"INV 663594 / UNIT 0118"</f>
        <v>INV 663594 / UNIT 0118</v>
      </c>
    </row>
    <row r="1301" spans="1:10" x14ac:dyDescent="0.3">
      <c r="A1301" t="str">
        <f>""</f>
        <v/>
      </c>
      <c r="G1301" t="str">
        <f>"663828"</f>
        <v>663828</v>
      </c>
      <c r="H1301" t="str">
        <f>"INV 663828/ UNIT 8217"</f>
        <v>INV 663828/ UNIT 8217</v>
      </c>
      <c r="I1301" s="2">
        <v>488.04</v>
      </c>
      <c r="J1301" t="str">
        <f>"INV 663828/ UNIT 8217"</f>
        <v>INV 663828/ UNIT 8217</v>
      </c>
    </row>
    <row r="1302" spans="1:10" x14ac:dyDescent="0.3">
      <c r="A1302" t="str">
        <f>"005123"</f>
        <v>005123</v>
      </c>
      <c r="B1302" t="s">
        <v>433</v>
      </c>
      <c r="C1302">
        <v>71517</v>
      </c>
      <c r="D1302" s="2">
        <v>74169.460000000006</v>
      </c>
      <c r="E1302" s="1">
        <v>42926</v>
      </c>
      <c r="F1302" t="s">
        <v>11</v>
      </c>
      <c r="G1302" t="str">
        <f>"7151223805"</f>
        <v>7151223805</v>
      </c>
      <c r="H1302" t="str">
        <f>"ACCT#533569/TICKET#42091453"</f>
        <v>ACCT#533569/TICKET#42091453</v>
      </c>
      <c r="I1302" s="2">
        <v>8010.6</v>
      </c>
      <c r="J1302" t="str">
        <f>"ACCT#533569/TICKET#42091453"</f>
        <v>ACCT#533569/TICKET#42091453</v>
      </c>
    </row>
    <row r="1303" spans="1:10" x14ac:dyDescent="0.3">
      <c r="A1303" t="str">
        <f>""</f>
        <v/>
      </c>
      <c r="G1303" t="str">
        <f>"7151223981"</f>
        <v>7151223981</v>
      </c>
      <c r="H1303" t="str">
        <f>"ACCT#533569/ORD#13291/PCT#3"</f>
        <v>ACCT#533569/ORD#13291/PCT#3</v>
      </c>
      <c r="I1303" s="2">
        <v>60012.46</v>
      </c>
      <c r="J1303" t="str">
        <f>"ACCT#533569/ORD#13291/PCT#3"</f>
        <v>ACCT#533569/ORD#13291/PCT#3</v>
      </c>
    </row>
    <row r="1304" spans="1:10" x14ac:dyDescent="0.3">
      <c r="A1304" t="str">
        <f>""</f>
        <v/>
      </c>
      <c r="G1304" t="str">
        <f>"7151224070"</f>
        <v>7151224070</v>
      </c>
      <c r="H1304" t="str">
        <f>"ACCT#533569/ORD#13291/PCT#3"</f>
        <v>ACCT#533569/ORD#13291/PCT#3</v>
      </c>
      <c r="I1304" s="2">
        <v>6146.4</v>
      </c>
      <c r="J1304" t="str">
        <f>"TICKET#42091599"</f>
        <v>TICKET#42091599</v>
      </c>
    </row>
    <row r="1305" spans="1:10" x14ac:dyDescent="0.3">
      <c r="A1305" t="str">
        <f>"005123"</f>
        <v>005123</v>
      </c>
      <c r="B1305" t="s">
        <v>433</v>
      </c>
      <c r="C1305">
        <v>71844</v>
      </c>
      <c r="D1305" s="2">
        <v>65930.31</v>
      </c>
      <c r="E1305" s="1">
        <v>42940</v>
      </c>
      <c r="F1305" t="s">
        <v>11</v>
      </c>
      <c r="G1305" t="str">
        <f>"7151224390"</f>
        <v>7151224390</v>
      </c>
      <c r="H1305" t="str">
        <f>"ACCT#533569/PCT#3"</f>
        <v>ACCT#533569/PCT#3</v>
      </c>
      <c r="I1305" s="2">
        <v>30598.639999999999</v>
      </c>
      <c r="J1305" t="str">
        <f>"ACCT#533569/PCT#3"</f>
        <v>ACCT#533569/PCT#3</v>
      </c>
    </row>
    <row r="1306" spans="1:10" x14ac:dyDescent="0.3">
      <c r="A1306" t="str">
        <f>""</f>
        <v/>
      </c>
      <c r="G1306" t="str">
        <f>"7151224462"</f>
        <v>7151224462</v>
      </c>
      <c r="H1306" t="str">
        <f>"ACCT#533569/TCK#42091965/PCT3"</f>
        <v>ACCT#533569/TCK#42091965/PCT3</v>
      </c>
      <c r="I1306" s="2">
        <v>2827.51</v>
      </c>
      <c r="J1306" t="str">
        <f>"ACCT#533569/TCK#42091965/PCT3"</f>
        <v>ACCT#533569/TCK#42091965/PCT3</v>
      </c>
    </row>
    <row r="1307" spans="1:10" x14ac:dyDescent="0.3">
      <c r="A1307" t="str">
        <f>""</f>
        <v/>
      </c>
      <c r="G1307" t="str">
        <f>"7151224563"</f>
        <v>7151224563</v>
      </c>
      <c r="H1307" t="str">
        <f>"ACCT#533569/ORD#13291/PCT#3"</f>
        <v>ACCT#533569/ORD#13291/PCT#3</v>
      </c>
      <c r="I1307" s="2">
        <v>26367.9</v>
      </c>
      <c r="J1307" t="str">
        <f>"ACCT#533569/ORD#13291/PCT#3"</f>
        <v>ACCT#533569/ORD#13291/PCT#3</v>
      </c>
    </row>
    <row r="1308" spans="1:10" x14ac:dyDescent="0.3">
      <c r="A1308" t="str">
        <f>""</f>
        <v/>
      </c>
      <c r="G1308" t="str">
        <f>"7151224652"</f>
        <v>7151224652</v>
      </c>
      <c r="H1308" t="str">
        <f>"ACCT#533569/ORD#13291/PCT#3"</f>
        <v>ACCT#533569/ORD#13291/PCT#3</v>
      </c>
      <c r="I1308" s="2">
        <v>6136.26</v>
      </c>
      <c r="J1308" t="str">
        <f>"ACCT#533569/ORD#13291/PCT#3"</f>
        <v>ACCT#533569/ORD#13291/PCT#3</v>
      </c>
    </row>
    <row r="1309" spans="1:10" x14ac:dyDescent="0.3">
      <c r="A1309" t="str">
        <f>"TRIPLE"</f>
        <v>TRIPLE</v>
      </c>
      <c r="B1309" t="s">
        <v>434</v>
      </c>
      <c r="C1309">
        <v>71518</v>
      </c>
      <c r="D1309" s="2">
        <v>4378</v>
      </c>
      <c r="E1309" s="1">
        <v>42926</v>
      </c>
      <c r="F1309" t="s">
        <v>11</v>
      </c>
      <c r="G1309" t="str">
        <f>"0009571-IN"</f>
        <v>0009571-IN</v>
      </c>
      <c r="H1309" t="str">
        <f>"CUST#0009084/PCT#1"</f>
        <v>CUST#0009084/PCT#1</v>
      </c>
      <c r="I1309" s="2">
        <v>4378</v>
      </c>
      <c r="J1309" t="str">
        <f>"CUST#0009084/PCT#1"</f>
        <v>CUST#0009084/PCT#1</v>
      </c>
    </row>
    <row r="1310" spans="1:10" x14ac:dyDescent="0.3">
      <c r="A1310" t="str">
        <f>"TRIPLE"</f>
        <v>TRIPLE</v>
      </c>
      <c r="B1310" t="s">
        <v>434</v>
      </c>
      <c r="C1310">
        <v>71845</v>
      </c>
      <c r="D1310" s="2">
        <v>6384.75</v>
      </c>
      <c r="E1310" s="1">
        <v>42940</v>
      </c>
      <c r="F1310" t="s">
        <v>11</v>
      </c>
      <c r="G1310" t="str">
        <f>"0008712-IN"</f>
        <v>0008712-IN</v>
      </c>
      <c r="H1310" t="str">
        <f>"BOL#386827/PCT#3"</f>
        <v>BOL#386827/PCT#3</v>
      </c>
      <c r="I1310" s="2">
        <v>2873.45</v>
      </c>
      <c r="J1310" t="str">
        <f>"BOL#386827/PCT#3"</f>
        <v>BOL#386827/PCT#3</v>
      </c>
    </row>
    <row r="1311" spans="1:10" x14ac:dyDescent="0.3">
      <c r="A1311" t="str">
        <f>""</f>
        <v/>
      </c>
      <c r="G1311" t="str">
        <f>"0009721-IN"</f>
        <v>0009721-IN</v>
      </c>
      <c r="H1311" t="str">
        <f>"CUST#0009087/PCT#4"</f>
        <v>CUST#0009087/PCT#4</v>
      </c>
      <c r="I1311" s="2">
        <v>3511.3</v>
      </c>
      <c r="J1311" t="str">
        <f>"CUST#0009087/PCT#4"</f>
        <v>CUST#0009087/PCT#4</v>
      </c>
    </row>
    <row r="1312" spans="1:10" x14ac:dyDescent="0.3">
      <c r="A1312" t="str">
        <f>"TRACTO"</f>
        <v>TRACTO</v>
      </c>
      <c r="B1312" t="s">
        <v>435</v>
      </c>
      <c r="C1312">
        <v>71519</v>
      </c>
      <c r="D1312" s="2">
        <v>573.62</v>
      </c>
      <c r="E1312" s="1">
        <v>42926</v>
      </c>
      <c r="F1312" t="s">
        <v>11</v>
      </c>
      <c r="G1312" t="str">
        <f>"ACCT#0982"</f>
        <v>ACCT#0982</v>
      </c>
      <c r="H1312" t="str">
        <f>"Acct# 4032301200160982"</f>
        <v>Acct# 4032301200160982</v>
      </c>
      <c r="I1312" s="2">
        <v>573.62</v>
      </c>
      <c r="J1312" t="str">
        <f>"Inv# 200413117"</f>
        <v>Inv# 200413117</v>
      </c>
    </row>
    <row r="1313" spans="1:10" x14ac:dyDescent="0.3">
      <c r="A1313" t="str">
        <f>""</f>
        <v/>
      </c>
      <c r="G1313" t="str">
        <f>""</f>
        <v/>
      </c>
      <c r="H1313" t="str">
        <f>""</f>
        <v/>
      </c>
      <c r="J1313" t="str">
        <f>"Inv# 200417839"</f>
        <v>Inv# 200417839</v>
      </c>
    </row>
    <row r="1314" spans="1:10" x14ac:dyDescent="0.3">
      <c r="A1314" t="str">
        <f>""</f>
        <v/>
      </c>
      <c r="G1314" t="str">
        <f>""</f>
        <v/>
      </c>
      <c r="H1314" t="str">
        <f>""</f>
        <v/>
      </c>
      <c r="J1314" t="str">
        <f>"Inv# 300398788"</f>
        <v>Inv# 300398788</v>
      </c>
    </row>
    <row r="1315" spans="1:10" x14ac:dyDescent="0.3">
      <c r="A1315" t="str">
        <f>""</f>
        <v/>
      </c>
      <c r="G1315" t="str">
        <f>""</f>
        <v/>
      </c>
      <c r="H1315" t="str">
        <f>""</f>
        <v/>
      </c>
      <c r="J1315" t="str">
        <f>"Inv# 300398784"</f>
        <v>Inv# 300398784</v>
      </c>
    </row>
    <row r="1316" spans="1:10" x14ac:dyDescent="0.3">
      <c r="A1316" t="str">
        <f>""</f>
        <v/>
      </c>
      <c r="G1316" t="str">
        <f>""</f>
        <v/>
      </c>
      <c r="H1316" t="str">
        <f>""</f>
        <v/>
      </c>
      <c r="J1316" t="str">
        <f>"Inv# 100510367"</f>
        <v>Inv# 100510367</v>
      </c>
    </row>
    <row r="1317" spans="1:10" x14ac:dyDescent="0.3">
      <c r="A1317" t="str">
        <f>""</f>
        <v/>
      </c>
      <c r="G1317" t="str">
        <f>""</f>
        <v/>
      </c>
      <c r="H1317" t="str">
        <f>""</f>
        <v/>
      </c>
      <c r="J1317" t="str">
        <f>"Inv# 200416569"</f>
        <v>Inv# 200416569</v>
      </c>
    </row>
    <row r="1318" spans="1:10" x14ac:dyDescent="0.3">
      <c r="A1318" t="str">
        <f>""</f>
        <v/>
      </c>
      <c r="G1318" t="str">
        <f>""</f>
        <v/>
      </c>
      <c r="H1318" t="str">
        <f>""</f>
        <v/>
      </c>
      <c r="J1318" t="str">
        <f>"Inv# 200414726"</f>
        <v>Inv# 200414726</v>
      </c>
    </row>
    <row r="1319" spans="1:10" x14ac:dyDescent="0.3">
      <c r="A1319" t="str">
        <f>"TULL"</f>
        <v>TULL</v>
      </c>
      <c r="B1319" t="s">
        <v>436</v>
      </c>
      <c r="C1319">
        <v>71520</v>
      </c>
      <c r="D1319" s="2">
        <v>875</v>
      </c>
      <c r="E1319" s="1">
        <v>42926</v>
      </c>
      <c r="F1319" t="s">
        <v>11</v>
      </c>
      <c r="G1319" t="str">
        <f>"201706293298"</f>
        <v>201706293298</v>
      </c>
      <c r="H1319" t="str">
        <f>"423-5069"</f>
        <v>423-5069</v>
      </c>
      <c r="I1319" s="2">
        <v>100</v>
      </c>
      <c r="J1319" t="str">
        <f>"423-5069"</f>
        <v>423-5069</v>
      </c>
    </row>
    <row r="1320" spans="1:10" x14ac:dyDescent="0.3">
      <c r="A1320" t="str">
        <f>""</f>
        <v/>
      </c>
      <c r="G1320" t="str">
        <f>"201706293299"</f>
        <v>201706293299</v>
      </c>
      <c r="H1320" t="str">
        <f>"925-340-6879"</f>
        <v>925-340-6879</v>
      </c>
      <c r="I1320" s="2">
        <v>400</v>
      </c>
      <c r="J1320" t="str">
        <f>"925-340-6879"</f>
        <v>925-340-6879</v>
      </c>
    </row>
    <row r="1321" spans="1:10" x14ac:dyDescent="0.3">
      <c r="A1321" t="str">
        <f>""</f>
        <v/>
      </c>
      <c r="G1321" t="str">
        <f>"201707063442"</f>
        <v>201707063442</v>
      </c>
      <c r="H1321" t="str">
        <f>"403227-9/20150272A"</f>
        <v>403227-9/20150272A</v>
      </c>
      <c r="I1321" s="2">
        <v>375</v>
      </c>
      <c r="J1321" t="str">
        <f>"403227-9/20150272A"</f>
        <v>403227-9/20150272A</v>
      </c>
    </row>
    <row r="1322" spans="1:10" x14ac:dyDescent="0.3">
      <c r="A1322" t="str">
        <f>"TULL"</f>
        <v>TULL</v>
      </c>
      <c r="B1322" t="s">
        <v>436</v>
      </c>
      <c r="C1322">
        <v>71846</v>
      </c>
      <c r="D1322" s="2">
        <v>2050</v>
      </c>
      <c r="E1322" s="1">
        <v>42940</v>
      </c>
      <c r="F1322" t="s">
        <v>11</v>
      </c>
      <c r="G1322" t="str">
        <f>"201707113593"</f>
        <v>201707113593</v>
      </c>
      <c r="H1322" t="str">
        <f>"16 189"</f>
        <v>16 189</v>
      </c>
      <c r="I1322" s="2">
        <v>400</v>
      </c>
      <c r="J1322" t="str">
        <f>"16 189"</f>
        <v>16 189</v>
      </c>
    </row>
    <row r="1323" spans="1:10" x14ac:dyDescent="0.3">
      <c r="A1323" t="str">
        <f>""</f>
        <v/>
      </c>
      <c r="G1323" t="str">
        <f>"201707143639"</f>
        <v>201707143639</v>
      </c>
      <c r="H1323" t="str">
        <f>"423-5090/423-5091"</f>
        <v>423-5090/423-5091</v>
      </c>
      <c r="I1323" s="2">
        <v>200</v>
      </c>
      <c r="J1323" t="str">
        <f>"423-5090/423-5091"</f>
        <v>423-5090/423-5091</v>
      </c>
    </row>
    <row r="1324" spans="1:10" x14ac:dyDescent="0.3">
      <c r="A1324" t="str">
        <f>""</f>
        <v/>
      </c>
      <c r="G1324" t="str">
        <f>"201707143640"</f>
        <v>201707143640</v>
      </c>
      <c r="H1324" t="str">
        <f>"16223"</f>
        <v>16223</v>
      </c>
      <c r="I1324" s="2">
        <v>400</v>
      </c>
      <c r="J1324" t="str">
        <f>"16223"</f>
        <v>16223</v>
      </c>
    </row>
    <row r="1325" spans="1:10" x14ac:dyDescent="0.3">
      <c r="A1325" t="str">
        <f>""</f>
        <v/>
      </c>
      <c r="G1325" t="str">
        <f>"201707143641"</f>
        <v>201707143641</v>
      </c>
      <c r="H1325" t="str">
        <f>"16 064"</f>
        <v>16 064</v>
      </c>
      <c r="I1325" s="2">
        <v>400</v>
      </c>
      <c r="J1325" t="str">
        <f>"16 064"</f>
        <v>16 064</v>
      </c>
    </row>
    <row r="1326" spans="1:10" x14ac:dyDescent="0.3">
      <c r="A1326" t="str">
        <f>""</f>
        <v/>
      </c>
      <c r="G1326" t="str">
        <f>"201707183703"</f>
        <v>201707183703</v>
      </c>
      <c r="H1326" t="str">
        <f>"54 970"</f>
        <v>54 970</v>
      </c>
      <c r="I1326" s="2">
        <v>250</v>
      </c>
      <c r="J1326" t="str">
        <f>"54 970"</f>
        <v>54 970</v>
      </c>
    </row>
    <row r="1327" spans="1:10" x14ac:dyDescent="0.3">
      <c r="A1327" t="str">
        <f>""</f>
        <v/>
      </c>
      <c r="G1327" t="str">
        <f>"201707183704"</f>
        <v>201707183704</v>
      </c>
      <c r="H1327" t="str">
        <f>"CH20160919B"</f>
        <v>CH20160919B</v>
      </c>
      <c r="I1327" s="2">
        <v>250</v>
      </c>
      <c r="J1327" t="str">
        <f>"CH20160919B"</f>
        <v>CH20160919B</v>
      </c>
    </row>
    <row r="1328" spans="1:10" x14ac:dyDescent="0.3">
      <c r="A1328" t="str">
        <f>""</f>
        <v/>
      </c>
      <c r="G1328" t="str">
        <f>"201707193758"</f>
        <v>201707193758</v>
      </c>
      <c r="H1328" t="str">
        <f>"17-18479 AND 17-S-01704"</f>
        <v>17-18479 AND 17-S-01704</v>
      </c>
      <c r="I1328" s="2">
        <v>50</v>
      </c>
      <c r="J1328" t="str">
        <f>"17-18479 AND 17-S-01704"</f>
        <v>17-18479 AND 17-S-01704</v>
      </c>
    </row>
    <row r="1329" spans="1:10" x14ac:dyDescent="0.3">
      <c r="A1329" t="str">
        <f>""</f>
        <v/>
      </c>
      <c r="G1329" t="str">
        <f>"201707193759"</f>
        <v>201707193759</v>
      </c>
      <c r="H1329" t="str">
        <f>"17-18478 AND 17-18477"</f>
        <v>17-18478 AND 17-18477</v>
      </c>
      <c r="I1329" s="2">
        <v>100</v>
      </c>
      <c r="J1329" t="str">
        <f>"17-18478 AND 17-18477"</f>
        <v>17-18478 AND 17-18477</v>
      </c>
    </row>
    <row r="1330" spans="1:10" x14ac:dyDescent="0.3">
      <c r="A1330" t="str">
        <f>"001386"</f>
        <v>001386</v>
      </c>
      <c r="B1330" t="s">
        <v>437</v>
      </c>
      <c r="C1330">
        <v>71847</v>
      </c>
      <c r="D1330" s="2">
        <v>51</v>
      </c>
      <c r="E1330" s="1">
        <v>42940</v>
      </c>
      <c r="F1330" t="s">
        <v>84</v>
      </c>
      <c r="G1330" t="str">
        <f>"I17081389"</f>
        <v>I17081389</v>
      </c>
      <c r="H1330" t="str">
        <f>"ACCT#A27484-P/A#C171800101"</f>
        <v>ACCT#A27484-P/A#C171800101</v>
      </c>
      <c r="I1330" s="2">
        <v>51</v>
      </c>
    </row>
    <row r="1331" spans="1:10" x14ac:dyDescent="0.3">
      <c r="A1331" t="str">
        <f>"001386"</f>
        <v>001386</v>
      </c>
      <c r="B1331" t="s">
        <v>437</v>
      </c>
      <c r="C1331">
        <v>71847</v>
      </c>
      <c r="D1331" s="2">
        <v>51</v>
      </c>
      <c r="E1331" s="1">
        <v>42940</v>
      </c>
      <c r="F1331" t="s">
        <v>84</v>
      </c>
      <c r="G1331" t="str">
        <f>"CHECK"</f>
        <v>CHECK</v>
      </c>
      <c r="H1331" t="str">
        <f>""</f>
        <v/>
      </c>
      <c r="I1331" s="2">
        <v>51</v>
      </c>
    </row>
    <row r="1332" spans="1:10" x14ac:dyDescent="0.3">
      <c r="A1332" t="str">
        <f>"000723"</f>
        <v>000723</v>
      </c>
      <c r="B1332" t="s">
        <v>438</v>
      </c>
      <c r="C1332">
        <v>71848</v>
      </c>
      <c r="D1332" s="2">
        <v>250</v>
      </c>
      <c r="E1332" s="1">
        <v>42940</v>
      </c>
      <c r="F1332" t="s">
        <v>11</v>
      </c>
      <c r="G1332" t="str">
        <f>"170817CET"</f>
        <v>170817CET</v>
      </c>
      <c r="H1332" t="str">
        <f>"Inv# 170817CET A. Esquive"</f>
        <v>Inv# 170817CET A. Esquive</v>
      </c>
      <c r="I1332" s="2">
        <v>250</v>
      </c>
      <c r="J1332" t="str">
        <f>"Fee"</f>
        <v>Fee</v>
      </c>
    </row>
    <row r="1333" spans="1:10" x14ac:dyDescent="0.3">
      <c r="A1333" t="str">
        <f>"000723"</f>
        <v>000723</v>
      </c>
      <c r="B1333" t="s">
        <v>438</v>
      </c>
      <c r="C1333">
        <v>71886</v>
      </c>
      <c r="D1333" s="2">
        <v>200</v>
      </c>
      <c r="E1333" s="1">
        <v>42947</v>
      </c>
      <c r="F1333" t="s">
        <v>11</v>
      </c>
      <c r="G1333" t="str">
        <f>"170620BASIC"</f>
        <v>170620BASIC</v>
      </c>
      <c r="H1333" t="str">
        <f>"Registration Fee-A. Eggebrecht"</f>
        <v>Registration Fee-A. Eggebrecht</v>
      </c>
      <c r="I1333" s="2">
        <v>200</v>
      </c>
      <c r="J1333" t="str">
        <f>"Registration Fee-A. Eggebrecht"</f>
        <v>Registration Fee-A. Eggebrecht</v>
      </c>
    </row>
    <row r="1334" spans="1:10" x14ac:dyDescent="0.3">
      <c r="A1334" t="str">
        <f>"T13981"</f>
        <v>T13981</v>
      </c>
      <c r="B1334" t="s">
        <v>439</v>
      </c>
      <c r="C1334">
        <v>71849</v>
      </c>
      <c r="D1334" s="2">
        <v>111</v>
      </c>
      <c r="E1334" s="1">
        <v>42940</v>
      </c>
      <c r="F1334" t="s">
        <v>11</v>
      </c>
      <c r="G1334" t="str">
        <f>"201707183681"</f>
        <v>201707183681</v>
      </c>
      <c r="H1334" t="str">
        <f>"LIC#OS0007365-C HERNANDEZ"</f>
        <v>LIC#OS0007365-C HERNANDEZ</v>
      </c>
      <c r="I1334" s="2">
        <v>111</v>
      </c>
      <c r="J1334" t="str">
        <f>"LIC#OS0007365-C HERNANDEZ"</f>
        <v>LIC#OS0007365-C HERNANDEZ</v>
      </c>
    </row>
    <row r="1335" spans="1:10" x14ac:dyDescent="0.3">
      <c r="A1335" t="str">
        <f>"TWC"</f>
        <v>TWC</v>
      </c>
      <c r="B1335" t="s">
        <v>440</v>
      </c>
      <c r="C1335">
        <v>71850</v>
      </c>
      <c r="D1335" s="2">
        <v>2230</v>
      </c>
      <c r="E1335" s="1">
        <v>42940</v>
      </c>
      <c r="F1335" t="s">
        <v>11</v>
      </c>
      <c r="G1335" t="str">
        <f>"WTR0048013/14/15"</f>
        <v>WTR0048013/14/15</v>
      </c>
      <c r="H1335" t="str">
        <f>"ACCT#0620010"</f>
        <v>ACCT#0620010</v>
      </c>
      <c r="I1335" s="2">
        <v>2230</v>
      </c>
      <c r="J1335" t="str">
        <f>"ACCT#0620010"</f>
        <v>ACCT#0620010</v>
      </c>
    </row>
    <row r="1336" spans="1:10" x14ac:dyDescent="0.3">
      <c r="A1336" t="str">
        <f>"000599"</f>
        <v>000599</v>
      </c>
      <c r="B1336" t="s">
        <v>441</v>
      </c>
      <c r="C1336">
        <v>71851</v>
      </c>
      <c r="D1336" s="2">
        <v>351.65</v>
      </c>
      <c r="E1336" s="1">
        <v>42940</v>
      </c>
      <c r="F1336" t="s">
        <v>11</v>
      </c>
      <c r="G1336" t="str">
        <f>"88382292"</f>
        <v>88382292</v>
      </c>
      <c r="H1336" t="str">
        <f>"CUST#10402592/ANIMAL SHELTER"</f>
        <v>CUST#10402592/ANIMAL SHELTER</v>
      </c>
      <c r="I1336" s="2">
        <v>351.65</v>
      </c>
      <c r="J1336" t="str">
        <f>"CUST#10402592/ANIMAL SHELTER"</f>
        <v>CUST#10402592/ANIMAL SHELTER</v>
      </c>
    </row>
    <row r="1337" spans="1:10" x14ac:dyDescent="0.3">
      <c r="A1337" t="str">
        <f>"T12006"</f>
        <v>T12006</v>
      </c>
      <c r="B1337" t="s">
        <v>442</v>
      </c>
      <c r="C1337">
        <v>71852</v>
      </c>
      <c r="D1337" s="2">
        <v>1202.25</v>
      </c>
      <c r="E1337" s="1">
        <v>42940</v>
      </c>
      <c r="F1337" t="s">
        <v>11</v>
      </c>
      <c r="G1337" t="str">
        <f>"201707113493"</f>
        <v>201707113493</v>
      </c>
      <c r="H1337" t="str">
        <f>"INV#'S 341336/341377"</f>
        <v>INV#'S 341336/341377</v>
      </c>
      <c r="I1337" s="2">
        <v>79.900000000000006</v>
      </c>
      <c r="J1337" t="str">
        <f>"INV#'S 341336/341377"</f>
        <v>INV#'S 341336/341377</v>
      </c>
    </row>
    <row r="1338" spans="1:10" x14ac:dyDescent="0.3">
      <c r="A1338" t="str">
        <f>""</f>
        <v/>
      </c>
      <c r="G1338" t="str">
        <f>"201707113494"</f>
        <v>201707113494</v>
      </c>
      <c r="H1338" t="str">
        <f>"INV# 341771"</f>
        <v>INV# 341771</v>
      </c>
      <c r="I1338" s="2">
        <v>214.49</v>
      </c>
      <c r="J1338" t="str">
        <f>"INV# 341771"</f>
        <v>INV# 341771</v>
      </c>
    </row>
    <row r="1339" spans="1:10" x14ac:dyDescent="0.3">
      <c r="A1339" t="str">
        <f>""</f>
        <v/>
      </c>
      <c r="G1339" t="str">
        <f>"201707113497"</f>
        <v>201707113497</v>
      </c>
      <c r="H1339" t="str">
        <f>"ACCT#0011/PCT#3"</f>
        <v>ACCT#0011/PCT#3</v>
      </c>
      <c r="I1339" s="2">
        <v>447</v>
      </c>
      <c r="J1339" t="str">
        <f>"ACCT#0011/PCT#3"</f>
        <v>ACCT#0011/PCT#3</v>
      </c>
    </row>
    <row r="1340" spans="1:10" x14ac:dyDescent="0.3">
      <c r="A1340" t="str">
        <f>""</f>
        <v/>
      </c>
      <c r="G1340" t="str">
        <f>"201707143646"</f>
        <v>201707143646</v>
      </c>
      <c r="H1340" t="str">
        <f>"INV#'S 341221/341590/341922"</f>
        <v>INV#'S 341221/341590/341922</v>
      </c>
      <c r="I1340" s="2">
        <v>180</v>
      </c>
      <c r="J1340" t="str">
        <f>"INV#'S 341221/341590/341922"</f>
        <v>INV#'S 341221/341590/341922</v>
      </c>
    </row>
    <row r="1341" spans="1:10" x14ac:dyDescent="0.3">
      <c r="A1341" t="str">
        <f>""</f>
        <v/>
      </c>
      <c r="G1341" t="str">
        <f>"341286"</f>
        <v>341286</v>
      </c>
      <c r="H1341" t="str">
        <f>"BARNARD TIRE/LP HABITAT"</f>
        <v>BARNARD TIRE/LP HABITAT</v>
      </c>
      <c r="I1341" s="2">
        <v>155.86000000000001</v>
      </c>
      <c r="J1341" t="str">
        <f>"BARNARD TIRE/LP HABITAT"</f>
        <v>BARNARD TIRE/LP HABITAT</v>
      </c>
    </row>
    <row r="1342" spans="1:10" x14ac:dyDescent="0.3">
      <c r="A1342" t="str">
        <f>""</f>
        <v/>
      </c>
      <c r="G1342" t="str">
        <f>"341365"</f>
        <v>341365</v>
      </c>
      <c r="H1342" t="str">
        <f>"PARTS/LABOR/PCT#1"</f>
        <v>PARTS/LABOR/PCT#1</v>
      </c>
      <c r="I1342" s="2">
        <v>125</v>
      </c>
      <c r="J1342" t="str">
        <f>"PARTS/LABOR/PCT#1"</f>
        <v>PARTS/LABOR/PCT#1</v>
      </c>
    </row>
    <row r="1343" spans="1:10" x14ac:dyDescent="0.3">
      <c r="A1343" t="str">
        <f>"001445"</f>
        <v>001445</v>
      </c>
      <c r="B1343" t="s">
        <v>443</v>
      </c>
      <c r="C1343">
        <v>71853</v>
      </c>
      <c r="D1343" s="2">
        <v>146.4</v>
      </c>
      <c r="E1343" s="1">
        <v>42940</v>
      </c>
      <c r="F1343" t="s">
        <v>11</v>
      </c>
      <c r="G1343" t="str">
        <f>"2003420"</f>
        <v>2003420</v>
      </c>
      <c r="H1343" t="str">
        <f>"REMOTE BIRTH ACCESS-JUNE '17"</f>
        <v>REMOTE BIRTH ACCESS-JUNE '17</v>
      </c>
      <c r="I1343" s="2">
        <v>146.4</v>
      </c>
      <c r="J1343" t="str">
        <f>"REMOTE BIRTH ACCESS-JUNE '17"</f>
        <v>REMOTE BIRTH ACCESS-JUNE '17</v>
      </c>
    </row>
    <row r="1344" spans="1:10" x14ac:dyDescent="0.3">
      <c r="A1344" t="str">
        <f>"VMC"</f>
        <v>VMC</v>
      </c>
      <c r="B1344" t="s">
        <v>444</v>
      </c>
      <c r="C1344">
        <v>71521</v>
      </c>
      <c r="D1344" s="2">
        <v>6884.32</v>
      </c>
      <c r="E1344" s="1">
        <v>42926</v>
      </c>
      <c r="F1344" t="s">
        <v>11</v>
      </c>
      <c r="G1344" t="str">
        <f>"61588396"</f>
        <v>61588396</v>
      </c>
      <c r="H1344" t="str">
        <f>"CUST#90285-209209/ORDER#7671"</f>
        <v>CUST#90285-209209/ORDER#7671</v>
      </c>
      <c r="I1344" s="2">
        <v>6884.32</v>
      </c>
      <c r="J1344" t="str">
        <f>"CUST#90285-209209/ORDER#7671"</f>
        <v>CUST#90285-209209/ORDER#7671</v>
      </c>
    </row>
    <row r="1345" spans="1:10" x14ac:dyDescent="0.3">
      <c r="A1345" t="str">
        <f>"004767"</f>
        <v>004767</v>
      </c>
      <c r="B1345" t="s">
        <v>445</v>
      </c>
      <c r="C1345">
        <v>71854</v>
      </c>
      <c r="D1345" s="2">
        <v>131.5</v>
      </c>
      <c r="E1345" s="1">
        <v>42940</v>
      </c>
      <c r="F1345" t="s">
        <v>11</v>
      </c>
      <c r="G1345" t="str">
        <f>"0617-DR14926"</f>
        <v>0617-DR14926</v>
      </c>
      <c r="H1345" t="str">
        <f>"CLIENT#CXD 14926/JUNE 2017"</f>
        <v>CLIENT#CXD 14926/JUNE 2017</v>
      </c>
      <c r="I1345" s="2">
        <v>131.5</v>
      </c>
      <c r="J1345" t="str">
        <f>"CLIENT#CXD 14926/JUNE 2017"</f>
        <v>CLIENT#CXD 14926/JUNE 2017</v>
      </c>
    </row>
    <row r="1346" spans="1:10" x14ac:dyDescent="0.3">
      <c r="A1346" t="str">
        <f>"003629"</f>
        <v>003629</v>
      </c>
      <c r="B1346" t="s">
        <v>446</v>
      </c>
      <c r="C1346">
        <v>0</v>
      </c>
      <c r="D1346" s="2">
        <v>5250.08</v>
      </c>
      <c r="E1346" s="1">
        <v>42926</v>
      </c>
      <c r="F1346" t="s">
        <v>35</v>
      </c>
      <c r="G1346" t="str">
        <f>"12491"</f>
        <v>12491</v>
      </c>
      <c r="H1346" t="str">
        <f>"COLD MIX/PCT#1"</f>
        <v>COLD MIX/PCT#1</v>
      </c>
      <c r="I1346" s="2">
        <v>5250.08</v>
      </c>
      <c r="J1346" t="str">
        <f>"COLD MIX/PCT#1"</f>
        <v>COLD MIX/PCT#1</v>
      </c>
    </row>
    <row r="1347" spans="1:10" x14ac:dyDescent="0.3">
      <c r="A1347" t="str">
        <f>"003629"</f>
        <v>003629</v>
      </c>
      <c r="B1347" t="s">
        <v>446</v>
      </c>
      <c r="C1347">
        <v>0</v>
      </c>
      <c r="D1347" s="2">
        <v>2652.7</v>
      </c>
      <c r="E1347" s="1">
        <v>42940</v>
      </c>
      <c r="F1347" t="s">
        <v>35</v>
      </c>
      <c r="G1347" t="str">
        <f>"12578"</f>
        <v>12578</v>
      </c>
      <c r="H1347" t="str">
        <f>"COLD MIX/FREIGHT/PCT#4"</f>
        <v>COLD MIX/FREIGHT/PCT#4</v>
      </c>
      <c r="I1347" s="2">
        <v>2652.7</v>
      </c>
      <c r="J1347" t="str">
        <f>"COLD MIX/FREIGHT/PCT#4"</f>
        <v>COLD MIX/FREIGHT/PCT#4</v>
      </c>
    </row>
    <row r="1348" spans="1:10" x14ac:dyDescent="0.3">
      <c r="A1348" t="str">
        <f>"WALMAR"</f>
        <v>WALMAR</v>
      </c>
      <c r="B1348" t="s">
        <v>447</v>
      </c>
      <c r="C1348">
        <v>71522</v>
      </c>
      <c r="D1348" s="2">
        <v>661.35</v>
      </c>
      <c r="E1348" s="1">
        <v>42926</v>
      </c>
      <c r="F1348" t="s">
        <v>11</v>
      </c>
      <c r="G1348" t="str">
        <f>"ACCT#2476"</f>
        <v>ACCT#2476</v>
      </c>
      <c r="H1348" t="str">
        <f>"Acct# 6032202005312476"</f>
        <v>Acct# 6032202005312476</v>
      </c>
      <c r="I1348" s="2">
        <v>661.35</v>
      </c>
      <c r="J1348" t="str">
        <f>"Inv# 007055"</f>
        <v>Inv# 007055</v>
      </c>
    </row>
    <row r="1349" spans="1:10" x14ac:dyDescent="0.3">
      <c r="A1349" t="str">
        <f>""</f>
        <v/>
      </c>
      <c r="G1349" t="str">
        <f>""</f>
        <v/>
      </c>
      <c r="H1349" t="str">
        <f>""</f>
        <v/>
      </c>
      <c r="J1349" t="str">
        <f>"Inv# 006041"</f>
        <v>Inv# 006041</v>
      </c>
    </row>
    <row r="1350" spans="1:10" x14ac:dyDescent="0.3">
      <c r="A1350" t="str">
        <f>""</f>
        <v/>
      </c>
      <c r="G1350" t="str">
        <f>""</f>
        <v/>
      </c>
      <c r="H1350" t="str">
        <f>""</f>
        <v/>
      </c>
      <c r="J1350" t="str">
        <f>"Inv# 001573"</f>
        <v>Inv# 001573</v>
      </c>
    </row>
    <row r="1351" spans="1:10" x14ac:dyDescent="0.3">
      <c r="A1351" t="str">
        <f>""</f>
        <v/>
      </c>
      <c r="G1351" t="str">
        <f>""</f>
        <v/>
      </c>
      <c r="H1351" t="str">
        <f>""</f>
        <v/>
      </c>
      <c r="J1351" t="str">
        <f>"Inv# 001455"</f>
        <v>Inv# 001455</v>
      </c>
    </row>
    <row r="1352" spans="1:10" x14ac:dyDescent="0.3">
      <c r="A1352" t="str">
        <f>""</f>
        <v/>
      </c>
      <c r="G1352" t="str">
        <f>""</f>
        <v/>
      </c>
      <c r="H1352" t="str">
        <f>""</f>
        <v/>
      </c>
      <c r="J1352" t="str">
        <f>"Inv# 006899"</f>
        <v>Inv# 006899</v>
      </c>
    </row>
    <row r="1353" spans="1:10" x14ac:dyDescent="0.3">
      <c r="A1353" t="str">
        <f>""</f>
        <v/>
      </c>
      <c r="G1353" t="str">
        <f>""</f>
        <v/>
      </c>
      <c r="H1353" t="str">
        <f>""</f>
        <v/>
      </c>
      <c r="J1353" t="str">
        <f>"Inv# 002389"</f>
        <v>Inv# 002389</v>
      </c>
    </row>
    <row r="1354" spans="1:10" x14ac:dyDescent="0.3">
      <c r="A1354" t="str">
        <f>""</f>
        <v/>
      </c>
      <c r="G1354" t="str">
        <f>""</f>
        <v/>
      </c>
      <c r="H1354" t="str">
        <f>""</f>
        <v/>
      </c>
      <c r="J1354" t="str">
        <f>"Inv# 003854"</f>
        <v>Inv# 003854</v>
      </c>
    </row>
    <row r="1355" spans="1:10" x14ac:dyDescent="0.3">
      <c r="A1355" t="str">
        <f>""</f>
        <v/>
      </c>
      <c r="G1355" t="str">
        <f>""</f>
        <v/>
      </c>
      <c r="H1355" t="str">
        <f>""</f>
        <v/>
      </c>
      <c r="J1355" t="str">
        <f>"Inv# 004029"</f>
        <v>Inv# 004029</v>
      </c>
    </row>
    <row r="1356" spans="1:10" x14ac:dyDescent="0.3">
      <c r="A1356" t="str">
        <f>""</f>
        <v/>
      </c>
      <c r="G1356" t="str">
        <f>""</f>
        <v/>
      </c>
      <c r="H1356" t="str">
        <f>""</f>
        <v/>
      </c>
      <c r="J1356" t="str">
        <f>"Inv# 003053"</f>
        <v>Inv# 003053</v>
      </c>
    </row>
    <row r="1357" spans="1:10" x14ac:dyDescent="0.3">
      <c r="A1357" t="str">
        <f>"T5926"</f>
        <v>T5926</v>
      </c>
      <c r="B1357" t="s">
        <v>448</v>
      </c>
      <c r="C1357">
        <v>71855</v>
      </c>
      <c r="D1357" s="2">
        <v>4811.8</v>
      </c>
      <c r="E1357" s="1">
        <v>42940</v>
      </c>
      <c r="F1357" t="s">
        <v>11</v>
      </c>
      <c r="G1357" t="str">
        <f>"ZSCHOU0005189"</f>
        <v>ZSCHOU0005189</v>
      </c>
      <c r="H1357" t="str">
        <f>"Belt Drive Pressure Washe"</f>
        <v>Belt Drive Pressure Washe</v>
      </c>
      <c r="I1357" s="2">
        <v>4811.8</v>
      </c>
      <c r="J1357" t="str">
        <f>"Equipment"</f>
        <v>Equipment</v>
      </c>
    </row>
    <row r="1358" spans="1:10" x14ac:dyDescent="0.3">
      <c r="A1358" t="str">
        <f>""</f>
        <v/>
      </c>
      <c r="G1358" t="str">
        <f>""</f>
        <v/>
      </c>
      <c r="H1358" t="str">
        <f>""</f>
        <v/>
      </c>
      <c r="J1358" t="str">
        <f>"Customer Discount"</f>
        <v>Customer Discount</v>
      </c>
    </row>
    <row r="1359" spans="1:10" x14ac:dyDescent="0.3">
      <c r="A1359" t="str">
        <f>""</f>
        <v/>
      </c>
      <c r="G1359" t="str">
        <f>""</f>
        <v/>
      </c>
      <c r="H1359" t="str">
        <f>""</f>
        <v/>
      </c>
      <c r="J1359" t="str">
        <f>"Install Labor"</f>
        <v>Install Labor</v>
      </c>
    </row>
    <row r="1360" spans="1:10" x14ac:dyDescent="0.3">
      <c r="A1360" t="str">
        <f>"004877"</f>
        <v>004877</v>
      </c>
      <c r="B1360" t="s">
        <v>449</v>
      </c>
      <c r="C1360">
        <v>71523</v>
      </c>
      <c r="D1360" s="2">
        <v>4455</v>
      </c>
      <c r="E1360" s="1">
        <v>42926</v>
      </c>
      <c r="F1360" t="s">
        <v>11</v>
      </c>
      <c r="G1360" t="str">
        <f>"1701746555"</f>
        <v>1701746555</v>
      </c>
      <c r="H1360" t="str">
        <f>"ACCT#5150-005129483/DEVELOPMEN"</f>
        <v>ACCT#5150-005129483/DEVELOPMEN</v>
      </c>
      <c r="I1360" s="2">
        <v>4455</v>
      </c>
      <c r="J1360" t="str">
        <f>"ACCT#5150-005129483/DEVELOPMEN"</f>
        <v>ACCT#5150-005129483/DEVELOPMEN</v>
      </c>
    </row>
    <row r="1361" spans="1:10" x14ac:dyDescent="0.3">
      <c r="A1361" t="str">
        <f>"004877"</f>
        <v>004877</v>
      </c>
      <c r="B1361" t="s">
        <v>449</v>
      </c>
      <c r="C1361">
        <v>71549</v>
      </c>
      <c r="D1361" s="2">
        <v>7494.51</v>
      </c>
      <c r="E1361" s="1">
        <v>42935</v>
      </c>
      <c r="F1361" t="s">
        <v>11</v>
      </c>
      <c r="G1361" t="str">
        <f>"1701747442"</f>
        <v>1701747442</v>
      </c>
      <c r="H1361" t="str">
        <f>"ACCT #5150-005129483 / 063017"</f>
        <v>ACCT #5150-005129483 / 063017</v>
      </c>
      <c r="I1361" s="2">
        <v>6374</v>
      </c>
      <c r="J1361" t="str">
        <f>"ACCT #5150-005129483 / 063017"</f>
        <v>ACCT #5150-005129483 / 063017</v>
      </c>
    </row>
    <row r="1362" spans="1:10" x14ac:dyDescent="0.3">
      <c r="A1362" t="str">
        <f>""</f>
        <v/>
      </c>
      <c r="G1362" t="str">
        <f>"1701748412"</f>
        <v>1701748412</v>
      </c>
      <c r="H1362" t="str">
        <f>"ACCT #5151-005117630 / 063017"</f>
        <v>ACCT #5151-005117630 / 063017</v>
      </c>
      <c r="I1362" s="2">
        <v>226.82</v>
      </c>
      <c r="J1362" t="str">
        <f>"ACCT #5151-005117630 / 063017"</f>
        <v>ACCT #5151-005117630 / 063017</v>
      </c>
    </row>
    <row r="1363" spans="1:10" x14ac:dyDescent="0.3">
      <c r="A1363" t="str">
        <f>""</f>
        <v/>
      </c>
      <c r="G1363" t="str">
        <f>"1701748413"</f>
        <v>1701748413</v>
      </c>
      <c r="H1363" t="str">
        <f>"ACCT # 5151-005117766 / 063017"</f>
        <v>ACCT # 5151-005117766 / 063017</v>
      </c>
      <c r="I1363" s="2">
        <v>104.64</v>
      </c>
      <c r="J1363" t="str">
        <f>"ACCT # 5151-005117766 / 063017"</f>
        <v>ACCT # 5151-005117766 / 063017</v>
      </c>
    </row>
    <row r="1364" spans="1:10" x14ac:dyDescent="0.3">
      <c r="A1364" t="str">
        <f>""</f>
        <v/>
      </c>
      <c r="G1364" t="str">
        <f>"1701748414"</f>
        <v>1701748414</v>
      </c>
      <c r="H1364" t="str">
        <f>"ACCT #5151-005-117838 / 063017"</f>
        <v>ACCT #5151-005-117838 / 063017</v>
      </c>
      <c r="I1364" s="2">
        <v>96.85</v>
      </c>
      <c r="J1364" t="str">
        <f>"ACCT # 5151-005-117838 / DPS"</f>
        <v>ACCT # 5151-005-117838 / DPS</v>
      </c>
    </row>
    <row r="1365" spans="1:10" x14ac:dyDescent="0.3">
      <c r="A1365" t="str">
        <f>""</f>
        <v/>
      </c>
      <c r="G1365" t="str">
        <f>"1701748416"</f>
        <v>1701748416</v>
      </c>
      <c r="H1365" t="str">
        <f>"ACCT #5151-005117882 / 063017"</f>
        <v>ACCT #5151-005117882 / 063017</v>
      </c>
      <c r="I1365" s="2">
        <v>130.78</v>
      </c>
      <c r="J1365" t="str">
        <f>"ACCT #5151-005117882 / 063017"</f>
        <v>ACCT #5151-005117882 / 063017</v>
      </c>
    </row>
    <row r="1366" spans="1:10" x14ac:dyDescent="0.3">
      <c r="A1366" t="str">
        <f>""</f>
        <v/>
      </c>
      <c r="G1366" t="str">
        <f>"1701748419"</f>
        <v>1701748419</v>
      </c>
      <c r="H1366" t="str">
        <f>"ACCT #5151-005118183 / 063017"</f>
        <v>ACCT #5151-005118183 / 063017</v>
      </c>
      <c r="I1366" s="2">
        <v>561.41999999999996</v>
      </c>
      <c r="J1366" t="str">
        <f>"ACCT #5151-005118183 / 063017"</f>
        <v>ACCT #5151-005118183 / 063017</v>
      </c>
    </row>
    <row r="1367" spans="1:10" x14ac:dyDescent="0.3">
      <c r="A1367" t="str">
        <f>"004874"</f>
        <v>004874</v>
      </c>
      <c r="B1367" t="s">
        <v>450</v>
      </c>
      <c r="C1367">
        <v>71856</v>
      </c>
      <c r="D1367" s="2">
        <v>360</v>
      </c>
      <c r="E1367" s="1">
        <v>42940</v>
      </c>
      <c r="F1367" t="s">
        <v>11</v>
      </c>
      <c r="G1367" t="str">
        <f>"1928"</f>
        <v>1928</v>
      </c>
      <c r="H1367" t="str">
        <f>"LADIES POLOS-QTY 5"</f>
        <v>LADIES POLOS-QTY 5</v>
      </c>
      <c r="I1367" s="2">
        <v>120</v>
      </c>
      <c r="J1367" t="str">
        <f>"LADIES POLOS-QTY 5"</f>
        <v>LADIES POLOS-QTY 5</v>
      </c>
    </row>
    <row r="1368" spans="1:10" x14ac:dyDescent="0.3">
      <c r="A1368" t="str">
        <f>""</f>
        <v/>
      </c>
      <c r="G1368" t="str">
        <f>"1929"</f>
        <v>1929</v>
      </c>
      <c r="H1368" t="str">
        <f>"SHIRTS / P3"</f>
        <v>SHIRTS / P3</v>
      </c>
      <c r="I1368" s="2">
        <v>120</v>
      </c>
      <c r="J1368" t="str">
        <f>"SHIRTS / P3"</f>
        <v>SHIRTS / P3</v>
      </c>
    </row>
    <row r="1369" spans="1:10" x14ac:dyDescent="0.3">
      <c r="A1369" t="str">
        <f>""</f>
        <v/>
      </c>
      <c r="G1369" t="str">
        <f>"1930"</f>
        <v>1930</v>
      </c>
      <c r="H1369" t="str">
        <f>"LADIES POLO-QTY 5"</f>
        <v>LADIES POLO-QTY 5</v>
      </c>
      <c r="I1369" s="2">
        <v>120</v>
      </c>
      <c r="J1369" t="str">
        <f>"LADIES POLO-QTY 5"</f>
        <v>LADIES POLO-QTY 5</v>
      </c>
    </row>
    <row r="1370" spans="1:10" x14ac:dyDescent="0.3">
      <c r="A1370" t="str">
        <f>"003479"</f>
        <v>003479</v>
      </c>
      <c r="B1370" t="s">
        <v>451</v>
      </c>
      <c r="C1370">
        <v>71857</v>
      </c>
      <c r="D1370" s="2">
        <v>698.18</v>
      </c>
      <c r="E1370" s="1">
        <v>42940</v>
      </c>
      <c r="F1370" t="s">
        <v>11</v>
      </c>
      <c r="G1370" t="str">
        <f>"221550"</f>
        <v>221550</v>
      </c>
      <c r="H1370" t="str">
        <f>"BACKHOE RENTAL/PCT#2"</f>
        <v>BACKHOE RENTAL/PCT#2</v>
      </c>
      <c r="I1370" s="2">
        <v>698.18</v>
      </c>
      <c r="J1370" t="str">
        <f>"BACKHOE RENTAL/PCT#2"</f>
        <v>BACKHOE RENTAL/PCT#2</v>
      </c>
    </row>
    <row r="1371" spans="1:10" x14ac:dyDescent="0.3">
      <c r="A1371" t="str">
        <f>"LIN"</f>
        <v>LIN</v>
      </c>
      <c r="B1371" t="s">
        <v>452</v>
      </c>
      <c r="C1371">
        <v>0</v>
      </c>
      <c r="D1371" s="2">
        <v>12500</v>
      </c>
      <c r="E1371" s="1">
        <v>42940</v>
      </c>
      <c r="F1371" t="s">
        <v>35</v>
      </c>
      <c r="G1371" t="str">
        <f>"201707113484"</f>
        <v>201707113484</v>
      </c>
      <c r="H1371" t="str">
        <f>"MEDICAL CONTRACT"</f>
        <v>MEDICAL CONTRACT</v>
      </c>
      <c r="I1371" s="2">
        <v>12500</v>
      </c>
      <c r="J1371" t="str">
        <f>"MEDICAL CONTRACT"</f>
        <v>MEDICAL CONTRACT</v>
      </c>
    </row>
    <row r="1372" spans="1:10" x14ac:dyDescent="0.3">
      <c r="A1372" t="str">
        <f>"005126"</f>
        <v>005126</v>
      </c>
      <c r="B1372" t="s">
        <v>453</v>
      </c>
      <c r="C1372">
        <v>71524</v>
      </c>
      <c r="D1372" s="2">
        <v>37.5</v>
      </c>
      <c r="E1372" s="1">
        <v>42926</v>
      </c>
      <c r="F1372" t="s">
        <v>11</v>
      </c>
      <c r="G1372" t="str">
        <f>"201706283278"</f>
        <v>201706283278</v>
      </c>
      <c r="H1372" t="str">
        <f>"REFUND DUE TO OVERCHARGE"</f>
        <v>REFUND DUE TO OVERCHARGE</v>
      </c>
      <c r="I1372" s="2">
        <v>37.5</v>
      </c>
      <c r="J1372" t="str">
        <f>"REFUND DUE TO OVERCHARGE"</f>
        <v>REFUND DUE TO OVERCHARGE</v>
      </c>
    </row>
    <row r="1373" spans="1:10" x14ac:dyDescent="0.3">
      <c r="A1373" t="str">
        <f>"WPC"</f>
        <v>WPC</v>
      </c>
      <c r="B1373" t="s">
        <v>454</v>
      </c>
      <c r="C1373">
        <v>71858</v>
      </c>
      <c r="D1373" s="2">
        <v>396</v>
      </c>
      <c r="E1373" s="1">
        <v>42940</v>
      </c>
      <c r="F1373" t="s">
        <v>11</v>
      </c>
      <c r="G1373" t="str">
        <f>"836373814"</f>
        <v>836373814</v>
      </c>
      <c r="H1373" t="str">
        <f>"ACCT#1000648597/LAW LIBRARY"</f>
        <v>ACCT#1000648597/LAW LIBRARY</v>
      </c>
      <c r="I1373" s="2">
        <v>396</v>
      </c>
      <c r="J1373" t="str">
        <f>"ACCT#1000648597/LAW LIBRARY"</f>
        <v>ACCT#1000648597/LAW LIBRARY</v>
      </c>
    </row>
    <row r="1374" spans="1:10" x14ac:dyDescent="0.3">
      <c r="A1374" t="str">
        <f>"004074"</f>
        <v>004074</v>
      </c>
      <c r="B1374" t="s">
        <v>455</v>
      </c>
      <c r="C1374">
        <v>71859</v>
      </c>
      <c r="D1374" s="2">
        <v>8376.6200000000008</v>
      </c>
      <c r="E1374" s="1">
        <v>42940</v>
      </c>
      <c r="F1374" t="s">
        <v>11</v>
      </c>
      <c r="G1374" t="str">
        <f>"18592"</f>
        <v>18592</v>
      </c>
      <c r="H1374" t="str">
        <f>"MEDICAL PRESCRIPTIONS"</f>
        <v>MEDICAL PRESCRIPTIONS</v>
      </c>
      <c r="I1374" s="2">
        <v>8376.6200000000008</v>
      </c>
      <c r="J1374" t="str">
        <f>"PRESCRIPTIONS INV185"</f>
        <v>PRESCRIPTIONS INV185</v>
      </c>
    </row>
    <row r="1375" spans="1:10" x14ac:dyDescent="0.3">
      <c r="A1375" t="str">
        <f>"005156"</f>
        <v>005156</v>
      </c>
      <c r="B1375" t="s">
        <v>456</v>
      </c>
      <c r="C1375">
        <v>71860</v>
      </c>
      <c r="D1375" s="2">
        <v>50</v>
      </c>
      <c r="E1375" s="1">
        <v>42940</v>
      </c>
      <c r="F1375" t="s">
        <v>11</v>
      </c>
      <c r="G1375" t="str">
        <f>"R70778"</f>
        <v>R70778</v>
      </c>
      <c r="H1375" t="str">
        <f>"INV R70778"</f>
        <v>INV R70778</v>
      </c>
      <c r="I1375" s="2">
        <v>50</v>
      </c>
      <c r="J1375" t="str">
        <f>"INV R70778"</f>
        <v>INV R70778</v>
      </c>
    </row>
    <row r="1376" spans="1:10" x14ac:dyDescent="0.3">
      <c r="A1376" t="str">
        <f>"002552"</f>
        <v>002552</v>
      </c>
      <c r="B1376" t="s">
        <v>457</v>
      </c>
      <c r="C1376">
        <v>71525</v>
      </c>
      <c r="D1376" s="2">
        <v>140</v>
      </c>
      <c r="E1376" s="1">
        <v>42926</v>
      </c>
      <c r="F1376" t="s">
        <v>11</v>
      </c>
      <c r="G1376" t="str">
        <f>"12667"</f>
        <v>12667</v>
      </c>
      <c r="H1376" t="str">
        <f>"SERVICE-4/21/2017"</f>
        <v>SERVICE-4/21/2017</v>
      </c>
      <c r="I1376" s="2">
        <v>140</v>
      </c>
      <c r="J1376" t="str">
        <f>"SERVICE-4/21/2017"</f>
        <v>SERVICE-4/21/2017</v>
      </c>
    </row>
    <row r="1377" spans="1:10" x14ac:dyDescent="0.3">
      <c r="A1377" t="str">
        <f>"004240"</f>
        <v>004240</v>
      </c>
      <c r="B1377" t="s">
        <v>458</v>
      </c>
      <c r="C1377">
        <v>71861</v>
      </c>
      <c r="D1377" s="2">
        <v>25700</v>
      </c>
      <c r="E1377" s="1">
        <v>42940</v>
      </c>
      <c r="F1377" t="s">
        <v>11</v>
      </c>
      <c r="G1377" t="str">
        <f>"1214"</f>
        <v>1214</v>
      </c>
      <c r="H1377" t="str">
        <f>"WOODLAND CT EXPENSES/PCT#2"</f>
        <v>WOODLAND CT EXPENSES/PCT#2</v>
      </c>
      <c r="I1377" s="2">
        <v>5200</v>
      </c>
      <c r="J1377" t="str">
        <f>"WOODLAND CT EXPENSES/PCT#2"</f>
        <v>WOODLAND CT EXPENSES/PCT#2</v>
      </c>
    </row>
    <row r="1378" spans="1:10" x14ac:dyDescent="0.3">
      <c r="A1378" t="str">
        <f>""</f>
        <v/>
      </c>
      <c r="G1378" t="str">
        <f>"1215"</f>
        <v>1215</v>
      </c>
      <c r="H1378" t="str">
        <f>"RIVERSIDE/MCALLISTER EXPS-PCT2"</f>
        <v>RIVERSIDE/MCALLISTER EXPS-PCT2</v>
      </c>
      <c r="I1378" s="2">
        <v>2050</v>
      </c>
      <c r="J1378" t="str">
        <f>"RIVERSIDE/MCALLISTER EXPS-PCT2"</f>
        <v>RIVERSIDE/MCALLISTER EXPS-PCT2</v>
      </c>
    </row>
    <row r="1379" spans="1:10" x14ac:dyDescent="0.3">
      <c r="A1379" t="str">
        <f>""</f>
        <v/>
      </c>
      <c r="G1379" t="str">
        <f>"1216"</f>
        <v>1216</v>
      </c>
      <c r="H1379" t="str">
        <f>"456 S.POTATO RD EXPENSES-PCT#2"</f>
        <v>456 S.POTATO RD EXPENSES-PCT#2</v>
      </c>
      <c r="I1379" s="2">
        <v>4190</v>
      </c>
      <c r="J1379" t="str">
        <f>"S.POTATO RD EXPENSES-PCT#2"</f>
        <v>S.POTATO RD EXPENSES-PCT#2</v>
      </c>
    </row>
    <row r="1380" spans="1:10" x14ac:dyDescent="0.3">
      <c r="A1380" t="str">
        <f>""</f>
        <v/>
      </c>
      <c r="G1380" t="str">
        <f>"1217"</f>
        <v>1217</v>
      </c>
      <c r="H1380" t="str">
        <f>"525 S.POTATO RD EXPENSES-PCT#2"</f>
        <v>525 S.POTATO RD EXPENSES-PCT#2</v>
      </c>
      <c r="I1380" s="2">
        <v>2335</v>
      </c>
      <c r="J1380" t="str">
        <f>"525 S.POTATO RD EXPS-PCT#2"</f>
        <v>525 S.POTATO RD EXPS-PCT#2</v>
      </c>
    </row>
    <row r="1381" spans="1:10" x14ac:dyDescent="0.3">
      <c r="A1381" t="str">
        <f>""</f>
        <v/>
      </c>
      <c r="G1381" t="str">
        <f>"1218"</f>
        <v>1218</v>
      </c>
      <c r="H1381" t="str">
        <f>"400 ANTIOCH RD EXPENSES-PCT#2"</f>
        <v>400 ANTIOCH RD EXPENSES-PCT#2</v>
      </c>
      <c r="I1381" s="2">
        <v>655</v>
      </c>
      <c r="J1381" t="str">
        <f>"ANTIOCH RD EXPENSES-PCT#2"</f>
        <v>ANTIOCH RD EXPENSES-PCT#2</v>
      </c>
    </row>
    <row r="1382" spans="1:10" x14ac:dyDescent="0.3">
      <c r="A1382" t="str">
        <f>""</f>
        <v/>
      </c>
      <c r="G1382" t="str">
        <f>"1219"</f>
        <v>1219</v>
      </c>
      <c r="H1382" t="str">
        <f>"ANTIOCH RD EXPENSES-PCT#2"</f>
        <v>ANTIOCH RD EXPENSES-PCT#2</v>
      </c>
      <c r="I1382" s="2">
        <v>1300</v>
      </c>
      <c r="J1382" t="str">
        <f>"ANTIOCH RD EXPENSES-PCT#2"</f>
        <v>ANTIOCH RD EXPENSES-PCT#2</v>
      </c>
    </row>
    <row r="1383" spans="1:10" x14ac:dyDescent="0.3">
      <c r="A1383" t="str">
        <f>""</f>
        <v/>
      </c>
      <c r="G1383" t="str">
        <f>"1220"</f>
        <v>1220</v>
      </c>
      <c r="H1383" t="str">
        <f>"PONY EXPRESS LN EXPENSES-PCT#2"</f>
        <v>PONY EXPRESS LN EXPENSES-PCT#2</v>
      </c>
      <c r="I1383" s="2">
        <v>9970</v>
      </c>
      <c r="J1383" t="str">
        <f>"PONY EXPRESS LN EXPENSES-PCT#2"</f>
        <v>PONY EXPRESS LN EXPENSES-PCT#2</v>
      </c>
    </row>
    <row r="1384" spans="1:10" x14ac:dyDescent="0.3">
      <c r="A1384" t="str">
        <f>"XEROX"</f>
        <v>XEROX</v>
      </c>
      <c r="B1384" t="s">
        <v>459</v>
      </c>
      <c r="C1384">
        <v>71862</v>
      </c>
      <c r="D1384" s="2">
        <v>170.91</v>
      </c>
      <c r="E1384" s="1">
        <v>42940</v>
      </c>
      <c r="F1384" t="s">
        <v>11</v>
      </c>
      <c r="G1384" t="str">
        <f>"089723875"</f>
        <v>089723875</v>
      </c>
      <c r="H1384" t="str">
        <f>"CUST#662445931/OFFSET TRAY"</f>
        <v>CUST#662445931/OFFSET TRAY</v>
      </c>
      <c r="I1384" s="2">
        <v>106.45</v>
      </c>
      <c r="J1384" t="str">
        <f>"CUST#662445931/OFFSET TRAY"</f>
        <v>CUST#662445931/OFFSET TRAY</v>
      </c>
    </row>
    <row r="1385" spans="1:10" x14ac:dyDescent="0.3">
      <c r="A1385" t="str">
        <f>""</f>
        <v/>
      </c>
      <c r="G1385" t="str">
        <f>"089723876"</f>
        <v>089723876</v>
      </c>
      <c r="H1385" t="str">
        <f>"CUST#662445931/CAB STAND/KIT"</f>
        <v>CUST#662445931/CAB STAND/KIT</v>
      </c>
      <c r="I1385" s="2">
        <v>32.229999999999997</v>
      </c>
      <c r="J1385" t="str">
        <f>"CUST#662445931/CAB STAND/KIT"</f>
        <v>CUST#662445931/CAB STAND/KIT</v>
      </c>
    </row>
    <row r="1386" spans="1:10" x14ac:dyDescent="0.3">
      <c r="A1386" t="str">
        <f>""</f>
        <v/>
      </c>
      <c r="G1386" t="str">
        <f>"089723886"</f>
        <v>089723886</v>
      </c>
      <c r="H1386" t="str">
        <f>"CUST#723230843/CABINET ST/KIT"</f>
        <v>CUST#723230843/CABINET ST/KIT</v>
      </c>
      <c r="I1386" s="2">
        <v>32.229999999999997</v>
      </c>
      <c r="J1386" t="str">
        <f>"CUST#723230843/CABINET ST/KIT"</f>
        <v>CUST#723230843/CABINET ST/KIT</v>
      </c>
    </row>
    <row r="1387" spans="1:10" x14ac:dyDescent="0.3">
      <c r="A1387" t="str">
        <f>"005129"</f>
        <v>005129</v>
      </c>
      <c r="B1387" t="s">
        <v>460</v>
      </c>
      <c r="C1387">
        <v>71863</v>
      </c>
      <c r="D1387" s="2">
        <v>2744</v>
      </c>
      <c r="E1387" s="1">
        <v>42940</v>
      </c>
      <c r="F1387" t="s">
        <v>11</v>
      </c>
      <c r="G1387" t="str">
        <f>"IN00015377"</f>
        <v>IN00015377</v>
      </c>
      <c r="H1387" t="str">
        <f>"XMF REGULAR PHONE SPT"</f>
        <v>XMF REGULAR PHONE SPT</v>
      </c>
      <c r="I1387" s="2">
        <v>2744</v>
      </c>
      <c r="J1387" t="str">
        <f>"XMF REGULAR PHONE SPT"</f>
        <v>XMF REGULAR PHONE SPT</v>
      </c>
    </row>
    <row r="1388" spans="1:10" x14ac:dyDescent="0.3">
      <c r="A1388" t="str">
        <f>"002955"</f>
        <v>002955</v>
      </c>
      <c r="B1388" t="s">
        <v>461</v>
      </c>
      <c r="C1388">
        <v>71864</v>
      </c>
      <c r="D1388" s="2">
        <v>620.41999999999996</v>
      </c>
      <c r="E1388" s="1">
        <v>42940</v>
      </c>
      <c r="F1388" t="s">
        <v>11</v>
      </c>
      <c r="G1388" t="str">
        <f>"S392809"</f>
        <v>S392809</v>
      </c>
      <c r="H1388" t="str">
        <f>"INV"</f>
        <v>INV</v>
      </c>
      <c r="I1388" s="2">
        <v>620.41999999999996</v>
      </c>
      <c r="J1388" t="str">
        <f>"AA ALKALINE (98PK)"</f>
        <v>AA ALKALINE (98PK)</v>
      </c>
    </row>
    <row r="1389" spans="1:10" x14ac:dyDescent="0.3">
      <c r="A1389" t="str">
        <f>""</f>
        <v/>
      </c>
      <c r="G1389" t="str">
        <f>""</f>
        <v/>
      </c>
      <c r="H1389" t="str">
        <f>""</f>
        <v/>
      </c>
      <c r="J1389" t="str">
        <f>"AA LITHIUM (8PK)"</f>
        <v>AA LITHIUM (8PK)</v>
      </c>
    </row>
    <row r="1390" spans="1:10" x14ac:dyDescent="0.3">
      <c r="A1390" t="str">
        <f>""</f>
        <v/>
      </c>
      <c r="G1390" t="str">
        <f>""</f>
        <v/>
      </c>
      <c r="H1390" t="str">
        <f>""</f>
        <v/>
      </c>
      <c r="J1390" t="str">
        <f>"3VOLT (36PK)"</f>
        <v>3VOLT (36PK)</v>
      </c>
    </row>
    <row r="1391" spans="1:10" x14ac:dyDescent="0.3">
      <c r="A1391" t="str">
        <f>""</f>
        <v/>
      </c>
      <c r="G1391" t="str">
        <f>""</f>
        <v/>
      </c>
      <c r="H1391" t="str">
        <f>""</f>
        <v/>
      </c>
      <c r="J1391" t="str">
        <f>"AAA ALKALINE (100PK)"</f>
        <v>AAA ALKALINE (100PK)</v>
      </c>
    </row>
    <row r="1392" spans="1:10" x14ac:dyDescent="0.3">
      <c r="A1392" t="str">
        <f>""</f>
        <v/>
      </c>
      <c r="G1392" t="str">
        <f>""</f>
        <v/>
      </c>
      <c r="H1392" t="str">
        <f>""</f>
        <v/>
      </c>
      <c r="J1392" t="str">
        <f>"SHIPPING"</f>
        <v>SHIPPING</v>
      </c>
    </row>
    <row r="1393" spans="1:10" x14ac:dyDescent="0.3">
      <c r="A1393" t="str">
        <f>"T4634"</f>
        <v>T4634</v>
      </c>
      <c r="B1393" t="s">
        <v>462</v>
      </c>
      <c r="C1393">
        <v>71865</v>
      </c>
      <c r="D1393" s="2">
        <v>588.27</v>
      </c>
      <c r="E1393" s="1">
        <v>42940</v>
      </c>
      <c r="F1393" t="s">
        <v>11</v>
      </c>
      <c r="G1393" t="str">
        <f>"9002907663"</f>
        <v>9002907663</v>
      </c>
      <c r="H1393" t="str">
        <f>"CUST#11167266/PCT#4"</f>
        <v>CUST#11167266/PCT#4</v>
      </c>
      <c r="I1393" s="2">
        <v>297.14</v>
      </c>
      <c r="J1393" t="str">
        <f>"CUST#11167266/PCT#4"</f>
        <v>CUST#11167266/PCT#4</v>
      </c>
    </row>
    <row r="1394" spans="1:10" x14ac:dyDescent="0.3">
      <c r="A1394" t="str">
        <f>""</f>
        <v/>
      </c>
      <c r="G1394" t="str">
        <f>"9002914857"</f>
        <v>9002914857</v>
      </c>
      <c r="H1394" t="str">
        <f>"CUST #11160300 / P1"</f>
        <v>CUST #11160300 / P1</v>
      </c>
      <c r="I1394" s="2">
        <v>291.13</v>
      </c>
      <c r="J1394" t="str">
        <f>"CUST #11160300 / P1"</f>
        <v>CUST #11160300 / P1</v>
      </c>
    </row>
    <row r="1395" spans="1:10" x14ac:dyDescent="0.3">
      <c r="A1395" t="str">
        <f>"000598"</f>
        <v>000598</v>
      </c>
      <c r="B1395" t="s">
        <v>463</v>
      </c>
      <c r="C1395">
        <v>71526</v>
      </c>
      <c r="D1395" s="2">
        <v>18992.29</v>
      </c>
      <c r="E1395" s="1">
        <v>42926</v>
      </c>
      <c r="F1395" t="s">
        <v>11</v>
      </c>
      <c r="G1395" t="str">
        <f>"9725-001-93031"</f>
        <v>9725-001-93031</v>
      </c>
      <c r="H1395" t="str">
        <f t="shared" ref="H1395:H1402" si="7">"ACCT#9725-001/PCT#2"</f>
        <v>ACCT#9725-001/PCT#2</v>
      </c>
      <c r="I1395" s="2">
        <v>202.04</v>
      </c>
      <c r="J1395" t="str">
        <f t="shared" ref="J1395:J1402" si="8">"ACCT#9725-001/PCT#2"</f>
        <v>ACCT#9725-001/PCT#2</v>
      </c>
    </row>
    <row r="1396" spans="1:10" x14ac:dyDescent="0.3">
      <c r="A1396" t="str">
        <f>""</f>
        <v/>
      </c>
      <c r="G1396" t="str">
        <f>"9725-001-93069"</f>
        <v>9725-001-93069</v>
      </c>
      <c r="H1396" t="str">
        <f t="shared" si="7"/>
        <v>ACCT#9725-001/PCT#2</v>
      </c>
      <c r="I1396" s="2">
        <v>205.45</v>
      </c>
      <c r="J1396" t="str">
        <f t="shared" si="8"/>
        <v>ACCT#9725-001/PCT#2</v>
      </c>
    </row>
    <row r="1397" spans="1:10" x14ac:dyDescent="0.3">
      <c r="A1397" t="str">
        <f>""</f>
        <v/>
      </c>
      <c r="G1397" t="str">
        <f>"9725-001-93096"</f>
        <v>9725-001-93096</v>
      </c>
      <c r="H1397" t="str">
        <f t="shared" si="7"/>
        <v>ACCT#9725-001/PCT#2</v>
      </c>
      <c r="I1397" s="2">
        <v>389.21</v>
      </c>
      <c r="J1397" t="str">
        <f t="shared" si="8"/>
        <v>ACCT#9725-001/PCT#2</v>
      </c>
    </row>
    <row r="1398" spans="1:10" x14ac:dyDescent="0.3">
      <c r="A1398" t="str">
        <f>""</f>
        <v/>
      </c>
      <c r="G1398" t="str">
        <f>"9725-001-93126"</f>
        <v>9725-001-93126</v>
      </c>
      <c r="H1398" t="str">
        <f t="shared" si="7"/>
        <v>ACCT#9725-001/PCT#2</v>
      </c>
      <c r="I1398" s="2">
        <v>2633.16</v>
      </c>
      <c r="J1398" t="str">
        <f t="shared" si="8"/>
        <v>ACCT#9725-001/PCT#2</v>
      </c>
    </row>
    <row r="1399" spans="1:10" x14ac:dyDescent="0.3">
      <c r="A1399" t="str">
        <f>""</f>
        <v/>
      </c>
      <c r="G1399" t="str">
        <f>"9725-001-93162"</f>
        <v>9725-001-93162</v>
      </c>
      <c r="H1399" t="str">
        <f t="shared" si="7"/>
        <v>ACCT#9725-001/PCT#2</v>
      </c>
      <c r="I1399" s="2">
        <v>4767.82</v>
      </c>
      <c r="J1399" t="str">
        <f t="shared" si="8"/>
        <v>ACCT#9725-001/PCT#2</v>
      </c>
    </row>
    <row r="1400" spans="1:10" x14ac:dyDescent="0.3">
      <c r="A1400" t="str">
        <f>""</f>
        <v/>
      </c>
      <c r="G1400" t="str">
        <f>"9725-001-93190"</f>
        <v>9725-001-93190</v>
      </c>
      <c r="H1400" t="str">
        <f t="shared" si="7"/>
        <v>ACCT#9725-001/PCT#2</v>
      </c>
      <c r="I1400" s="2">
        <v>3868.34</v>
      </c>
      <c r="J1400" t="str">
        <f t="shared" si="8"/>
        <v>ACCT#9725-001/PCT#2</v>
      </c>
    </row>
    <row r="1401" spans="1:10" x14ac:dyDescent="0.3">
      <c r="A1401" t="str">
        <f>""</f>
        <v/>
      </c>
      <c r="G1401" t="str">
        <f>"9725-001-93220"</f>
        <v>9725-001-93220</v>
      </c>
      <c r="H1401" t="str">
        <f t="shared" si="7"/>
        <v>ACCT#9725-001/PCT#2</v>
      </c>
      <c r="I1401" s="2">
        <v>3080.02</v>
      </c>
      <c r="J1401" t="str">
        <f t="shared" si="8"/>
        <v>ACCT#9725-001/PCT#2</v>
      </c>
    </row>
    <row r="1402" spans="1:10" x14ac:dyDescent="0.3">
      <c r="A1402" t="str">
        <f>""</f>
        <v/>
      </c>
      <c r="G1402" t="str">
        <f>"9725-001-93247"</f>
        <v>9725-001-93247</v>
      </c>
      <c r="H1402" t="str">
        <f t="shared" si="7"/>
        <v>ACCT#9725-001/PCT#2</v>
      </c>
      <c r="I1402" s="2">
        <v>829.42</v>
      </c>
      <c r="J1402" t="str">
        <f t="shared" si="8"/>
        <v>ACCT#9725-001/PCT#2</v>
      </c>
    </row>
    <row r="1403" spans="1:10" x14ac:dyDescent="0.3">
      <c r="A1403" t="str">
        <f>""</f>
        <v/>
      </c>
      <c r="G1403" t="str">
        <f>"9725-008-93061"</f>
        <v>9725-008-93061</v>
      </c>
      <c r="H1403" t="str">
        <f>"ACCT#9725-008/PCT#2"</f>
        <v>ACCT#9725-008/PCT#2</v>
      </c>
      <c r="I1403" s="2">
        <v>3016.83</v>
      </c>
      <c r="J1403" t="str">
        <f>"ACCT#9725-008/PCT#2"</f>
        <v>ACCT#9725-008/PCT#2</v>
      </c>
    </row>
    <row r="1404" spans="1:10" x14ac:dyDescent="0.3">
      <c r="A1404" t="str">
        <f>"000598"</f>
        <v>000598</v>
      </c>
      <c r="B1404" t="s">
        <v>463</v>
      </c>
      <c r="C1404">
        <v>71866</v>
      </c>
      <c r="D1404" s="2">
        <v>12785.39</v>
      </c>
      <c r="E1404" s="1">
        <v>42940</v>
      </c>
      <c r="F1404" t="s">
        <v>11</v>
      </c>
      <c r="G1404" t="str">
        <f>"9725-001-93278"</f>
        <v>9725-001-93278</v>
      </c>
      <c r="H1404" t="str">
        <f t="shared" ref="H1404:H1415" si="9">"ACCT#9725-001/PCT#2"</f>
        <v>ACCT#9725-001/PCT#2</v>
      </c>
      <c r="I1404" s="2">
        <v>607.96</v>
      </c>
      <c r="J1404" t="str">
        <f t="shared" ref="J1404:J1415" si="10">"ACCT#9725-001/PCT#2"</f>
        <v>ACCT#9725-001/PCT#2</v>
      </c>
    </row>
    <row r="1405" spans="1:10" x14ac:dyDescent="0.3">
      <c r="A1405" t="str">
        <f>""</f>
        <v/>
      </c>
      <c r="G1405" t="str">
        <f>"9725-001-93314"</f>
        <v>9725-001-93314</v>
      </c>
      <c r="H1405" t="str">
        <f t="shared" si="9"/>
        <v>ACCT#9725-001/PCT#2</v>
      </c>
      <c r="I1405" s="2">
        <v>394.62</v>
      </c>
      <c r="J1405" t="str">
        <f t="shared" si="10"/>
        <v>ACCT#9725-001/PCT#2</v>
      </c>
    </row>
    <row r="1406" spans="1:10" x14ac:dyDescent="0.3">
      <c r="A1406" t="str">
        <f>""</f>
        <v/>
      </c>
      <c r="G1406" t="str">
        <f>"9725-001-93341"</f>
        <v>9725-001-93341</v>
      </c>
      <c r="H1406" t="str">
        <f t="shared" si="9"/>
        <v>ACCT#9725-001/PCT#2</v>
      </c>
      <c r="I1406" s="2">
        <v>1055.78</v>
      </c>
      <c r="J1406" t="str">
        <f t="shared" si="10"/>
        <v>ACCT#9725-001/PCT#2</v>
      </c>
    </row>
    <row r="1407" spans="1:10" x14ac:dyDescent="0.3">
      <c r="A1407" t="str">
        <f>""</f>
        <v/>
      </c>
      <c r="G1407" t="str">
        <f>"9725-001-93372"</f>
        <v>9725-001-93372</v>
      </c>
      <c r="H1407" t="str">
        <f t="shared" si="9"/>
        <v>ACCT#9725-001/PCT#2</v>
      </c>
      <c r="I1407" s="2">
        <v>1068.6300000000001</v>
      </c>
      <c r="J1407" t="str">
        <f t="shared" si="10"/>
        <v>ACCT#9725-001/PCT#2</v>
      </c>
    </row>
    <row r="1408" spans="1:10" x14ac:dyDescent="0.3">
      <c r="A1408" t="str">
        <f>""</f>
        <v/>
      </c>
      <c r="G1408" t="str">
        <f>"9725-001-93403"</f>
        <v>9725-001-93403</v>
      </c>
      <c r="H1408" t="str">
        <f t="shared" si="9"/>
        <v>ACCT#9725-001/PCT#2</v>
      </c>
      <c r="I1408" s="2">
        <v>2396.46</v>
      </c>
      <c r="J1408" t="str">
        <f t="shared" si="10"/>
        <v>ACCT#9725-001/PCT#2</v>
      </c>
    </row>
    <row r="1409" spans="1:10" x14ac:dyDescent="0.3">
      <c r="A1409" t="str">
        <f>""</f>
        <v/>
      </c>
      <c r="G1409" t="str">
        <f>"9725-001-93448"</f>
        <v>9725-001-93448</v>
      </c>
      <c r="H1409" t="str">
        <f t="shared" si="9"/>
        <v>ACCT#9725-001/PCT#2</v>
      </c>
      <c r="I1409" s="2">
        <v>889</v>
      </c>
      <c r="J1409" t="str">
        <f t="shared" si="10"/>
        <v>ACCT#9725-001/PCT#2</v>
      </c>
    </row>
    <row r="1410" spans="1:10" x14ac:dyDescent="0.3">
      <c r="A1410" t="str">
        <f>""</f>
        <v/>
      </c>
      <c r="G1410" t="str">
        <f>"9725-001-93468"</f>
        <v>9725-001-93468</v>
      </c>
      <c r="H1410" t="str">
        <f t="shared" si="9"/>
        <v>ACCT#9725-001/PCT#2</v>
      </c>
      <c r="I1410" s="2">
        <v>2147.09</v>
      </c>
      <c r="J1410" t="str">
        <f t="shared" si="10"/>
        <v>ACCT#9725-001/PCT#2</v>
      </c>
    </row>
    <row r="1411" spans="1:10" x14ac:dyDescent="0.3">
      <c r="A1411" t="str">
        <f>""</f>
        <v/>
      </c>
      <c r="G1411" t="str">
        <f>"9725-001-93510"</f>
        <v>9725-001-93510</v>
      </c>
      <c r="H1411" t="str">
        <f t="shared" si="9"/>
        <v>ACCT#9725-001/PCT#2</v>
      </c>
      <c r="I1411" s="2">
        <v>1265.79</v>
      </c>
      <c r="J1411" t="str">
        <f t="shared" si="10"/>
        <v>ACCT#9725-001/PCT#2</v>
      </c>
    </row>
    <row r="1412" spans="1:10" x14ac:dyDescent="0.3">
      <c r="A1412" t="str">
        <f>""</f>
        <v/>
      </c>
      <c r="G1412" t="str">
        <f>"9725-001-93542"</f>
        <v>9725-001-93542</v>
      </c>
      <c r="H1412" t="str">
        <f t="shared" si="9"/>
        <v>ACCT#9725-001/PCT#2</v>
      </c>
      <c r="I1412" s="2">
        <v>187.34</v>
      </c>
      <c r="J1412" t="str">
        <f t="shared" si="10"/>
        <v>ACCT#9725-001/PCT#2</v>
      </c>
    </row>
    <row r="1413" spans="1:10" x14ac:dyDescent="0.3">
      <c r="A1413" t="str">
        <f>""</f>
        <v/>
      </c>
      <c r="G1413" t="str">
        <f>"9725-001-93572"</f>
        <v>9725-001-93572</v>
      </c>
      <c r="H1413" t="str">
        <f t="shared" si="9"/>
        <v>ACCT#9725-001/PCT#2</v>
      </c>
      <c r="I1413" s="2">
        <v>846.14</v>
      </c>
      <c r="J1413" t="str">
        <f t="shared" si="10"/>
        <v>ACCT#9725-001/PCT#2</v>
      </c>
    </row>
    <row r="1414" spans="1:10" x14ac:dyDescent="0.3">
      <c r="A1414" t="str">
        <f>""</f>
        <v/>
      </c>
      <c r="G1414" t="str">
        <f>"9725-001-93615"</f>
        <v>9725-001-93615</v>
      </c>
      <c r="H1414" t="str">
        <f t="shared" si="9"/>
        <v>ACCT#9725-001/PCT#2</v>
      </c>
      <c r="I1414" s="2">
        <v>1721.92</v>
      </c>
      <c r="J1414" t="str">
        <f t="shared" si="10"/>
        <v>ACCT#9725-001/PCT#2</v>
      </c>
    </row>
    <row r="1415" spans="1:10" x14ac:dyDescent="0.3">
      <c r="A1415" t="str">
        <f>""</f>
        <v/>
      </c>
      <c r="G1415" t="str">
        <f>"9725-001-93644"</f>
        <v>9725-001-93644</v>
      </c>
      <c r="H1415" t="str">
        <f t="shared" si="9"/>
        <v>ACCT#9725-001/PCT#2</v>
      </c>
      <c r="I1415" s="2">
        <v>204.66</v>
      </c>
      <c r="J1415" t="str">
        <f t="shared" si="10"/>
        <v>ACCT#9725-001/PCT#2</v>
      </c>
    </row>
    <row r="1416" spans="1:10" x14ac:dyDescent="0.3">
      <c r="A1416" t="str">
        <f>"002048"</f>
        <v>002048</v>
      </c>
      <c r="B1416" t="s">
        <v>13</v>
      </c>
      <c r="C1416">
        <v>71527</v>
      </c>
      <c r="D1416" s="2">
        <v>10910.7</v>
      </c>
      <c r="E1416" s="1">
        <v>42926</v>
      </c>
      <c r="F1416" t="s">
        <v>11</v>
      </c>
      <c r="G1416" t="str">
        <f>"201707053366"</f>
        <v>201707053366</v>
      </c>
      <c r="H1416" t="str">
        <f>"6/20/17-7/3/17 PCT#4"</f>
        <v>6/20/17-7/3/17 PCT#4</v>
      </c>
      <c r="I1416" s="2">
        <v>10910.7</v>
      </c>
      <c r="J1416" t="str">
        <f>"6/20/17-7/3/17 PCT#4"</f>
        <v>6/20/17-7/3/17 PCT#4</v>
      </c>
    </row>
    <row r="1417" spans="1:10" x14ac:dyDescent="0.3">
      <c r="A1417" t="str">
        <f>"002048"</f>
        <v>002048</v>
      </c>
      <c r="B1417" t="s">
        <v>13</v>
      </c>
      <c r="C1417">
        <v>71867</v>
      </c>
      <c r="D1417" s="2">
        <v>3740.76</v>
      </c>
      <c r="E1417" s="1">
        <v>42940</v>
      </c>
      <c r="F1417" t="s">
        <v>11</v>
      </c>
      <c r="G1417" t="str">
        <f>"201707193709"</f>
        <v>201707193709</v>
      </c>
      <c r="H1417" t="str">
        <f>"7/5/17-7/11/17 PCT#4"</f>
        <v>7/5/17-7/11/17 PCT#4</v>
      </c>
      <c r="I1417" s="2">
        <v>3740.76</v>
      </c>
      <c r="J1417" t="str">
        <f>"7/5/17-7/11/17 PCT#4"</f>
        <v>7/5/17-7/11/17 PCT#4</v>
      </c>
    </row>
    <row r="1418" spans="1:10" x14ac:dyDescent="0.3">
      <c r="A1418" t="str">
        <f>"AQUAB"</f>
        <v>AQUAB</v>
      </c>
      <c r="B1418" t="s">
        <v>33</v>
      </c>
      <c r="C1418">
        <v>71868</v>
      </c>
      <c r="D1418" s="2">
        <v>213.18</v>
      </c>
      <c r="E1418" s="1">
        <v>42940</v>
      </c>
      <c r="F1418" t="s">
        <v>11</v>
      </c>
      <c r="G1418" t="str">
        <f>"201707143654"</f>
        <v>201707143654</v>
      </c>
      <c r="H1418" t="str">
        <f>"ACCT#014877/OEM"</f>
        <v>ACCT#014877/OEM</v>
      </c>
      <c r="I1418" s="2">
        <v>150.34</v>
      </c>
      <c r="J1418" t="str">
        <f>"ACCT#014877/OEM"</f>
        <v>ACCT#014877/OEM</v>
      </c>
    </row>
    <row r="1419" spans="1:10" x14ac:dyDescent="0.3">
      <c r="A1419" t="str">
        <f>""</f>
        <v/>
      </c>
      <c r="G1419" t="str">
        <f>"201707143655"</f>
        <v>201707143655</v>
      </c>
      <c r="H1419" t="str">
        <f>"ACCT#015397/JUVENILE BOOT CAMP"</f>
        <v>ACCT#015397/JUVENILE BOOT CAMP</v>
      </c>
      <c r="I1419" s="2">
        <v>62.84</v>
      </c>
      <c r="J1419" t="str">
        <f>"ACCT#015397/JUVENILE BOOT CAMP"</f>
        <v>ACCT#015397/JUVENILE BOOT CAMP</v>
      </c>
    </row>
    <row r="1420" spans="1:10" x14ac:dyDescent="0.3">
      <c r="A1420" t="str">
        <f>"AWS"</f>
        <v>AWS</v>
      </c>
      <c r="B1420" t="s">
        <v>34</v>
      </c>
      <c r="C1420">
        <v>71869</v>
      </c>
      <c r="D1420" s="2">
        <v>533</v>
      </c>
      <c r="E1420" s="1">
        <v>42940</v>
      </c>
      <c r="F1420" t="s">
        <v>11</v>
      </c>
      <c r="G1420" t="str">
        <f>"201707183679"</f>
        <v>201707183679</v>
      </c>
      <c r="H1420" t="str">
        <f>"ACCT#7700010025/75 LOADS/PCT2"</f>
        <v>ACCT#7700010025/75 LOADS/PCT2</v>
      </c>
      <c r="I1420" s="2">
        <v>533</v>
      </c>
      <c r="J1420" t="str">
        <f>"ACCT#7700010025/75 LOADS/PCT2"</f>
        <v>ACCT#7700010025/75 LOADS/PCT2</v>
      </c>
    </row>
    <row r="1421" spans="1:10" x14ac:dyDescent="0.3">
      <c r="A1421" t="str">
        <f>"B&amp;B"</f>
        <v>B&amp;B</v>
      </c>
      <c r="B1421" t="s">
        <v>43</v>
      </c>
      <c r="C1421">
        <v>71528</v>
      </c>
      <c r="D1421" s="2">
        <v>453.24</v>
      </c>
      <c r="E1421" s="1">
        <v>42926</v>
      </c>
      <c r="F1421" t="s">
        <v>11</v>
      </c>
      <c r="G1421" t="str">
        <f>"201707053339"</f>
        <v>201707053339</v>
      </c>
      <c r="H1421" t="str">
        <f>"CUST#1645/OEM"</f>
        <v>CUST#1645/OEM</v>
      </c>
      <c r="I1421" s="2">
        <v>453.24</v>
      </c>
      <c r="J1421" t="str">
        <f>"CUST#1645/OEM"</f>
        <v>CUST#1645/OEM</v>
      </c>
    </row>
    <row r="1422" spans="1:10" x14ac:dyDescent="0.3">
      <c r="A1422" t="str">
        <f>"T5228"</f>
        <v>T5228</v>
      </c>
      <c r="B1422" t="s">
        <v>464</v>
      </c>
      <c r="C1422">
        <v>71529</v>
      </c>
      <c r="D1422" s="2">
        <v>56</v>
      </c>
      <c r="E1422" s="1">
        <v>42926</v>
      </c>
      <c r="F1422" t="s">
        <v>11</v>
      </c>
      <c r="G1422" t="str">
        <f>"1-23978"</f>
        <v>1-23978</v>
      </c>
      <c r="H1422" t="str">
        <f>"DEALER#152820/OEM"</f>
        <v>DEALER#152820/OEM</v>
      </c>
      <c r="I1422" s="2">
        <v>7</v>
      </c>
      <c r="J1422" t="str">
        <f>"DEALER#152820/OEM"</f>
        <v>DEALER#152820/OEM</v>
      </c>
    </row>
    <row r="1423" spans="1:10" x14ac:dyDescent="0.3">
      <c r="A1423" t="str">
        <f>""</f>
        <v/>
      </c>
      <c r="G1423" t="str">
        <f>"1-23979"</f>
        <v>1-23979</v>
      </c>
      <c r="H1423" t="str">
        <f>"DEALER#152820/OEM"</f>
        <v>DEALER#152820/OEM</v>
      </c>
      <c r="I1423" s="2">
        <v>7</v>
      </c>
      <c r="J1423" t="str">
        <f>"DEALER#152820/OEM"</f>
        <v>DEALER#152820/OEM</v>
      </c>
    </row>
    <row r="1424" spans="1:10" x14ac:dyDescent="0.3">
      <c r="A1424" t="str">
        <f>""</f>
        <v/>
      </c>
      <c r="G1424" t="str">
        <f>"1-23980"</f>
        <v>1-23980</v>
      </c>
      <c r="H1424" t="str">
        <f>"DEALER#152820/OEM"</f>
        <v>DEALER#152820/OEM</v>
      </c>
      <c r="I1424" s="2">
        <v>7</v>
      </c>
      <c r="J1424" t="str">
        <f>"DEALER#152820/OEM"</f>
        <v>DEALER#152820/OEM</v>
      </c>
    </row>
    <row r="1425" spans="1:10" x14ac:dyDescent="0.3">
      <c r="A1425" t="str">
        <f>""</f>
        <v/>
      </c>
      <c r="G1425" t="str">
        <f>"1-23981"</f>
        <v>1-23981</v>
      </c>
      <c r="H1425" t="str">
        <f>"DEALER#152820/OEM"</f>
        <v>DEALER#152820/OEM</v>
      </c>
      <c r="I1425" s="2">
        <v>7</v>
      </c>
      <c r="J1425" t="str">
        <f>"DEALER#152820/OEM"</f>
        <v>DEALER#152820/OEM</v>
      </c>
    </row>
    <row r="1426" spans="1:10" x14ac:dyDescent="0.3">
      <c r="A1426" t="str">
        <f>""</f>
        <v/>
      </c>
      <c r="G1426" t="str">
        <f>"1-24091"</f>
        <v>1-24091</v>
      </c>
      <c r="H1426" t="str">
        <f>"DEALER#152820//OEM"</f>
        <v>DEALER#152820//OEM</v>
      </c>
      <c r="I1426" s="2">
        <v>7</v>
      </c>
      <c r="J1426" t="str">
        <f>"DEALER#152820//OEM"</f>
        <v>DEALER#152820//OEM</v>
      </c>
    </row>
    <row r="1427" spans="1:10" x14ac:dyDescent="0.3">
      <c r="A1427" t="str">
        <f>""</f>
        <v/>
      </c>
      <c r="G1427" t="str">
        <f>"1-24092"</f>
        <v>1-24092</v>
      </c>
      <c r="H1427" t="str">
        <f>"DEALER#152820/OEM"</f>
        <v>DEALER#152820/OEM</v>
      </c>
      <c r="I1427" s="2">
        <v>7</v>
      </c>
      <c r="J1427" t="str">
        <f>"DEALER#152820/OEM"</f>
        <v>DEALER#152820/OEM</v>
      </c>
    </row>
    <row r="1428" spans="1:10" x14ac:dyDescent="0.3">
      <c r="A1428" t="str">
        <f>""</f>
        <v/>
      </c>
      <c r="G1428" t="str">
        <f>"1-24099"</f>
        <v>1-24099</v>
      </c>
      <c r="H1428" t="str">
        <f>"DEALER#152820/OEM"</f>
        <v>DEALER#152820/OEM</v>
      </c>
      <c r="I1428" s="2">
        <v>7</v>
      </c>
      <c r="J1428" t="str">
        <f>"DEALER#152820/OEM"</f>
        <v>DEALER#152820/OEM</v>
      </c>
    </row>
    <row r="1429" spans="1:10" x14ac:dyDescent="0.3">
      <c r="A1429" t="str">
        <f>""</f>
        <v/>
      </c>
      <c r="G1429" t="str">
        <f>"1-24100"</f>
        <v>1-24100</v>
      </c>
      <c r="H1429" t="str">
        <f>"DEALER#152820/OEM"</f>
        <v>DEALER#152820/OEM</v>
      </c>
      <c r="I1429" s="2">
        <v>7</v>
      </c>
      <c r="J1429" t="str">
        <f>"DEALER#152820/OEM"</f>
        <v>DEALER#152820/OEM</v>
      </c>
    </row>
    <row r="1430" spans="1:10" x14ac:dyDescent="0.3">
      <c r="A1430" t="str">
        <f>"BEC"</f>
        <v>BEC</v>
      </c>
      <c r="B1430" t="s">
        <v>72</v>
      </c>
      <c r="C1430">
        <v>71550</v>
      </c>
      <c r="D1430" s="2">
        <v>162.54</v>
      </c>
      <c r="E1430" s="1">
        <v>42935</v>
      </c>
      <c r="F1430" t="s">
        <v>11</v>
      </c>
      <c r="G1430" t="str">
        <f>"201707193795"</f>
        <v>201707193795</v>
      </c>
      <c r="H1430" t="str">
        <f>"ACCT # 5000057374 - 07/08/2017"</f>
        <v>ACCT # 5000057374 - 07/08/2017</v>
      </c>
      <c r="I1430" s="2">
        <v>162.54</v>
      </c>
      <c r="J1430" t="str">
        <f>"ACCT # 5000057374 - 07/08/2017"</f>
        <v>ACCT # 5000057374 - 07/08/2017</v>
      </c>
    </row>
    <row r="1431" spans="1:10" x14ac:dyDescent="0.3">
      <c r="A1431" t="str">
        <f>"005138"</f>
        <v>005138</v>
      </c>
      <c r="B1431" t="s">
        <v>465</v>
      </c>
      <c r="C1431">
        <v>71870</v>
      </c>
      <c r="D1431" s="2">
        <v>75</v>
      </c>
      <c r="E1431" s="1">
        <v>42940</v>
      </c>
      <c r="F1431" t="s">
        <v>11</v>
      </c>
      <c r="G1431" t="str">
        <f>"102"</f>
        <v>102</v>
      </c>
      <c r="H1431" t="str">
        <f>"TRAINING-CULT DIV FOR J HESTER"</f>
        <v>TRAINING-CULT DIV FOR J HESTER</v>
      </c>
      <c r="I1431" s="2">
        <v>75</v>
      </c>
      <c r="J1431" t="str">
        <f>"TRAINING-CULT DIV FOR J HESTER"</f>
        <v>TRAINING-CULT DIV FOR J HESTER</v>
      </c>
    </row>
    <row r="1432" spans="1:10" x14ac:dyDescent="0.3">
      <c r="A1432" t="str">
        <f>"ECO"</f>
        <v>ECO</v>
      </c>
      <c r="B1432" t="s">
        <v>108</v>
      </c>
      <c r="C1432">
        <v>71530</v>
      </c>
      <c r="D1432" s="2">
        <v>262564.13</v>
      </c>
      <c r="E1432" s="1">
        <v>42926</v>
      </c>
      <c r="F1432" t="s">
        <v>11</v>
      </c>
      <c r="G1432" t="str">
        <f>"201707053325"</f>
        <v>201707053325</v>
      </c>
      <c r="H1432" t="str">
        <f>"ELGIN SHELTER PROJECT"</f>
        <v>ELGIN SHELTER PROJECT</v>
      </c>
      <c r="I1432" s="2">
        <v>108542.75</v>
      </c>
      <c r="J1432" t="str">
        <f>"ELGIN SHELTER PROJECT"</f>
        <v>ELGIN SHELTER PROJECT</v>
      </c>
    </row>
    <row r="1433" spans="1:10" x14ac:dyDescent="0.3">
      <c r="A1433" t="str">
        <f>""</f>
        <v/>
      </c>
      <c r="G1433" t="str">
        <f>"201707053341"</f>
        <v>201707053341</v>
      </c>
      <c r="H1433" t="str">
        <f>"ELGIN COMMUNITY CHELTER"</f>
        <v>ELGIN COMMUNITY CHELTER</v>
      </c>
      <c r="I1433" s="2">
        <v>154021.38</v>
      </c>
      <c r="J1433" t="str">
        <f>"ELGIN COMMUNITY CHELTER"</f>
        <v>ELGIN COMMUNITY CHELTER</v>
      </c>
    </row>
    <row r="1434" spans="1:10" x14ac:dyDescent="0.3">
      <c r="A1434" t="str">
        <f>"ECO"</f>
        <v>ECO</v>
      </c>
      <c r="B1434" t="s">
        <v>108</v>
      </c>
      <c r="C1434">
        <v>71871</v>
      </c>
      <c r="D1434" s="2">
        <v>834.63</v>
      </c>
      <c r="E1434" s="1">
        <v>42940</v>
      </c>
      <c r="F1434" t="s">
        <v>11</v>
      </c>
      <c r="G1434" t="str">
        <f>"S100016945.001"</f>
        <v>S100016945.001</v>
      </c>
      <c r="H1434" t="str">
        <f>"CUST#16383/REC CTR/CITY OF ELG"</f>
        <v>CUST#16383/REC CTR/CITY OF ELG</v>
      </c>
      <c r="I1434" s="2">
        <v>834.63</v>
      </c>
      <c r="J1434" t="str">
        <f>"CUST#16383/REC CTR/CITY OF ELG"</f>
        <v>CUST#16383/REC CTR/CITY OF ELG</v>
      </c>
    </row>
    <row r="1435" spans="1:10" x14ac:dyDescent="0.3">
      <c r="A1435" t="str">
        <f>"SCO"</f>
        <v>SCO</v>
      </c>
      <c r="B1435" t="s">
        <v>109</v>
      </c>
      <c r="C1435">
        <v>71531</v>
      </c>
      <c r="D1435" s="2">
        <v>15715.2</v>
      </c>
      <c r="E1435" s="1">
        <v>42926</v>
      </c>
      <c r="F1435" t="s">
        <v>11</v>
      </c>
      <c r="G1435" t="str">
        <f>"201706283276"</f>
        <v>201706283276</v>
      </c>
      <c r="H1435" t="str">
        <f>"#15.659/SMITHVILLE COMM CTR"</f>
        <v>#15.659/SMITHVILLE COMM CTR</v>
      </c>
      <c r="I1435" s="2">
        <v>15715.2</v>
      </c>
      <c r="J1435" t="str">
        <f>"#15.659/SMITHVILLE COMM CTR"</f>
        <v>#15.659/SMITHVILLE COMM CTR</v>
      </c>
    </row>
    <row r="1436" spans="1:10" x14ac:dyDescent="0.3">
      <c r="A1436" t="str">
        <f>"SCO"</f>
        <v>SCO</v>
      </c>
      <c r="B1436" t="s">
        <v>109</v>
      </c>
      <c r="C1436">
        <v>71872</v>
      </c>
      <c r="D1436" s="2">
        <v>77248.3</v>
      </c>
      <c r="E1436" s="1">
        <v>42940</v>
      </c>
      <c r="F1436" t="s">
        <v>11</v>
      </c>
      <c r="G1436" t="str">
        <f>"201707113577"</f>
        <v>201707113577</v>
      </c>
      <c r="H1436" t="str">
        <f>"#15.659/SMITHVILLE COMM CTR"</f>
        <v>#15.659/SMITHVILLE COMM CTR</v>
      </c>
      <c r="I1436" s="2">
        <v>77248.3</v>
      </c>
      <c r="J1436" t="str">
        <f>"#15.659/SMITHVILLE COMM CTR"</f>
        <v>#15.659/SMITHVILLE COMM CTR</v>
      </c>
    </row>
    <row r="1437" spans="1:10" x14ac:dyDescent="0.3">
      <c r="A1437" t="str">
        <f>"003723"</f>
        <v>003723</v>
      </c>
      <c r="B1437" t="s">
        <v>116</v>
      </c>
      <c r="C1437">
        <v>71873</v>
      </c>
      <c r="D1437" s="2">
        <v>13722</v>
      </c>
      <c r="E1437" s="1">
        <v>42940</v>
      </c>
      <c r="F1437" t="s">
        <v>11</v>
      </c>
      <c r="G1437" t="str">
        <f>"19200"</f>
        <v>19200</v>
      </c>
      <c r="H1437" t="str">
        <f>"MATERIALS/LABOR-BCSO"</f>
        <v>MATERIALS/LABOR-BCSO</v>
      </c>
      <c r="I1437" s="2">
        <v>11972</v>
      </c>
      <c r="J1437" t="str">
        <f>"MATERIALS/LABOR-BCSO"</f>
        <v>MATERIALS/LABOR-BCSO</v>
      </c>
    </row>
    <row r="1438" spans="1:10" x14ac:dyDescent="0.3">
      <c r="A1438" t="str">
        <f>""</f>
        <v/>
      </c>
      <c r="G1438" t="str">
        <f>"19326"</f>
        <v>19326</v>
      </c>
      <c r="H1438" t="str">
        <f>"MATERIALS/LABOR-7 LOCATIONS"</f>
        <v>MATERIALS/LABOR-7 LOCATIONS</v>
      </c>
      <c r="I1438" s="2">
        <v>1750</v>
      </c>
      <c r="J1438" t="str">
        <f>"MATERIALS/LABOR-7 LOCATIONS"</f>
        <v>MATERIALS/LABOR-7 LOCATIONS</v>
      </c>
    </row>
    <row r="1439" spans="1:10" x14ac:dyDescent="0.3">
      <c r="A1439" t="str">
        <f>"005092"</f>
        <v>005092</v>
      </c>
      <c r="B1439" t="s">
        <v>128</v>
      </c>
      <c r="C1439">
        <v>71532</v>
      </c>
      <c r="D1439" s="2">
        <v>10743.62</v>
      </c>
      <c r="E1439" s="1">
        <v>42926</v>
      </c>
      <c r="F1439" t="s">
        <v>11</v>
      </c>
      <c r="G1439" t="str">
        <f>"375171"</f>
        <v>375171</v>
      </c>
      <c r="H1439" t="str">
        <f>"inv# INV375171"</f>
        <v>inv# INV375171</v>
      </c>
      <c r="I1439" s="2">
        <v>10743.62</v>
      </c>
      <c r="J1439" t="str">
        <f>"Monitors"</f>
        <v>Monitors</v>
      </c>
    </row>
    <row r="1440" spans="1:10" x14ac:dyDescent="0.3">
      <c r="A1440" t="str">
        <f>""</f>
        <v/>
      </c>
      <c r="G1440" t="str">
        <f>""</f>
        <v/>
      </c>
      <c r="H1440" t="str">
        <f>""</f>
        <v/>
      </c>
      <c r="J1440" t="str">
        <f>"Shipping"</f>
        <v>Shipping</v>
      </c>
    </row>
    <row r="1441" spans="1:10" x14ac:dyDescent="0.3">
      <c r="A1441" t="str">
        <f>"FNB"</f>
        <v>FNB</v>
      </c>
      <c r="B1441" t="s">
        <v>466</v>
      </c>
      <c r="C1441">
        <v>0</v>
      </c>
      <c r="D1441" s="2">
        <v>871012.5</v>
      </c>
      <c r="E1441" s="1">
        <v>42940</v>
      </c>
      <c r="F1441" t="s">
        <v>35</v>
      </c>
      <c r="G1441" t="str">
        <f>"201707113575"</f>
        <v>201707113575</v>
      </c>
      <c r="H1441" t="str">
        <f>"SERIES 2014 CERT OF OBLIGATION"</f>
        <v>SERIES 2014 CERT OF OBLIGATION</v>
      </c>
      <c r="I1441" s="2">
        <v>247593.75</v>
      </c>
      <c r="J1441" t="str">
        <f>"SERIES 2014 CERT OF OBLIGATION"</f>
        <v>SERIES 2014 CERT OF OBLIGATION</v>
      </c>
    </row>
    <row r="1442" spans="1:10" x14ac:dyDescent="0.3">
      <c r="A1442" t="str">
        <f>""</f>
        <v/>
      </c>
      <c r="G1442" t="str">
        <f>""</f>
        <v/>
      </c>
      <c r="H1442" t="str">
        <f>""</f>
        <v/>
      </c>
      <c r="J1442" t="str">
        <f>"SERIES 2014 CERT OF OBLIGATION"</f>
        <v>SERIES 2014 CERT OF OBLIGATION</v>
      </c>
    </row>
    <row r="1443" spans="1:10" x14ac:dyDescent="0.3">
      <c r="A1443" t="str">
        <f>""</f>
        <v/>
      </c>
      <c r="G1443" t="str">
        <f>"201707113576"</f>
        <v>201707113576</v>
      </c>
      <c r="H1443" t="str">
        <f>"REF#BASTROPTXR10"</f>
        <v>REF#BASTROPTXR10</v>
      </c>
      <c r="I1443" s="2">
        <v>623418.75</v>
      </c>
      <c r="J1443" t="str">
        <f>"REF#BASTROPTXR10"</f>
        <v>REF#BASTROPTXR10</v>
      </c>
    </row>
    <row r="1444" spans="1:10" x14ac:dyDescent="0.3">
      <c r="A1444" t="str">
        <f>""</f>
        <v/>
      </c>
      <c r="G1444" t="str">
        <f>""</f>
        <v/>
      </c>
      <c r="H1444" t="str">
        <f>""</f>
        <v/>
      </c>
      <c r="J1444" t="str">
        <f>"REF#BASTROPTXR10"</f>
        <v>REF#BASTROPTXR10</v>
      </c>
    </row>
    <row r="1445" spans="1:10" x14ac:dyDescent="0.3">
      <c r="A1445" t="str">
        <f>""</f>
        <v/>
      </c>
      <c r="G1445" t="str">
        <f>""</f>
        <v/>
      </c>
      <c r="H1445" t="str">
        <f>""</f>
        <v/>
      </c>
      <c r="J1445" t="str">
        <f>"REF#BASTROPTXR10"</f>
        <v>REF#BASTROPTXR10</v>
      </c>
    </row>
    <row r="1446" spans="1:10" x14ac:dyDescent="0.3">
      <c r="A1446" t="str">
        <f>"004691"</f>
        <v>004691</v>
      </c>
      <c r="B1446" t="s">
        <v>156</v>
      </c>
      <c r="C1446">
        <v>0</v>
      </c>
      <c r="D1446" s="2">
        <v>0</v>
      </c>
      <c r="E1446" s="1">
        <v>42926</v>
      </c>
      <c r="F1446" t="s">
        <v>92</v>
      </c>
      <c r="G1446" t="str">
        <f>"201707123609"</f>
        <v>201707123609</v>
      </c>
      <c r="H1446" t="str">
        <f>"FLEET COR CORRECTION"</f>
        <v>FLEET COR CORRECTION</v>
      </c>
      <c r="I1446" s="2">
        <v>-707.25</v>
      </c>
      <c r="J1446" t="str">
        <f>"FLEET COR CORRECTION"</f>
        <v>FLEET COR CORRECTION</v>
      </c>
    </row>
    <row r="1447" spans="1:10" x14ac:dyDescent="0.3">
      <c r="A1447" t="str">
        <f>""</f>
        <v/>
      </c>
      <c r="G1447" t="str">
        <f>""</f>
        <v/>
      </c>
      <c r="H1447" t="str">
        <f>""</f>
        <v/>
      </c>
      <c r="J1447" t="str">
        <f>"FLEET COR CORRECTION"</f>
        <v>FLEET COR CORRECTION</v>
      </c>
    </row>
    <row r="1448" spans="1:10" x14ac:dyDescent="0.3">
      <c r="A1448" t="str">
        <f>""</f>
        <v/>
      </c>
      <c r="G1448" t="str">
        <f>""</f>
        <v/>
      </c>
      <c r="H1448" t="str">
        <f>""</f>
        <v/>
      </c>
      <c r="J1448" t="str">
        <f>"FLEET COR CORRECTION"</f>
        <v>FLEET COR CORRECTION</v>
      </c>
    </row>
    <row r="1449" spans="1:10" x14ac:dyDescent="0.3">
      <c r="A1449" t="str">
        <f>""</f>
        <v/>
      </c>
      <c r="G1449" t="str">
        <f>""</f>
        <v/>
      </c>
      <c r="H1449" t="str">
        <f>""</f>
        <v/>
      </c>
      <c r="J1449" t="str">
        <f>"FLEET COR CORRECTION"</f>
        <v>FLEET COR CORRECTION</v>
      </c>
    </row>
    <row r="1450" spans="1:10" x14ac:dyDescent="0.3">
      <c r="A1450" t="str">
        <f>""</f>
        <v/>
      </c>
      <c r="G1450" t="str">
        <f>"NP50700016"</f>
        <v>NP50700016</v>
      </c>
      <c r="H1450" t="str">
        <f>"Stmt# NP50700016"</f>
        <v>Stmt# NP50700016</v>
      </c>
      <c r="I1450" s="2">
        <v>707.25</v>
      </c>
      <c r="J1450" t="str">
        <f>"General Services"</f>
        <v>General Services</v>
      </c>
    </row>
    <row r="1451" spans="1:10" x14ac:dyDescent="0.3">
      <c r="A1451" t="str">
        <f>""</f>
        <v/>
      </c>
      <c r="G1451" t="str">
        <f>""</f>
        <v/>
      </c>
      <c r="H1451" t="str">
        <f>""</f>
        <v/>
      </c>
      <c r="J1451" t="str">
        <f>"Sign Shop"</f>
        <v>Sign Shop</v>
      </c>
    </row>
    <row r="1452" spans="1:10" x14ac:dyDescent="0.3">
      <c r="A1452" t="str">
        <f>""</f>
        <v/>
      </c>
      <c r="G1452" t="str">
        <f>""</f>
        <v/>
      </c>
      <c r="H1452" t="str">
        <f>""</f>
        <v/>
      </c>
      <c r="J1452" t="str">
        <f>"PCT 1"</f>
        <v>PCT 1</v>
      </c>
    </row>
    <row r="1453" spans="1:10" x14ac:dyDescent="0.3">
      <c r="A1453" t="str">
        <f>""</f>
        <v/>
      </c>
      <c r="G1453" t="str">
        <f>""</f>
        <v/>
      </c>
      <c r="H1453" t="str">
        <f>""</f>
        <v/>
      </c>
      <c r="J1453" t="str">
        <f>"PCT 2"</f>
        <v>PCT 2</v>
      </c>
    </row>
    <row r="1454" spans="1:10" x14ac:dyDescent="0.3">
      <c r="A1454" t="str">
        <f>"004691"</f>
        <v>004691</v>
      </c>
      <c r="B1454" t="s">
        <v>156</v>
      </c>
      <c r="C1454">
        <v>71533</v>
      </c>
      <c r="D1454" s="2">
        <v>742.91</v>
      </c>
      <c r="E1454" s="1">
        <v>42926</v>
      </c>
      <c r="F1454" t="s">
        <v>35</v>
      </c>
      <c r="G1454" t="str">
        <f>"NP50700016A"</f>
        <v>NP50700016A</v>
      </c>
      <c r="H1454" t="str">
        <f>"Stmt# NP50700016"</f>
        <v>Stmt# NP50700016</v>
      </c>
      <c r="I1454" s="2">
        <v>17.829999999999998</v>
      </c>
      <c r="J1454" t="str">
        <f>"OEM"</f>
        <v>OEM</v>
      </c>
    </row>
    <row r="1455" spans="1:10" x14ac:dyDescent="0.3">
      <c r="A1455" t="str">
        <f>""</f>
        <v/>
      </c>
      <c r="G1455" t="str">
        <f>"NP50700016"</f>
        <v>NP50700016</v>
      </c>
      <c r="H1455" t="str">
        <f>"Stmt# NP50700016"</f>
        <v>Stmt# NP50700016</v>
      </c>
      <c r="I1455" s="2">
        <v>707.25</v>
      </c>
    </row>
    <row r="1456" spans="1:10" x14ac:dyDescent="0.3">
      <c r="A1456" t="str">
        <f>""</f>
        <v/>
      </c>
      <c r="G1456" t="str">
        <f>"NP50700016A"</f>
        <v>NP50700016A</v>
      </c>
      <c r="H1456" t="str">
        <f>"Stmt# NP50700016"</f>
        <v>Stmt# NP50700016</v>
      </c>
      <c r="I1456" s="2">
        <v>17.829999999999998</v>
      </c>
    </row>
    <row r="1457" spans="1:10" x14ac:dyDescent="0.3">
      <c r="A1457" t="str">
        <f>"004691"</f>
        <v>004691</v>
      </c>
      <c r="B1457" t="s">
        <v>156</v>
      </c>
      <c r="C1457">
        <v>71533</v>
      </c>
      <c r="D1457" s="2">
        <v>725.08</v>
      </c>
      <c r="E1457" s="1">
        <v>42926</v>
      </c>
      <c r="F1457" t="s">
        <v>84</v>
      </c>
      <c r="G1457" t="str">
        <f>"CHECK"</f>
        <v>CHECK</v>
      </c>
      <c r="H1457" t="str">
        <f>""</f>
        <v/>
      </c>
      <c r="I1457" s="2">
        <v>725.08</v>
      </c>
    </row>
    <row r="1458" spans="1:10" x14ac:dyDescent="0.3">
      <c r="A1458" t="str">
        <f>"WWGI"</f>
        <v>WWGI</v>
      </c>
      <c r="B1458" t="s">
        <v>170</v>
      </c>
      <c r="C1458">
        <v>71874</v>
      </c>
      <c r="D1458" s="2">
        <v>309.88</v>
      </c>
      <c r="E1458" s="1">
        <v>42940</v>
      </c>
      <c r="F1458" t="s">
        <v>11</v>
      </c>
      <c r="G1458" t="str">
        <f>"9498038729"</f>
        <v>9498038729</v>
      </c>
      <c r="H1458" t="str">
        <f>"ACCT#886119927/ITEM#32RT58"</f>
        <v>ACCT#886119927/ITEM#32RT58</v>
      </c>
      <c r="I1458" s="2">
        <v>33.799999999999997</v>
      </c>
      <c r="J1458" t="str">
        <f>"ACCT#886119927"</f>
        <v>ACCT#886119927</v>
      </c>
    </row>
    <row r="1459" spans="1:10" x14ac:dyDescent="0.3">
      <c r="A1459" t="str">
        <f>""</f>
        <v/>
      </c>
      <c r="G1459" t="str">
        <f>"9498335307"</f>
        <v>9498335307</v>
      </c>
      <c r="H1459" t="str">
        <f>"ACCT#886119927"</f>
        <v>ACCT#886119927</v>
      </c>
      <c r="I1459" s="2">
        <v>276.08</v>
      </c>
      <c r="J1459" t="str">
        <f>"ACCT#886119927"</f>
        <v>ACCT#886119927</v>
      </c>
    </row>
    <row r="1460" spans="1:10" x14ac:dyDescent="0.3">
      <c r="A1460" t="str">
        <f>"HM"</f>
        <v>HM</v>
      </c>
      <c r="B1460" t="s">
        <v>185</v>
      </c>
      <c r="C1460">
        <v>71534</v>
      </c>
      <c r="D1460" s="2">
        <v>123943</v>
      </c>
      <c r="E1460" s="1">
        <v>42926</v>
      </c>
      <c r="F1460" t="s">
        <v>11</v>
      </c>
      <c r="G1460" t="str">
        <f>"SIMA41698010"</f>
        <v>SIMA41698010</v>
      </c>
      <c r="H1460" t="str">
        <f>"926M Wheel Loader"</f>
        <v>926M Wheel Loader</v>
      </c>
      <c r="I1460" s="2">
        <v>123943</v>
      </c>
      <c r="J1460" t="str">
        <f>"926M Wheel Loader"</f>
        <v>926M Wheel Loader</v>
      </c>
    </row>
    <row r="1461" spans="1:10" x14ac:dyDescent="0.3">
      <c r="A1461" t="str">
        <f>""</f>
        <v/>
      </c>
      <c r="G1461" t="str">
        <f>""</f>
        <v/>
      </c>
      <c r="H1461" t="str">
        <f>""</f>
        <v/>
      </c>
      <c r="J1461" t="str">
        <f>"Trade In"</f>
        <v>Trade In</v>
      </c>
    </row>
    <row r="1462" spans="1:10" x14ac:dyDescent="0.3">
      <c r="A1462" t="str">
        <f>"005119"</f>
        <v>005119</v>
      </c>
      <c r="B1462" t="s">
        <v>467</v>
      </c>
      <c r="C1462">
        <v>71875</v>
      </c>
      <c r="D1462" s="2">
        <v>47071.37</v>
      </c>
      <c r="E1462" s="1">
        <v>42940</v>
      </c>
      <c r="F1462" t="s">
        <v>11</v>
      </c>
      <c r="G1462" t="str">
        <f>"201706153"</f>
        <v>201706153</v>
      </c>
      <c r="H1462" t="str">
        <f>"Inv# 201706153"</f>
        <v>Inv# 201706153</v>
      </c>
      <c r="I1462" s="2">
        <v>47071.37</v>
      </c>
      <c r="J1462" t="str">
        <f>"Inv# 201706153"</f>
        <v>Inv# 201706153</v>
      </c>
    </row>
    <row r="1463" spans="1:10" x14ac:dyDescent="0.3">
      <c r="A1463" t="str">
        <f>"T11113"</f>
        <v>T11113</v>
      </c>
      <c r="B1463" t="s">
        <v>229</v>
      </c>
      <c r="C1463">
        <v>0</v>
      </c>
      <c r="D1463" s="2">
        <v>111.5</v>
      </c>
      <c r="E1463" s="1">
        <v>42926</v>
      </c>
      <c r="F1463" t="s">
        <v>35</v>
      </c>
      <c r="G1463" t="str">
        <f>"201707053314"</f>
        <v>201707053314</v>
      </c>
      <c r="H1463" t="str">
        <f t="shared" ref="H1463:H1473" si="11">"VEHICLE REGISTRATIONS"</f>
        <v>VEHICLE REGISTRATIONS</v>
      </c>
      <c r="I1463" s="2">
        <v>22</v>
      </c>
      <c r="J1463" t="str">
        <f t="shared" ref="J1463:J1473" si="12">"VEHICLE REGISTRATIONS"</f>
        <v>VEHICLE REGISTRATIONS</v>
      </c>
    </row>
    <row r="1464" spans="1:10" x14ac:dyDescent="0.3">
      <c r="A1464" t="str">
        <f>""</f>
        <v/>
      </c>
      <c r="G1464" t="str">
        <f>"201707053315"</f>
        <v>201707053315</v>
      </c>
      <c r="H1464" t="str">
        <f t="shared" si="11"/>
        <v>VEHICLE REGISTRATIONS</v>
      </c>
      <c r="I1464" s="2">
        <v>7.5</v>
      </c>
      <c r="J1464" t="str">
        <f t="shared" si="12"/>
        <v>VEHICLE REGISTRATIONS</v>
      </c>
    </row>
    <row r="1465" spans="1:10" x14ac:dyDescent="0.3">
      <c r="A1465" t="str">
        <f>""</f>
        <v/>
      </c>
      <c r="G1465" t="str">
        <f>"201707053316"</f>
        <v>201707053316</v>
      </c>
      <c r="H1465" t="str">
        <f t="shared" si="11"/>
        <v>VEHICLE REGISTRATIONS</v>
      </c>
      <c r="I1465" s="2">
        <v>7.5</v>
      </c>
      <c r="J1465" t="str">
        <f t="shared" si="12"/>
        <v>VEHICLE REGISTRATIONS</v>
      </c>
    </row>
    <row r="1466" spans="1:10" x14ac:dyDescent="0.3">
      <c r="A1466" t="str">
        <f>""</f>
        <v/>
      </c>
      <c r="G1466" t="str">
        <f>"201707053317"</f>
        <v>201707053317</v>
      </c>
      <c r="H1466" t="str">
        <f t="shared" si="11"/>
        <v>VEHICLE REGISTRATIONS</v>
      </c>
      <c r="I1466" s="2">
        <v>22</v>
      </c>
      <c r="J1466" t="str">
        <f t="shared" si="12"/>
        <v>VEHICLE REGISTRATIONS</v>
      </c>
    </row>
    <row r="1467" spans="1:10" x14ac:dyDescent="0.3">
      <c r="A1467" t="str">
        <f>""</f>
        <v/>
      </c>
      <c r="G1467" t="str">
        <f>"201707053318"</f>
        <v>201707053318</v>
      </c>
      <c r="H1467" t="str">
        <f t="shared" si="11"/>
        <v>VEHICLE REGISTRATIONS</v>
      </c>
      <c r="I1467" s="2">
        <v>7.5</v>
      </c>
      <c r="J1467" t="str">
        <f t="shared" si="12"/>
        <v>VEHICLE REGISTRATIONS</v>
      </c>
    </row>
    <row r="1468" spans="1:10" x14ac:dyDescent="0.3">
      <c r="A1468" t="str">
        <f>""</f>
        <v/>
      </c>
      <c r="G1468" t="str">
        <f>"201707053319"</f>
        <v>201707053319</v>
      </c>
      <c r="H1468" t="str">
        <f t="shared" si="11"/>
        <v>VEHICLE REGISTRATIONS</v>
      </c>
      <c r="I1468" s="2">
        <v>7.5</v>
      </c>
      <c r="J1468" t="str">
        <f t="shared" si="12"/>
        <v>VEHICLE REGISTRATIONS</v>
      </c>
    </row>
    <row r="1469" spans="1:10" x14ac:dyDescent="0.3">
      <c r="A1469" t="str">
        <f>""</f>
        <v/>
      </c>
      <c r="G1469" t="str">
        <f>"201707053320"</f>
        <v>201707053320</v>
      </c>
      <c r="H1469" t="str">
        <f t="shared" si="11"/>
        <v>VEHICLE REGISTRATIONS</v>
      </c>
      <c r="I1469" s="2">
        <v>7.5</v>
      </c>
      <c r="J1469" t="str">
        <f t="shared" si="12"/>
        <v>VEHICLE REGISTRATIONS</v>
      </c>
    </row>
    <row r="1470" spans="1:10" x14ac:dyDescent="0.3">
      <c r="A1470" t="str">
        <f>""</f>
        <v/>
      </c>
      <c r="G1470" t="str">
        <f>"201707053321"</f>
        <v>201707053321</v>
      </c>
      <c r="H1470" t="str">
        <f t="shared" si="11"/>
        <v>VEHICLE REGISTRATIONS</v>
      </c>
      <c r="I1470" s="2">
        <v>7.5</v>
      </c>
      <c r="J1470" t="str">
        <f t="shared" si="12"/>
        <v>VEHICLE REGISTRATIONS</v>
      </c>
    </row>
    <row r="1471" spans="1:10" x14ac:dyDescent="0.3">
      <c r="A1471" t="str">
        <f>""</f>
        <v/>
      </c>
      <c r="G1471" t="str">
        <f>"201707053322"</f>
        <v>201707053322</v>
      </c>
      <c r="H1471" t="str">
        <f t="shared" si="11"/>
        <v>VEHICLE REGISTRATIONS</v>
      </c>
      <c r="I1471" s="2">
        <v>7.5</v>
      </c>
      <c r="J1471" t="str">
        <f t="shared" si="12"/>
        <v>VEHICLE REGISTRATIONS</v>
      </c>
    </row>
    <row r="1472" spans="1:10" x14ac:dyDescent="0.3">
      <c r="A1472" t="str">
        <f>""</f>
        <v/>
      </c>
      <c r="G1472" t="str">
        <f>"201707053323"</f>
        <v>201707053323</v>
      </c>
      <c r="H1472" t="str">
        <f t="shared" si="11"/>
        <v>VEHICLE REGISTRATIONS</v>
      </c>
      <c r="I1472" s="2">
        <v>7.5</v>
      </c>
      <c r="J1472" t="str">
        <f t="shared" si="12"/>
        <v>VEHICLE REGISTRATIONS</v>
      </c>
    </row>
    <row r="1473" spans="1:10" x14ac:dyDescent="0.3">
      <c r="A1473" t="str">
        <f>""</f>
        <v/>
      </c>
      <c r="G1473" t="str">
        <f>"201707053324"</f>
        <v>201707053324</v>
      </c>
      <c r="H1473" t="str">
        <f t="shared" si="11"/>
        <v>VEHICLE REGISTRATIONS</v>
      </c>
      <c r="I1473" s="2">
        <v>7.5</v>
      </c>
      <c r="J1473" t="str">
        <f t="shared" si="12"/>
        <v>VEHICLE REGISTRATIONS</v>
      </c>
    </row>
    <row r="1474" spans="1:10" x14ac:dyDescent="0.3">
      <c r="A1474" t="str">
        <f>"002312"</f>
        <v>002312</v>
      </c>
      <c r="B1474" t="s">
        <v>468</v>
      </c>
      <c r="C1474">
        <v>71535</v>
      </c>
      <c r="D1474" s="2">
        <v>1498.9</v>
      </c>
      <c r="E1474" s="1">
        <v>42926</v>
      </c>
      <c r="F1474" t="s">
        <v>11</v>
      </c>
      <c r="G1474" t="str">
        <f>"14484"</f>
        <v>14484</v>
      </c>
      <c r="H1474" t="str">
        <f>"RECYCLED BASE/PCT#2"</f>
        <v>RECYCLED BASE/PCT#2</v>
      </c>
      <c r="I1474" s="2">
        <v>1276.5</v>
      </c>
      <c r="J1474" t="str">
        <f>"RECYCLED BASE/PCT#2"</f>
        <v>RECYCLED BASE/PCT#2</v>
      </c>
    </row>
    <row r="1475" spans="1:10" x14ac:dyDescent="0.3">
      <c r="A1475" t="str">
        <f>""</f>
        <v/>
      </c>
      <c r="G1475" t="str">
        <f>"14534"</f>
        <v>14534</v>
      </c>
      <c r="H1475" t="str">
        <f>"RECYCLED BASE/PCT#2"</f>
        <v>RECYCLED BASE/PCT#2</v>
      </c>
      <c r="I1475" s="2">
        <v>222.4</v>
      </c>
      <c r="J1475" t="str">
        <f>"RECYCLED BASE/TRUCK#FM2036"</f>
        <v>RECYCLED BASE/TRUCK#FM2036</v>
      </c>
    </row>
    <row r="1476" spans="1:10" x14ac:dyDescent="0.3">
      <c r="A1476" t="str">
        <f>"002312"</f>
        <v>002312</v>
      </c>
      <c r="B1476" t="s">
        <v>468</v>
      </c>
      <c r="C1476">
        <v>71876</v>
      </c>
      <c r="D1476" s="2">
        <v>15438.14</v>
      </c>
      <c r="E1476" s="1">
        <v>42940</v>
      </c>
      <c r="F1476" t="s">
        <v>11</v>
      </c>
      <c r="G1476" t="str">
        <f>"14588"</f>
        <v>14588</v>
      </c>
      <c r="H1476" t="str">
        <f>"MATERIALS/PCT#2"</f>
        <v>MATERIALS/PCT#2</v>
      </c>
      <c r="I1476" s="2">
        <v>1133.8499999999999</v>
      </c>
      <c r="J1476" t="str">
        <f>"MATERIALS/PCT#2"</f>
        <v>MATERIALS/PCT#2</v>
      </c>
    </row>
    <row r="1477" spans="1:10" x14ac:dyDescent="0.3">
      <c r="A1477" t="str">
        <f>""</f>
        <v/>
      </c>
      <c r="G1477" t="str">
        <f>"14622"</f>
        <v>14622</v>
      </c>
      <c r="H1477" t="str">
        <f>"MATERIALS/PCT#2"</f>
        <v>MATERIALS/PCT#2</v>
      </c>
      <c r="I1477" s="2">
        <v>521.54999999999995</v>
      </c>
      <c r="J1477" t="str">
        <f>"MATERIALS/PCT#2"</f>
        <v>MATERIALS/PCT#2</v>
      </c>
    </row>
    <row r="1478" spans="1:10" x14ac:dyDescent="0.3">
      <c r="A1478" t="str">
        <f>""</f>
        <v/>
      </c>
      <c r="G1478" t="str">
        <f>"14633"</f>
        <v>14633</v>
      </c>
      <c r="H1478" t="str">
        <f>"MATERIALS/PCT#2"</f>
        <v>MATERIALS/PCT#2</v>
      </c>
      <c r="I1478" s="2">
        <v>8326.77</v>
      </c>
      <c r="J1478" t="str">
        <f>"MATERIALS/PCT#2"</f>
        <v>MATERIALS/PCT#2</v>
      </c>
    </row>
    <row r="1479" spans="1:10" x14ac:dyDescent="0.3">
      <c r="A1479" t="str">
        <f>""</f>
        <v/>
      </c>
      <c r="G1479" t="str">
        <f>"14648"</f>
        <v>14648</v>
      </c>
      <c r="H1479" t="str">
        <f>"MATERIALS/PCT#2"</f>
        <v>MATERIALS/PCT#2</v>
      </c>
      <c r="I1479" s="2">
        <v>3156.25</v>
      </c>
      <c r="J1479" t="str">
        <f>"MATERIALS/PCT#2"</f>
        <v>MATERIALS/PCT#2</v>
      </c>
    </row>
    <row r="1480" spans="1:10" x14ac:dyDescent="0.3">
      <c r="A1480" t="str">
        <f>""</f>
        <v/>
      </c>
      <c r="G1480" t="str">
        <f>"14662"</f>
        <v>14662</v>
      </c>
      <c r="H1480" t="str">
        <f>"MATERIALS/PCT#2"</f>
        <v>MATERIALS/PCT#2</v>
      </c>
      <c r="I1480" s="2">
        <v>2299.7199999999998</v>
      </c>
      <c r="J1480" t="str">
        <f>"MATERIALS/PCT#2"</f>
        <v>MATERIALS/PCT#2</v>
      </c>
    </row>
    <row r="1481" spans="1:10" x14ac:dyDescent="0.3">
      <c r="A1481" t="str">
        <f>"004401"</f>
        <v>004401</v>
      </c>
      <c r="B1481" t="s">
        <v>469</v>
      </c>
      <c r="C1481">
        <v>71536</v>
      </c>
      <c r="D1481" s="2">
        <v>1690.08</v>
      </c>
      <c r="E1481" s="1">
        <v>42926</v>
      </c>
      <c r="F1481" t="s">
        <v>11</v>
      </c>
      <c r="G1481" t="str">
        <f>"PART4428048"</f>
        <v>PART4428048</v>
      </c>
      <c r="H1481" t="str">
        <f>"CUST#1006635/DOC#50C263425"</f>
        <v>CUST#1006635/DOC#50C263425</v>
      </c>
      <c r="I1481" s="2">
        <v>122.14</v>
      </c>
      <c r="J1481" t="str">
        <f>"CUST#1006635/DOC#50C263425"</f>
        <v>CUST#1006635/DOC#50C263425</v>
      </c>
    </row>
    <row r="1482" spans="1:10" x14ac:dyDescent="0.3">
      <c r="A1482" t="str">
        <f>""</f>
        <v/>
      </c>
      <c r="G1482" t="str">
        <f>"PART4429199"</f>
        <v>PART4429199</v>
      </c>
      <c r="H1482" t="str">
        <f>"CUST#1006635/DOC#50C263425A"</f>
        <v>CUST#1006635/DOC#50C263425A</v>
      </c>
      <c r="I1482" s="2">
        <v>56.09</v>
      </c>
      <c r="J1482" t="str">
        <f>"CUST#1006635/DOC#50C263425A"</f>
        <v>CUST#1006635/DOC#50C263425A</v>
      </c>
    </row>
    <row r="1483" spans="1:10" x14ac:dyDescent="0.3">
      <c r="A1483" t="str">
        <f>""</f>
        <v/>
      </c>
      <c r="G1483" t="str">
        <f>"PART4429200"</f>
        <v>PART4429200</v>
      </c>
      <c r="H1483" t="str">
        <f>"CUST#1006635/DOC#50C263425B"</f>
        <v>CUST#1006635/DOC#50C263425B</v>
      </c>
      <c r="I1483" s="2">
        <v>56.09</v>
      </c>
      <c r="J1483" t="str">
        <f>"CUST#1006635/DOC#50C263425B"</f>
        <v>CUST#1006635/DOC#50C263425B</v>
      </c>
    </row>
    <row r="1484" spans="1:10" x14ac:dyDescent="0.3">
      <c r="A1484" t="str">
        <f>""</f>
        <v/>
      </c>
      <c r="G1484" t="str">
        <f>"PART4429201"</f>
        <v>PART4429201</v>
      </c>
      <c r="H1484" t="str">
        <f>"CUST#1006635/DOC#50C263454A"</f>
        <v>CUST#1006635/DOC#50C263454A</v>
      </c>
      <c r="I1484" s="2">
        <v>138.31</v>
      </c>
      <c r="J1484" t="str">
        <f>"CUST#1006635/DOC#50C263454A"</f>
        <v>CUST#1006635/DOC#50C263454A</v>
      </c>
    </row>
    <row r="1485" spans="1:10" x14ac:dyDescent="0.3">
      <c r="A1485" t="str">
        <f>""</f>
        <v/>
      </c>
      <c r="G1485" t="str">
        <f>"PART4437058"</f>
        <v>PART4437058</v>
      </c>
      <c r="H1485" t="str">
        <f>"CUST#1006635/DOC#50CC264096"</f>
        <v>CUST#1006635/DOC#50CC264096</v>
      </c>
      <c r="I1485" s="2">
        <v>372.36</v>
      </c>
      <c r="J1485" t="str">
        <f>"CUST#1006635/DOC#50CC264096"</f>
        <v>CUST#1006635/DOC#50CC264096</v>
      </c>
    </row>
    <row r="1486" spans="1:10" x14ac:dyDescent="0.3">
      <c r="A1486" t="str">
        <f>""</f>
        <v/>
      </c>
      <c r="G1486" t="str">
        <f>"PART4438143"</f>
        <v>PART4438143</v>
      </c>
      <c r="H1486" t="str">
        <f>"Hydraulic Oil #3096931"</f>
        <v>Hydraulic Oil #3096931</v>
      </c>
      <c r="I1486" s="2">
        <v>930.9</v>
      </c>
      <c r="J1486" t="str">
        <f>"Hydraulic Oil #3096931"</f>
        <v>Hydraulic Oil #3096931</v>
      </c>
    </row>
    <row r="1487" spans="1:10" x14ac:dyDescent="0.3">
      <c r="A1487" t="str">
        <f>""</f>
        <v/>
      </c>
      <c r="G1487" t="str">
        <f>"PART4438144"</f>
        <v>PART4438144</v>
      </c>
      <c r="H1487" t="str">
        <f>"CUST#1006635/DOC#50C264176"</f>
        <v>CUST#1006635/DOC#50C264176</v>
      </c>
      <c r="I1487" s="2">
        <v>14.19</v>
      </c>
      <c r="J1487" t="str">
        <f>"CUST#1006635/DOC#50C264176"</f>
        <v>CUST#1006635/DOC#50C264176</v>
      </c>
    </row>
    <row r="1488" spans="1:10" x14ac:dyDescent="0.3">
      <c r="A1488" t="str">
        <f>"004879"</f>
        <v>004879</v>
      </c>
      <c r="B1488" t="s">
        <v>470</v>
      </c>
      <c r="C1488">
        <v>71877</v>
      </c>
      <c r="D1488" s="2">
        <v>17697.900000000001</v>
      </c>
      <c r="E1488" s="1">
        <v>42940</v>
      </c>
      <c r="F1488" t="s">
        <v>11</v>
      </c>
      <c r="G1488" t="str">
        <f>"201707183683"</f>
        <v>201707183683</v>
      </c>
      <c r="H1488" t="str">
        <f>"CUST#255120"</f>
        <v>CUST#255120</v>
      </c>
      <c r="I1488" s="2">
        <v>17697.900000000001</v>
      </c>
      <c r="J1488" t="str">
        <f>"CUST#255120"</f>
        <v>CUST#255120</v>
      </c>
    </row>
    <row r="1489" spans="1:10" x14ac:dyDescent="0.3">
      <c r="A1489" t="str">
        <f>"005140"</f>
        <v>005140</v>
      </c>
      <c r="B1489" t="s">
        <v>471</v>
      </c>
      <c r="C1489">
        <v>71878</v>
      </c>
      <c r="D1489" s="2">
        <v>8185.51</v>
      </c>
      <c r="E1489" s="1">
        <v>42940</v>
      </c>
      <c r="F1489" t="s">
        <v>11</v>
      </c>
      <c r="G1489" t="str">
        <f>"734"</f>
        <v>734</v>
      </c>
      <c r="H1489" t="str">
        <f>"PROJ#2017.008.00/BASCO COM CTR"</f>
        <v>PROJ#2017.008.00/BASCO COM CTR</v>
      </c>
      <c r="I1489" s="2">
        <v>8185.51</v>
      </c>
      <c r="J1489" t="str">
        <f>"PROJ#2017.008.00/BASCO COM CTR"</f>
        <v>PROJ#2017.008.00/BASCO COM CTR</v>
      </c>
    </row>
    <row r="1490" spans="1:10" x14ac:dyDescent="0.3">
      <c r="A1490" t="str">
        <f>"004766"</f>
        <v>004766</v>
      </c>
      <c r="B1490" t="s">
        <v>353</v>
      </c>
      <c r="C1490">
        <v>71545</v>
      </c>
      <c r="D1490" s="2">
        <v>14600</v>
      </c>
      <c r="E1490" s="1">
        <v>42928</v>
      </c>
      <c r="F1490" t="s">
        <v>11</v>
      </c>
      <c r="G1490" t="str">
        <f>"201707123604"</f>
        <v>201707123604</v>
      </c>
      <c r="H1490" t="str">
        <f>"POT HOLES-COLD MIX / PRECINCT2"</f>
        <v>POT HOLES-COLD MIX / PRECINCT2</v>
      </c>
      <c r="I1490" s="2">
        <v>14600</v>
      </c>
      <c r="J1490" t="str">
        <f>"PAULINE SPURLOCK"</f>
        <v>PAULINE SPURLOCK</v>
      </c>
    </row>
    <row r="1491" spans="1:10" x14ac:dyDescent="0.3">
      <c r="A1491" t="str">
        <f>"T10195"</f>
        <v>T10195</v>
      </c>
      <c r="B1491" t="s">
        <v>472</v>
      </c>
      <c r="C1491">
        <v>71537</v>
      </c>
      <c r="D1491" s="2">
        <v>94899.63</v>
      </c>
      <c r="E1491" s="1">
        <v>42926</v>
      </c>
      <c r="F1491" t="s">
        <v>11</v>
      </c>
      <c r="G1491" t="str">
        <f>"GB00242273"</f>
        <v>GB00242273</v>
      </c>
      <c r="H1491" t="str">
        <f>"CUST#3000414/SOFTWARE"</f>
        <v>CUST#3000414/SOFTWARE</v>
      </c>
      <c r="I1491" s="2">
        <v>94899.63</v>
      </c>
      <c r="J1491" t="str">
        <f>"CUST#3000414/SOFTWARE"</f>
        <v>CUST#3000414/SOFTWARE</v>
      </c>
    </row>
    <row r="1492" spans="1:10" x14ac:dyDescent="0.3">
      <c r="A1492" t="str">
        <f>""</f>
        <v/>
      </c>
      <c r="G1492" t="str">
        <f>""</f>
        <v/>
      </c>
      <c r="H1492" t="str">
        <f>""</f>
        <v/>
      </c>
      <c r="J1492" t="str">
        <f>"CUST#3000414/SOFTWARE"</f>
        <v>CUST#3000414/SOFTWARE</v>
      </c>
    </row>
    <row r="1493" spans="1:10" x14ac:dyDescent="0.3">
      <c r="A1493" t="str">
        <f>"004539"</f>
        <v>004539</v>
      </c>
      <c r="B1493" t="s">
        <v>473</v>
      </c>
      <c r="C1493">
        <v>71538</v>
      </c>
      <c r="D1493" s="2">
        <v>451221.88</v>
      </c>
      <c r="E1493" s="1">
        <v>42926</v>
      </c>
      <c r="F1493" t="s">
        <v>11</v>
      </c>
      <c r="G1493" t="str">
        <f>"160305-9"</f>
        <v>160305-9</v>
      </c>
      <c r="H1493" t="str">
        <f>"PROJECT#BASTROP FIRE STATION#4"</f>
        <v>PROJECT#BASTROP FIRE STATION#4</v>
      </c>
      <c r="I1493" s="2">
        <v>451221.88</v>
      </c>
      <c r="J1493" t="str">
        <f>"PROJECT#BASTROP FIRE STATION#4"</f>
        <v>PROJECT#BASTROP FIRE STATION#4</v>
      </c>
    </row>
    <row r="1494" spans="1:10" x14ac:dyDescent="0.3">
      <c r="A1494" t="str">
        <f>"003986"</f>
        <v>003986</v>
      </c>
      <c r="B1494" t="s">
        <v>474</v>
      </c>
      <c r="C1494">
        <v>71879</v>
      </c>
      <c r="D1494" s="2">
        <v>16296</v>
      </c>
      <c r="E1494" s="1">
        <v>42940</v>
      </c>
      <c r="F1494" t="s">
        <v>11</v>
      </c>
      <c r="G1494" t="str">
        <f>"W002894"</f>
        <v>W002894</v>
      </c>
      <c r="H1494" t="str">
        <f>"ACCT#251108/HAND TRIM"</f>
        <v>ACCT#251108/HAND TRIM</v>
      </c>
      <c r="I1494" s="2">
        <v>16296</v>
      </c>
      <c r="J1494" t="str">
        <f>"ACCT#251108/HAND TRIM"</f>
        <v>ACCT#251108/HAND TRIM</v>
      </c>
    </row>
    <row r="1495" spans="1:10" x14ac:dyDescent="0.3">
      <c r="A1495" t="str">
        <f>"TACUE"</f>
        <v>TACUE</v>
      </c>
      <c r="B1495" t="s">
        <v>408</v>
      </c>
      <c r="C1495">
        <v>0</v>
      </c>
      <c r="D1495" s="2">
        <v>0</v>
      </c>
      <c r="E1495" s="1">
        <v>42926</v>
      </c>
      <c r="F1495" t="s">
        <v>92</v>
      </c>
      <c r="G1495" t="str">
        <f>"201707123607"</f>
        <v>201707123607</v>
      </c>
      <c r="H1495" t="str">
        <f>"TEXAS ASSOC. OF COUNTIES"</f>
        <v>TEXAS ASSOC. OF COUNTIES</v>
      </c>
      <c r="I1495" s="2">
        <v>-32.880000000000003</v>
      </c>
      <c r="J1495" t="str">
        <f>"Check 71539"</f>
        <v>Check 71539</v>
      </c>
    </row>
    <row r="1496" spans="1:10" x14ac:dyDescent="0.3">
      <c r="A1496" t="str">
        <f>""</f>
        <v/>
      </c>
      <c r="G1496" t="str">
        <f>"201707053344"</f>
        <v>201707053344</v>
      </c>
      <c r="H1496" t="str">
        <f t="shared" ref="H1496:H1501" si="13">"UNEMPLOYMENT/2ND QTR 2017"</f>
        <v>UNEMPLOYMENT/2ND QTR 2017</v>
      </c>
      <c r="I1496" s="2">
        <v>32.880000000000003</v>
      </c>
      <c r="J1496" t="str">
        <f>"UNEMPLOYMENT/2ND QTR 2017"</f>
        <v>UNEMPLOYMENT/2ND QTR 2017</v>
      </c>
    </row>
    <row r="1497" spans="1:10" x14ac:dyDescent="0.3">
      <c r="A1497" t="str">
        <f>"TACUE"</f>
        <v>TACUE</v>
      </c>
      <c r="B1497" t="s">
        <v>408</v>
      </c>
      <c r="C1497">
        <v>71539</v>
      </c>
      <c r="D1497" s="2">
        <v>453.26</v>
      </c>
      <c r="E1497" s="1">
        <v>42926</v>
      </c>
      <c r="F1497" t="s">
        <v>35</v>
      </c>
      <c r="G1497" t="str">
        <f>"201707053342"</f>
        <v>201707053342</v>
      </c>
      <c r="H1497" t="str">
        <f t="shared" si="13"/>
        <v>UNEMPLOYMENT/2ND QTR 2017</v>
      </c>
      <c r="I1497" s="2">
        <v>150.13999999999999</v>
      </c>
      <c r="J1497" t="str">
        <f>"UNEMPLOYMENT/2ND QTR 2017"</f>
        <v>UNEMPLOYMENT/2ND QTR 2017</v>
      </c>
    </row>
    <row r="1498" spans="1:10" x14ac:dyDescent="0.3">
      <c r="A1498" t="str">
        <f>""</f>
        <v/>
      </c>
      <c r="G1498" t="str">
        <f>"201707053343"</f>
        <v>201707053343</v>
      </c>
      <c r="H1498" t="str">
        <f t="shared" si="13"/>
        <v>UNEMPLOYMENT/2ND QTR 2017</v>
      </c>
      <c r="I1498" s="2">
        <v>60.05</v>
      </c>
      <c r="J1498" t="str">
        <f>"UNEMPLOYMENT/2ND QTR 2017"</f>
        <v>UNEMPLOYMENT/2ND QTR 2017</v>
      </c>
    </row>
    <row r="1499" spans="1:10" x14ac:dyDescent="0.3">
      <c r="A1499" t="str">
        <f>""</f>
        <v/>
      </c>
      <c r="G1499" t="str">
        <f>"201707053342"</f>
        <v>201707053342</v>
      </c>
      <c r="H1499" t="str">
        <f t="shared" si="13"/>
        <v>UNEMPLOYMENT/2ND QTR 2017</v>
      </c>
      <c r="I1499" s="2">
        <v>150.13999999999999</v>
      </c>
    </row>
    <row r="1500" spans="1:10" x14ac:dyDescent="0.3">
      <c r="A1500" t="str">
        <f>""</f>
        <v/>
      </c>
      <c r="G1500" t="str">
        <f>"201707053343"</f>
        <v>201707053343</v>
      </c>
      <c r="H1500" t="str">
        <f t="shared" si="13"/>
        <v>UNEMPLOYMENT/2ND QTR 2017</v>
      </c>
      <c r="I1500" s="2">
        <v>60.05</v>
      </c>
    </row>
    <row r="1501" spans="1:10" x14ac:dyDescent="0.3">
      <c r="A1501" t="str">
        <f>""</f>
        <v/>
      </c>
      <c r="G1501" t="str">
        <f>"201707053344"</f>
        <v>201707053344</v>
      </c>
      <c r="H1501" t="str">
        <f t="shared" si="13"/>
        <v>UNEMPLOYMENT/2ND QTR 2017</v>
      </c>
      <c r="I1501" s="2">
        <v>32.880000000000003</v>
      </c>
    </row>
    <row r="1502" spans="1:10" x14ac:dyDescent="0.3">
      <c r="A1502" t="str">
        <f>"TACUE"</f>
        <v>TACUE</v>
      </c>
      <c r="B1502" t="s">
        <v>408</v>
      </c>
      <c r="C1502">
        <v>71539</v>
      </c>
      <c r="D1502" s="2">
        <v>243.07</v>
      </c>
      <c r="E1502" s="1">
        <v>42926</v>
      </c>
      <c r="F1502" t="s">
        <v>84</v>
      </c>
      <c r="G1502" t="str">
        <f>"CHECK"</f>
        <v>CHECK</v>
      </c>
      <c r="H1502" t="str">
        <f>""</f>
        <v/>
      </c>
      <c r="I1502" s="2">
        <v>243.07</v>
      </c>
    </row>
    <row r="1503" spans="1:10" x14ac:dyDescent="0.3">
      <c r="A1503" t="str">
        <f>"TCSC"</f>
        <v>TCSC</v>
      </c>
      <c r="B1503" t="s">
        <v>410</v>
      </c>
      <c r="C1503">
        <v>71357</v>
      </c>
      <c r="D1503" s="2">
        <v>6689.37</v>
      </c>
      <c r="E1503" s="1">
        <v>42922</v>
      </c>
      <c r="F1503" t="s">
        <v>11</v>
      </c>
      <c r="G1503" t="str">
        <f>"26593"</f>
        <v>26593</v>
      </c>
      <c r="H1503" t="str">
        <f t="shared" ref="H1503:H1508" si="14">"BASE / PRECINCT #4"</f>
        <v>BASE / PRECINCT #4</v>
      </c>
      <c r="I1503" s="2">
        <v>1111.32</v>
      </c>
      <c r="J1503" t="str">
        <f t="shared" ref="J1503:J1508" si="15">"BASE / PRECINCT #4"</f>
        <v>BASE / PRECINCT #4</v>
      </c>
    </row>
    <row r="1504" spans="1:10" x14ac:dyDescent="0.3">
      <c r="A1504" t="str">
        <f>""</f>
        <v/>
      </c>
      <c r="G1504" t="str">
        <f>"26826"</f>
        <v>26826</v>
      </c>
      <c r="H1504" t="str">
        <f t="shared" si="14"/>
        <v>BASE / PRECINCT #4</v>
      </c>
      <c r="I1504" s="2">
        <v>1108.9000000000001</v>
      </c>
      <c r="J1504" t="str">
        <f t="shared" si="15"/>
        <v>BASE / PRECINCT #4</v>
      </c>
    </row>
    <row r="1505" spans="1:10" x14ac:dyDescent="0.3">
      <c r="A1505" t="str">
        <f>""</f>
        <v/>
      </c>
      <c r="G1505" t="str">
        <f>"27039"</f>
        <v>27039</v>
      </c>
      <c r="H1505" t="str">
        <f t="shared" si="14"/>
        <v>BASE / PRECINCT #4</v>
      </c>
      <c r="I1505" s="2">
        <v>1252.05</v>
      </c>
      <c r="J1505" t="str">
        <f t="shared" si="15"/>
        <v>BASE / PRECINCT #4</v>
      </c>
    </row>
    <row r="1506" spans="1:10" x14ac:dyDescent="0.3">
      <c r="A1506" t="str">
        <f>""</f>
        <v/>
      </c>
      <c r="G1506" t="str">
        <f>"27195"</f>
        <v>27195</v>
      </c>
      <c r="H1506" t="str">
        <f t="shared" si="14"/>
        <v>BASE / PRECINCT #4</v>
      </c>
      <c r="I1506" s="2">
        <v>1103.28</v>
      </c>
      <c r="J1506" t="str">
        <f t="shared" si="15"/>
        <v>BASE / PRECINCT #4</v>
      </c>
    </row>
    <row r="1507" spans="1:10" x14ac:dyDescent="0.3">
      <c r="A1507" t="str">
        <f>""</f>
        <v/>
      </c>
      <c r="G1507" t="str">
        <f>"27379"</f>
        <v>27379</v>
      </c>
      <c r="H1507" t="str">
        <f t="shared" si="14"/>
        <v>BASE / PRECINCT #4</v>
      </c>
      <c r="I1507" s="2">
        <v>1128.1500000000001</v>
      </c>
      <c r="J1507" t="str">
        <f t="shared" si="15"/>
        <v>BASE / PRECINCT #4</v>
      </c>
    </row>
    <row r="1508" spans="1:10" x14ac:dyDescent="0.3">
      <c r="A1508" t="str">
        <f>""</f>
        <v/>
      </c>
      <c r="G1508" t="str">
        <f>"27635"</f>
        <v>27635</v>
      </c>
      <c r="H1508" t="str">
        <f t="shared" si="14"/>
        <v>BASE / PRECINCT #4</v>
      </c>
      <c r="I1508" s="2">
        <v>985.67</v>
      </c>
      <c r="J1508" t="str">
        <f t="shared" si="15"/>
        <v>BASE / PRECINCT #4</v>
      </c>
    </row>
    <row r="1509" spans="1:10" x14ac:dyDescent="0.3">
      <c r="A1509" t="str">
        <f>"TCSC"</f>
        <v>TCSC</v>
      </c>
      <c r="B1509" t="s">
        <v>410</v>
      </c>
      <c r="C1509">
        <v>71880</v>
      </c>
      <c r="D1509" s="2">
        <v>4375.9399999999996</v>
      </c>
      <c r="E1509" s="1">
        <v>42940</v>
      </c>
      <c r="F1509" t="s">
        <v>11</v>
      </c>
      <c r="G1509" t="str">
        <f>"1574"</f>
        <v>1574</v>
      </c>
      <c r="H1509" t="str">
        <f>"CUST#1574/BASE/PCT#4"</f>
        <v>CUST#1574/BASE/PCT#4</v>
      </c>
      <c r="I1509" s="2">
        <v>560.41</v>
      </c>
      <c r="J1509" t="str">
        <f>"CUST#1574/BASE/PCT#4"</f>
        <v>CUST#1574/BASE/PCT#4</v>
      </c>
    </row>
    <row r="1510" spans="1:10" x14ac:dyDescent="0.3">
      <c r="A1510" t="str">
        <f>""</f>
        <v/>
      </c>
      <c r="G1510" t="str">
        <f>"27852"</f>
        <v>27852</v>
      </c>
      <c r="H1510" t="str">
        <f>"CUST#1574/BASE/PCT#4"</f>
        <v>CUST#1574/BASE/PCT#4</v>
      </c>
      <c r="I1510" s="2">
        <v>861.19</v>
      </c>
      <c r="J1510" t="str">
        <f>"CUST#1574/BASE/PCT#4"</f>
        <v>CUST#1574/BASE/PCT#4</v>
      </c>
    </row>
    <row r="1511" spans="1:10" x14ac:dyDescent="0.3">
      <c r="A1511" t="str">
        <f>""</f>
        <v/>
      </c>
      <c r="G1511" t="str">
        <f>"28056"</f>
        <v>28056</v>
      </c>
      <c r="H1511" t="str">
        <f>"CUST#1574/BASE/PCT#4"</f>
        <v>CUST#1574/BASE/PCT#4</v>
      </c>
      <c r="I1511" s="2">
        <v>1540.39</v>
      </c>
      <c r="J1511" t="str">
        <f>"CUST#1574/BASE/PCT#4"</f>
        <v>CUST#1574/BASE/PCT#4</v>
      </c>
    </row>
    <row r="1512" spans="1:10" x14ac:dyDescent="0.3">
      <c r="A1512" t="str">
        <f>""</f>
        <v/>
      </c>
      <c r="G1512" t="str">
        <f>"28199"</f>
        <v>28199</v>
      </c>
      <c r="H1512" t="str">
        <f>"CUST#1574/BASE/PCT#4"</f>
        <v>CUST#1574/BASE/PCT#4</v>
      </c>
      <c r="I1512" s="2">
        <v>705.43</v>
      </c>
      <c r="J1512" t="str">
        <f>"CUST#1574/BASE/PCT#4"</f>
        <v>CUST#1574/BASE/PCT#4</v>
      </c>
    </row>
    <row r="1513" spans="1:10" x14ac:dyDescent="0.3">
      <c r="A1513" t="str">
        <f>""</f>
        <v/>
      </c>
      <c r="G1513" t="str">
        <f>"28404"</f>
        <v>28404</v>
      </c>
      <c r="H1513" t="str">
        <f>"CUST#1574/BASE/PCT#4"</f>
        <v>CUST#1574/BASE/PCT#4</v>
      </c>
      <c r="I1513" s="2">
        <v>708.52</v>
      </c>
      <c r="J1513" t="str">
        <f>"CUST#1574/BASE/PCT#4"</f>
        <v>CUST#1574/BASE/PCT#4</v>
      </c>
    </row>
    <row r="1514" spans="1:10" x14ac:dyDescent="0.3">
      <c r="A1514" t="str">
        <f>"003484"</f>
        <v>003484</v>
      </c>
      <c r="B1514" t="s">
        <v>418</v>
      </c>
      <c r="C1514">
        <v>71540</v>
      </c>
      <c r="D1514" s="2">
        <v>7969.27</v>
      </c>
      <c r="E1514" s="1">
        <v>42926</v>
      </c>
      <c r="F1514" t="s">
        <v>11</v>
      </c>
      <c r="G1514" t="str">
        <f>"90001485"</f>
        <v>90001485</v>
      </c>
      <c r="H1514" t="str">
        <f>"GRANT EXPENSES/HEALTH FOREST"</f>
        <v>GRANT EXPENSES/HEALTH FOREST</v>
      </c>
      <c r="I1514" s="2">
        <v>7969.27</v>
      </c>
      <c r="J1514" t="str">
        <f>"GRANT EXPENSES/HEALTH FOREST"</f>
        <v>GRANT EXPENSES/HEALTH FOREST</v>
      </c>
    </row>
    <row r="1515" spans="1:10" x14ac:dyDescent="0.3">
      <c r="A1515" t="str">
        <f>"WALMAR"</f>
        <v>WALMAR</v>
      </c>
      <c r="B1515" t="s">
        <v>447</v>
      </c>
      <c r="C1515">
        <v>71541</v>
      </c>
      <c r="D1515" s="2">
        <v>43.51</v>
      </c>
      <c r="E1515" s="1">
        <v>42926</v>
      </c>
      <c r="F1515" t="s">
        <v>11</v>
      </c>
      <c r="G1515" t="str">
        <f>"ACCT #2476"</f>
        <v>ACCT #2476</v>
      </c>
      <c r="H1515" t="str">
        <f>"Acct# 6032202005312476"</f>
        <v>Acct# 6032202005312476</v>
      </c>
      <c r="I1515" s="2">
        <v>43.51</v>
      </c>
      <c r="J1515" t="str">
        <f>"Inv# 000254"</f>
        <v>Inv# 000254</v>
      </c>
    </row>
    <row r="1516" spans="1:10" x14ac:dyDescent="0.3">
      <c r="A1516" t="str">
        <f>"ALLSTA"</f>
        <v>ALLSTA</v>
      </c>
      <c r="B1516" t="s">
        <v>475</v>
      </c>
      <c r="C1516">
        <v>0</v>
      </c>
      <c r="D1516" s="2">
        <v>10528.59</v>
      </c>
      <c r="E1516" s="1">
        <v>42947</v>
      </c>
      <c r="F1516" t="s">
        <v>35</v>
      </c>
      <c r="G1516" t="str">
        <f>"201707313952"</f>
        <v>201707313952</v>
      </c>
      <c r="H1516" t="str">
        <f>"ALLSTATE-AMERICAN HERITAGE LIF"</f>
        <v>ALLSTATE-AMERICAN HERITAGE LIF</v>
      </c>
      <c r="I1516" s="2">
        <v>7.0000000000000007E-2</v>
      </c>
      <c r="J1516" t="str">
        <f>"ALLSTATE-AMERICAN HERITAGE LIF"</f>
        <v>ALLSTATE-AMERICAN HERITAGE LIF</v>
      </c>
    </row>
    <row r="1517" spans="1:10" x14ac:dyDescent="0.3">
      <c r="A1517" t="str">
        <f>""</f>
        <v/>
      </c>
      <c r="G1517" t="str">
        <f>"AS 201707123599"</f>
        <v>AS 201707123599</v>
      </c>
      <c r="H1517" t="str">
        <f t="shared" ref="H1517:H1530" si="16">"ALLSTATE"</f>
        <v>ALLSTATE</v>
      </c>
      <c r="I1517" s="2">
        <v>1195.93</v>
      </c>
      <c r="J1517" t="str">
        <f t="shared" ref="J1517:J1530" si="17">"ALLSTATE"</f>
        <v>ALLSTATE</v>
      </c>
    </row>
    <row r="1518" spans="1:10" x14ac:dyDescent="0.3">
      <c r="A1518" t="str">
        <f>""</f>
        <v/>
      </c>
      <c r="G1518" t="str">
        <f>"AS 201707123600"</f>
        <v>AS 201707123600</v>
      </c>
      <c r="H1518" t="str">
        <f t="shared" si="16"/>
        <v>ALLSTATE</v>
      </c>
      <c r="I1518" s="2">
        <v>36.14</v>
      </c>
      <c r="J1518" t="str">
        <f t="shared" si="17"/>
        <v>ALLSTATE</v>
      </c>
    </row>
    <row r="1519" spans="1:10" x14ac:dyDescent="0.3">
      <c r="A1519" t="str">
        <f>""</f>
        <v/>
      </c>
      <c r="G1519" t="str">
        <f>"AS 201707263863"</f>
        <v>AS 201707263863</v>
      </c>
      <c r="H1519" t="str">
        <f t="shared" si="16"/>
        <v>ALLSTATE</v>
      </c>
      <c r="I1519" s="2">
        <v>1123.6500000000001</v>
      </c>
      <c r="J1519" t="str">
        <f t="shared" si="17"/>
        <v>ALLSTATE</v>
      </c>
    </row>
    <row r="1520" spans="1:10" x14ac:dyDescent="0.3">
      <c r="A1520" t="str">
        <f>""</f>
        <v/>
      </c>
      <c r="G1520" t="str">
        <f>"AS 201707263864"</f>
        <v>AS 201707263864</v>
      </c>
      <c r="H1520" t="str">
        <f t="shared" si="16"/>
        <v>ALLSTATE</v>
      </c>
      <c r="I1520" s="2">
        <v>36.14</v>
      </c>
      <c r="J1520" t="str">
        <f t="shared" si="17"/>
        <v>ALLSTATE</v>
      </c>
    </row>
    <row r="1521" spans="1:10" x14ac:dyDescent="0.3">
      <c r="A1521" t="str">
        <f>""</f>
        <v/>
      </c>
      <c r="G1521" t="str">
        <f>"ASD201707123599"</f>
        <v>ASD201707123599</v>
      </c>
      <c r="H1521" t="str">
        <f t="shared" si="16"/>
        <v>ALLSTATE</v>
      </c>
      <c r="I1521" s="2">
        <v>411.36</v>
      </c>
      <c r="J1521" t="str">
        <f t="shared" si="17"/>
        <v>ALLSTATE</v>
      </c>
    </row>
    <row r="1522" spans="1:10" x14ac:dyDescent="0.3">
      <c r="A1522" t="str">
        <f>""</f>
        <v/>
      </c>
      <c r="G1522" t="str">
        <f>"ASD201707263863"</f>
        <v>ASD201707263863</v>
      </c>
      <c r="H1522" t="str">
        <f t="shared" si="16"/>
        <v>ALLSTATE</v>
      </c>
      <c r="I1522" s="2">
        <v>411.36</v>
      </c>
      <c r="J1522" t="str">
        <f t="shared" si="17"/>
        <v>ALLSTATE</v>
      </c>
    </row>
    <row r="1523" spans="1:10" x14ac:dyDescent="0.3">
      <c r="A1523" t="str">
        <f>""</f>
        <v/>
      </c>
      <c r="G1523" t="str">
        <f>"ASI201707123599"</f>
        <v>ASI201707123599</v>
      </c>
      <c r="H1523" t="str">
        <f t="shared" si="16"/>
        <v>ALLSTATE</v>
      </c>
      <c r="I1523" s="2">
        <v>1349.19</v>
      </c>
      <c r="J1523" t="str">
        <f t="shared" si="17"/>
        <v>ALLSTATE</v>
      </c>
    </row>
    <row r="1524" spans="1:10" x14ac:dyDescent="0.3">
      <c r="A1524" t="str">
        <f>""</f>
        <v/>
      </c>
      <c r="G1524" t="str">
        <f>"ASI201707123600"</f>
        <v>ASI201707123600</v>
      </c>
      <c r="H1524" t="str">
        <f t="shared" si="16"/>
        <v>ALLSTATE</v>
      </c>
      <c r="I1524" s="2">
        <v>100.63</v>
      </c>
      <c r="J1524" t="str">
        <f t="shared" si="17"/>
        <v>ALLSTATE</v>
      </c>
    </row>
    <row r="1525" spans="1:10" x14ac:dyDescent="0.3">
      <c r="A1525" t="str">
        <f>""</f>
        <v/>
      </c>
      <c r="G1525" t="str">
        <f>"ASI201707263863"</f>
        <v>ASI201707263863</v>
      </c>
      <c r="H1525" t="str">
        <f t="shared" si="16"/>
        <v>ALLSTATE</v>
      </c>
      <c r="I1525" s="2">
        <v>1310.89</v>
      </c>
      <c r="J1525" t="str">
        <f t="shared" si="17"/>
        <v>ALLSTATE</v>
      </c>
    </row>
    <row r="1526" spans="1:10" x14ac:dyDescent="0.3">
      <c r="A1526" t="str">
        <f>""</f>
        <v/>
      </c>
      <c r="G1526" t="str">
        <f>"ASI201707263864"</f>
        <v>ASI201707263864</v>
      </c>
      <c r="H1526" t="str">
        <f t="shared" si="16"/>
        <v>ALLSTATE</v>
      </c>
      <c r="I1526" s="2">
        <v>100.63</v>
      </c>
      <c r="J1526" t="str">
        <f t="shared" si="17"/>
        <v>ALLSTATE</v>
      </c>
    </row>
    <row r="1527" spans="1:10" x14ac:dyDescent="0.3">
      <c r="A1527" t="str">
        <f>""</f>
        <v/>
      </c>
      <c r="G1527" t="str">
        <f>"AST201707123599"</f>
        <v>AST201707123599</v>
      </c>
      <c r="H1527" t="str">
        <f t="shared" si="16"/>
        <v>ALLSTATE</v>
      </c>
      <c r="I1527" s="2">
        <v>2162.06</v>
      </c>
      <c r="J1527" t="str">
        <f t="shared" si="17"/>
        <v>ALLSTATE</v>
      </c>
    </row>
    <row r="1528" spans="1:10" x14ac:dyDescent="0.3">
      <c r="A1528" t="str">
        <f>""</f>
        <v/>
      </c>
      <c r="G1528" t="str">
        <f>"AST201707123600"</f>
        <v>AST201707123600</v>
      </c>
      <c r="H1528" t="str">
        <f t="shared" si="16"/>
        <v>ALLSTATE</v>
      </c>
      <c r="I1528" s="2">
        <v>119.47</v>
      </c>
      <c r="J1528" t="str">
        <f t="shared" si="17"/>
        <v>ALLSTATE</v>
      </c>
    </row>
    <row r="1529" spans="1:10" x14ac:dyDescent="0.3">
      <c r="A1529" t="str">
        <f>""</f>
        <v/>
      </c>
      <c r="G1529" t="str">
        <f>"AST201707263863"</f>
        <v>AST201707263863</v>
      </c>
      <c r="H1529" t="str">
        <f t="shared" si="16"/>
        <v>ALLSTATE</v>
      </c>
      <c r="I1529" s="2">
        <v>2051.6</v>
      </c>
      <c r="J1529" t="str">
        <f t="shared" si="17"/>
        <v>ALLSTATE</v>
      </c>
    </row>
    <row r="1530" spans="1:10" x14ac:dyDescent="0.3">
      <c r="A1530" t="str">
        <f>""</f>
        <v/>
      </c>
      <c r="G1530" t="str">
        <f>"AST201707263864"</f>
        <v>AST201707263864</v>
      </c>
      <c r="H1530" t="str">
        <f t="shared" si="16"/>
        <v>ALLSTATE</v>
      </c>
      <c r="I1530" s="2">
        <v>119.47</v>
      </c>
      <c r="J1530" t="str">
        <f t="shared" si="17"/>
        <v>ALLSTATE</v>
      </c>
    </row>
    <row r="1531" spans="1:10" x14ac:dyDescent="0.3">
      <c r="A1531" t="str">
        <f>"002234"</f>
        <v>002234</v>
      </c>
      <c r="B1531" t="s">
        <v>476</v>
      </c>
      <c r="C1531">
        <v>0</v>
      </c>
      <c r="D1531" s="2">
        <v>1560</v>
      </c>
      <c r="E1531" s="1">
        <v>42947</v>
      </c>
      <c r="F1531" t="s">
        <v>35</v>
      </c>
      <c r="G1531" t="str">
        <f>"BAS201707123599"</f>
        <v>BAS201707123599</v>
      </c>
      <c r="H1531" t="str">
        <f>"B.A.S.E."</f>
        <v>B.A.S.E.</v>
      </c>
      <c r="I1531" s="2">
        <v>780</v>
      </c>
      <c r="J1531" t="str">
        <f>"B.A.S.E."</f>
        <v>B.A.S.E.</v>
      </c>
    </row>
    <row r="1532" spans="1:10" x14ac:dyDescent="0.3">
      <c r="A1532" t="str">
        <f>""</f>
        <v/>
      </c>
      <c r="G1532" t="str">
        <f>"BAS201707263863"</f>
        <v>BAS201707263863</v>
      </c>
      <c r="H1532" t="str">
        <f>"B.A.S.E."</f>
        <v>B.A.S.E.</v>
      </c>
      <c r="I1532" s="2">
        <v>780</v>
      </c>
      <c r="J1532" t="str">
        <f>"B.A.S.E."</f>
        <v>B.A.S.E.</v>
      </c>
    </row>
    <row r="1533" spans="1:10" x14ac:dyDescent="0.3">
      <c r="A1533" t="str">
        <f>"T12180"</f>
        <v>T12180</v>
      </c>
      <c r="B1533" t="s">
        <v>477</v>
      </c>
      <c r="C1533">
        <v>0</v>
      </c>
      <c r="D1533" s="2">
        <v>3347.12</v>
      </c>
      <c r="E1533" s="1">
        <v>42930</v>
      </c>
      <c r="F1533" t="s">
        <v>35</v>
      </c>
      <c r="G1533" t="str">
        <f>"DDP201707123601"</f>
        <v>DDP201707123601</v>
      </c>
      <c r="H1533" t="str">
        <f>"AP - TEXAS DISCOUNT DENTAL"</f>
        <v>AP - TEXAS DISCOUNT DENTAL</v>
      </c>
      <c r="I1533" s="2">
        <v>6.53</v>
      </c>
      <c r="J1533" t="str">
        <f>"AP - TEXAS DISCOUNT DENTAL"</f>
        <v>AP - TEXAS DISCOUNT DENTAL</v>
      </c>
    </row>
    <row r="1534" spans="1:10" x14ac:dyDescent="0.3">
      <c r="A1534" t="str">
        <f>""</f>
        <v/>
      </c>
      <c r="G1534" t="str">
        <f>"DHM201707123601"</f>
        <v>DHM201707123601</v>
      </c>
      <c r="H1534" t="str">
        <f>"AP - DENTAL HMO"</f>
        <v>AP - DENTAL HMO</v>
      </c>
      <c r="I1534" s="2">
        <v>35.49</v>
      </c>
      <c r="J1534" t="str">
        <f>"AP - DENTAL HMO"</f>
        <v>AP - DENTAL HMO</v>
      </c>
    </row>
    <row r="1535" spans="1:10" x14ac:dyDescent="0.3">
      <c r="A1535" t="str">
        <f>""</f>
        <v/>
      </c>
      <c r="G1535" t="str">
        <f>"DTX201707123601"</f>
        <v>DTX201707123601</v>
      </c>
      <c r="H1535" t="str">
        <f>"AP - TEXAS DENTAL"</f>
        <v>AP - TEXAS DENTAL</v>
      </c>
      <c r="I1535" s="2">
        <v>390.47</v>
      </c>
      <c r="J1535" t="str">
        <f>"AP - TEXAS DENTAL"</f>
        <v>AP - TEXAS DENTAL</v>
      </c>
    </row>
    <row r="1536" spans="1:10" x14ac:dyDescent="0.3">
      <c r="A1536" t="str">
        <f>""</f>
        <v/>
      </c>
      <c r="G1536" t="str">
        <f>"FD 201707123601"</f>
        <v>FD 201707123601</v>
      </c>
      <c r="H1536" t="str">
        <f>"AP - FT DEARBORN PRE-TAX"</f>
        <v>AP - FT DEARBORN PRE-TAX</v>
      </c>
      <c r="I1536" s="2">
        <v>206.34</v>
      </c>
      <c r="J1536" t="str">
        <f>"AP - FT DEARBORN PRE-TAX"</f>
        <v>AP - FT DEARBORN PRE-TAX</v>
      </c>
    </row>
    <row r="1537" spans="1:10" x14ac:dyDescent="0.3">
      <c r="A1537" t="str">
        <f>""</f>
        <v/>
      </c>
      <c r="G1537" t="str">
        <f>"FDT201707123601"</f>
        <v>FDT201707123601</v>
      </c>
      <c r="H1537" t="str">
        <f>"AP - FT DEARBORN AFTER TAX"</f>
        <v>AP - FT DEARBORN AFTER TAX</v>
      </c>
      <c r="I1537" s="2">
        <v>87.75</v>
      </c>
      <c r="J1537" t="str">
        <f>"AP - FT DEARBORN AFTER TAX"</f>
        <v>AP - FT DEARBORN AFTER TAX</v>
      </c>
    </row>
    <row r="1538" spans="1:10" x14ac:dyDescent="0.3">
      <c r="A1538" t="str">
        <f>""</f>
        <v/>
      </c>
      <c r="G1538" t="str">
        <f>"FLX201707123601"</f>
        <v>FLX201707123601</v>
      </c>
      <c r="H1538" t="str">
        <f>"AP - TEX FLEX"</f>
        <v>AP - TEX FLEX</v>
      </c>
      <c r="I1538" s="2">
        <v>364</v>
      </c>
      <c r="J1538" t="str">
        <f>"AP - TEX FLEX"</f>
        <v>AP - TEX FLEX</v>
      </c>
    </row>
    <row r="1539" spans="1:10" x14ac:dyDescent="0.3">
      <c r="A1539" t="str">
        <f>""</f>
        <v/>
      </c>
      <c r="G1539" t="str">
        <f>"MHS201707123601"</f>
        <v>MHS201707123601</v>
      </c>
      <c r="H1539" t="str">
        <f>"AP - HEALTH SELECT MEDICAL"</f>
        <v>AP - HEALTH SELECT MEDICAL</v>
      </c>
      <c r="I1539" s="2">
        <v>1951.32</v>
      </c>
      <c r="J1539" t="str">
        <f>"AP - HEALTH SELECT MEDICAL"</f>
        <v>AP - HEALTH SELECT MEDICAL</v>
      </c>
    </row>
    <row r="1540" spans="1:10" x14ac:dyDescent="0.3">
      <c r="A1540" t="str">
        <f>""</f>
        <v/>
      </c>
      <c r="G1540" t="str">
        <f>"MSW201707123601"</f>
        <v>MSW201707123601</v>
      </c>
      <c r="H1540" t="str">
        <f>"AP - SCOTT &amp; WHITE MEDICAL"</f>
        <v>AP - SCOTT &amp; WHITE MEDICAL</v>
      </c>
      <c r="I1540" s="2">
        <v>291.82</v>
      </c>
      <c r="J1540" t="str">
        <f>"AP - SCOTT &amp; WHITE MEDICAL"</f>
        <v>AP - SCOTT &amp; WHITE MEDICAL</v>
      </c>
    </row>
    <row r="1541" spans="1:10" x14ac:dyDescent="0.3">
      <c r="A1541" t="str">
        <f>""</f>
        <v/>
      </c>
      <c r="G1541" t="str">
        <f>"SPE201707123601"</f>
        <v>SPE201707123601</v>
      </c>
      <c r="H1541" t="str">
        <f>"AP - STATE VISION"</f>
        <v>AP - STATE VISION</v>
      </c>
      <c r="I1541" s="2">
        <v>13.4</v>
      </c>
      <c r="J1541" t="str">
        <f>"AP - STATE VISION"</f>
        <v>AP - STATE VISION</v>
      </c>
    </row>
    <row r="1542" spans="1:10" x14ac:dyDescent="0.3">
      <c r="A1542" t="str">
        <f>"T12180"</f>
        <v>T12180</v>
      </c>
      <c r="B1542" t="s">
        <v>477</v>
      </c>
      <c r="C1542">
        <v>0</v>
      </c>
      <c r="D1542" s="2">
        <v>3347.12</v>
      </c>
      <c r="E1542" s="1">
        <v>42944</v>
      </c>
      <c r="F1542" t="s">
        <v>35</v>
      </c>
      <c r="G1542" t="str">
        <f>"DDP201707263865"</f>
        <v>DDP201707263865</v>
      </c>
      <c r="H1542" t="str">
        <f>"AP - TEXAS DISCOUNT DENTAL"</f>
        <v>AP - TEXAS DISCOUNT DENTAL</v>
      </c>
      <c r="I1542" s="2">
        <v>6.53</v>
      </c>
      <c r="J1542" t="str">
        <f>"AP - TEXAS DISCOUNT DENTAL"</f>
        <v>AP - TEXAS DISCOUNT DENTAL</v>
      </c>
    </row>
    <row r="1543" spans="1:10" x14ac:dyDescent="0.3">
      <c r="A1543" t="str">
        <f>""</f>
        <v/>
      </c>
      <c r="G1543" t="str">
        <f>"DHM201707263865"</f>
        <v>DHM201707263865</v>
      </c>
      <c r="H1543" t="str">
        <f>"AP - DENTAL HMO"</f>
        <v>AP - DENTAL HMO</v>
      </c>
      <c r="I1543" s="2">
        <v>35.49</v>
      </c>
      <c r="J1543" t="str">
        <f>"AP - DENTAL HMO"</f>
        <v>AP - DENTAL HMO</v>
      </c>
    </row>
    <row r="1544" spans="1:10" x14ac:dyDescent="0.3">
      <c r="A1544" t="str">
        <f>""</f>
        <v/>
      </c>
      <c r="G1544" t="str">
        <f>"DTX201707263865"</f>
        <v>DTX201707263865</v>
      </c>
      <c r="H1544" t="str">
        <f>"AP - TEXAS DENTAL"</f>
        <v>AP - TEXAS DENTAL</v>
      </c>
      <c r="I1544" s="2">
        <v>390.47</v>
      </c>
      <c r="J1544" t="str">
        <f>"AP - TEXAS DENTAL"</f>
        <v>AP - TEXAS DENTAL</v>
      </c>
    </row>
    <row r="1545" spans="1:10" x14ac:dyDescent="0.3">
      <c r="A1545" t="str">
        <f>""</f>
        <v/>
      </c>
      <c r="G1545" t="str">
        <f>"FD 201707263865"</f>
        <v>FD 201707263865</v>
      </c>
      <c r="H1545" t="str">
        <f>"AP - FT DEARBORN PRE-TAX"</f>
        <v>AP - FT DEARBORN PRE-TAX</v>
      </c>
      <c r="I1545" s="2">
        <v>206.34</v>
      </c>
      <c r="J1545" t="str">
        <f>"AP - FT DEARBORN PRE-TAX"</f>
        <v>AP - FT DEARBORN PRE-TAX</v>
      </c>
    </row>
    <row r="1546" spans="1:10" x14ac:dyDescent="0.3">
      <c r="A1546" t="str">
        <f>""</f>
        <v/>
      </c>
      <c r="G1546" t="str">
        <f>"FDT201707263865"</f>
        <v>FDT201707263865</v>
      </c>
      <c r="H1546" t="str">
        <f>"AP - FT DEARBORN AFTER TAX"</f>
        <v>AP - FT DEARBORN AFTER TAX</v>
      </c>
      <c r="I1546" s="2">
        <v>87.75</v>
      </c>
      <c r="J1546" t="str">
        <f>"AP - FT DEARBORN AFTER TAX"</f>
        <v>AP - FT DEARBORN AFTER TAX</v>
      </c>
    </row>
    <row r="1547" spans="1:10" x14ac:dyDescent="0.3">
      <c r="A1547" t="str">
        <f>""</f>
        <v/>
      </c>
      <c r="G1547" t="str">
        <f>"FLX201707263865"</f>
        <v>FLX201707263865</v>
      </c>
      <c r="H1547" t="str">
        <f>"AP - TEX FLEX"</f>
        <v>AP - TEX FLEX</v>
      </c>
      <c r="I1547" s="2">
        <v>364</v>
      </c>
      <c r="J1547" t="str">
        <f>"AP - TEX FLEX"</f>
        <v>AP - TEX FLEX</v>
      </c>
    </row>
    <row r="1548" spans="1:10" x14ac:dyDescent="0.3">
      <c r="A1548" t="str">
        <f>""</f>
        <v/>
      </c>
      <c r="G1548" t="str">
        <f>"MHS201707263865"</f>
        <v>MHS201707263865</v>
      </c>
      <c r="H1548" t="str">
        <f>"AP - HEALTH SELECT MEDICAL"</f>
        <v>AP - HEALTH SELECT MEDICAL</v>
      </c>
      <c r="I1548" s="2">
        <v>1951.32</v>
      </c>
      <c r="J1548" t="str">
        <f>"AP - HEALTH SELECT MEDICAL"</f>
        <v>AP - HEALTH SELECT MEDICAL</v>
      </c>
    </row>
    <row r="1549" spans="1:10" x14ac:dyDescent="0.3">
      <c r="A1549" t="str">
        <f>""</f>
        <v/>
      </c>
      <c r="G1549" t="str">
        <f>"MSW201707263865"</f>
        <v>MSW201707263865</v>
      </c>
      <c r="H1549" t="str">
        <f>"AP - SCOTT &amp; WHITE MEDICAL"</f>
        <v>AP - SCOTT &amp; WHITE MEDICAL</v>
      </c>
      <c r="I1549" s="2">
        <v>291.82</v>
      </c>
      <c r="J1549" t="str">
        <f>"AP - SCOTT &amp; WHITE MEDICAL"</f>
        <v>AP - SCOTT &amp; WHITE MEDICAL</v>
      </c>
    </row>
    <row r="1550" spans="1:10" x14ac:dyDescent="0.3">
      <c r="A1550" t="str">
        <f>""</f>
        <v/>
      </c>
      <c r="G1550" t="str">
        <f>"SPE201707263865"</f>
        <v>SPE201707263865</v>
      </c>
      <c r="H1550" t="str">
        <f>"AP - STATE VISION"</f>
        <v>AP - STATE VISION</v>
      </c>
      <c r="I1550" s="2">
        <v>13.4</v>
      </c>
      <c r="J1550" t="str">
        <f>"AP - STATE VISION"</f>
        <v>AP - STATE VISION</v>
      </c>
    </row>
    <row r="1551" spans="1:10" x14ac:dyDescent="0.3">
      <c r="A1551" t="str">
        <f>"000541"</f>
        <v>000541</v>
      </c>
      <c r="B1551" t="s">
        <v>478</v>
      </c>
      <c r="C1551">
        <v>45723</v>
      </c>
      <c r="D1551" s="2">
        <v>8023.39</v>
      </c>
      <c r="E1551" s="1">
        <v>42930</v>
      </c>
      <c r="F1551" t="s">
        <v>85</v>
      </c>
      <c r="G1551" t="str">
        <f>"45723"</f>
        <v>45723</v>
      </c>
      <c r="H1551" t="str">
        <f>"Mike Fisher last check"</f>
        <v>Mike Fisher last check</v>
      </c>
      <c r="I1551" s="2">
        <v>8023.39</v>
      </c>
      <c r="J1551" t="str">
        <f>"BONNIE FISHER"</f>
        <v>BONNIE FISHER</v>
      </c>
    </row>
    <row r="1552" spans="1:10" x14ac:dyDescent="0.3">
      <c r="A1552" t="str">
        <f>"COLONI"</f>
        <v>COLONI</v>
      </c>
      <c r="B1552" t="s">
        <v>479</v>
      </c>
      <c r="C1552">
        <v>0</v>
      </c>
      <c r="D1552" s="2">
        <v>4865.78</v>
      </c>
      <c r="E1552" s="1">
        <v>42947</v>
      </c>
      <c r="F1552" t="s">
        <v>35</v>
      </c>
      <c r="G1552" t="str">
        <f>"201707313951"</f>
        <v>201707313951</v>
      </c>
      <c r="H1552" t="str">
        <f>"COLONIAL LIFE &amp; ACCIDENT INS."</f>
        <v>COLONIAL LIFE &amp; ACCIDENT INS.</v>
      </c>
      <c r="I1552" s="2">
        <v>-0.14000000000000001</v>
      </c>
      <c r="J1552" t="str">
        <f>"COLONIAL LIFE &amp; ACCIDENT INS."</f>
        <v>COLONIAL LIFE &amp; ACCIDENT INS.</v>
      </c>
    </row>
    <row r="1553" spans="1:10" x14ac:dyDescent="0.3">
      <c r="A1553" t="str">
        <f>""</f>
        <v/>
      </c>
      <c r="G1553" t="str">
        <f>"CL 201707123599"</f>
        <v>CL 201707123599</v>
      </c>
      <c r="H1553" t="str">
        <f t="shared" ref="H1553:H1572" si="18">"COLONIAL"</f>
        <v>COLONIAL</v>
      </c>
      <c r="I1553" s="2">
        <v>753.97</v>
      </c>
      <c r="J1553" t="str">
        <f t="shared" ref="J1553:J1572" si="19">"COLONIAL"</f>
        <v>COLONIAL</v>
      </c>
    </row>
    <row r="1554" spans="1:10" x14ac:dyDescent="0.3">
      <c r="A1554" t="str">
        <f>""</f>
        <v/>
      </c>
      <c r="G1554" t="str">
        <f>"CL 201707123600"</f>
        <v>CL 201707123600</v>
      </c>
      <c r="H1554" t="str">
        <f t="shared" si="18"/>
        <v>COLONIAL</v>
      </c>
      <c r="I1554" s="2">
        <v>14.49</v>
      </c>
      <c r="J1554" t="str">
        <f t="shared" si="19"/>
        <v>COLONIAL</v>
      </c>
    </row>
    <row r="1555" spans="1:10" x14ac:dyDescent="0.3">
      <c r="A1555" t="str">
        <f>""</f>
        <v/>
      </c>
      <c r="G1555" t="str">
        <f>"CL 201707263863"</f>
        <v>CL 201707263863</v>
      </c>
      <c r="H1555" t="str">
        <f t="shared" si="18"/>
        <v>COLONIAL</v>
      </c>
      <c r="I1555" s="2">
        <v>753.97</v>
      </c>
      <c r="J1555" t="str">
        <f t="shared" si="19"/>
        <v>COLONIAL</v>
      </c>
    </row>
    <row r="1556" spans="1:10" x14ac:dyDescent="0.3">
      <c r="A1556" t="str">
        <f>""</f>
        <v/>
      </c>
      <c r="G1556" t="str">
        <f>"CL 201707263864"</f>
        <v>CL 201707263864</v>
      </c>
      <c r="H1556" t="str">
        <f t="shared" si="18"/>
        <v>COLONIAL</v>
      </c>
      <c r="I1556" s="2">
        <v>14.49</v>
      </c>
      <c r="J1556" t="str">
        <f t="shared" si="19"/>
        <v>COLONIAL</v>
      </c>
    </row>
    <row r="1557" spans="1:10" x14ac:dyDescent="0.3">
      <c r="A1557" t="str">
        <f>""</f>
        <v/>
      </c>
      <c r="G1557" t="str">
        <f>"CLC201707123599"</f>
        <v>CLC201707123599</v>
      </c>
      <c r="H1557" t="str">
        <f t="shared" si="18"/>
        <v>COLONIAL</v>
      </c>
      <c r="I1557" s="2">
        <v>100.6</v>
      </c>
      <c r="J1557" t="str">
        <f t="shared" si="19"/>
        <v>COLONIAL</v>
      </c>
    </row>
    <row r="1558" spans="1:10" x14ac:dyDescent="0.3">
      <c r="A1558" t="str">
        <f>""</f>
        <v/>
      </c>
      <c r="G1558" t="str">
        <f>"CLC201707263863"</f>
        <v>CLC201707263863</v>
      </c>
      <c r="H1558" t="str">
        <f t="shared" si="18"/>
        <v>COLONIAL</v>
      </c>
      <c r="I1558" s="2">
        <v>100.6</v>
      </c>
      <c r="J1558" t="str">
        <f t="shared" si="19"/>
        <v>COLONIAL</v>
      </c>
    </row>
    <row r="1559" spans="1:10" x14ac:dyDescent="0.3">
      <c r="A1559" t="str">
        <f>""</f>
        <v/>
      </c>
      <c r="G1559" t="str">
        <f>"CLI201707123599"</f>
        <v>CLI201707123599</v>
      </c>
      <c r="H1559" t="str">
        <f t="shared" si="18"/>
        <v>COLONIAL</v>
      </c>
      <c r="I1559" s="2">
        <v>491.71</v>
      </c>
      <c r="J1559" t="str">
        <f t="shared" si="19"/>
        <v>COLONIAL</v>
      </c>
    </row>
    <row r="1560" spans="1:10" x14ac:dyDescent="0.3">
      <c r="A1560" t="str">
        <f>""</f>
        <v/>
      </c>
      <c r="G1560" t="str">
        <f>"CLI201707263863"</f>
        <v>CLI201707263863</v>
      </c>
      <c r="H1560" t="str">
        <f t="shared" si="18"/>
        <v>COLONIAL</v>
      </c>
      <c r="I1560" s="2">
        <v>491.71</v>
      </c>
      <c r="J1560" t="str">
        <f t="shared" si="19"/>
        <v>COLONIAL</v>
      </c>
    </row>
    <row r="1561" spans="1:10" x14ac:dyDescent="0.3">
      <c r="A1561" t="str">
        <f>""</f>
        <v/>
      </c>
      <c r="G1561" t="str">
        <f>"CLK201707123599"</f>
        <v>CLK201707123599</v>
      </c>
      <c r="H1561" t="str">
        <f t="shared" si="18"/>
        <v>COLONIAL</v>
      </c>
      <c r="I1561" s="2">
        <v>27.09</v>
      </c>
      <c r="J1561" t="str">
        <f t="shared" si="19"/>
        <v>COLONIAL</v>
      </c>
    </row>
    <row r="1562" spans="1:10" x14ac:dyDescent="0.3">
      <c r="A1562" t="str">
        <f>""</f>
        <v/>
      </c>
      <c r="G1562" t="str">
        <f>"CLK201707263863"</f>
        <v>CLK201707263863</v>
      </c>
      <c r="H1562" t="str">
        <f t="shared" si="18"/>
        <v>COLONIAL</v>
      </c>
      <c r="I1562" s="2">
        <v>27.09</v>
      </c>
      <c r="J1562" t="str">
        <f t="shared" si="19"/>
        <v>COLONIAL</v>
      </c>
    </row>
    <row r="1563" spans="1:10" x14ac:dyDescent="0.3">
      <c r="A1563" t="str">
        <f>""</f>
        <v/>
      </c>
      <c r="G1563" t="str">
        <f>"CLS201707123599"</f>
        <v>CLS201707123599</v>
      </c>
      <c r="H1563" t="str">
        <f t="shared" si="18"/>
        <v>COLONIAL</v>
      </c>
      <c r="I1563" s="2">
        <v>340.22</v>
      </c>
      <c r="J1563" t="str">
        <f t="shared" si="19"/>
        <v>COLONIAL</v>
      </c>
    </row>
    <row r="1564" spans="1:10" x14ac:dyDescent="0.3">
      <c r="A1564" t="str">
        <f>""</f>
        <v/>
      </c>
      <c r="G1564" t="str">
        <f>"CLS201707123600"</f>
        <v>CLS201707123600</v>
      </c>
      <c r="H1564" t="str">
        <f t="shared" si="18"/>
        <v>COLONIAL</v>
      </c>
      <c r="I1564" s="2">
        <v>22.47</v>
      </c>
      <c r="J1564" t="str">
        <f t="shared" si="19"/>
        <v>COLONIAL</v>
      </c>
    </row>
    <row r="1565" spans="1:10" x14ac:dyDescent="0.3">
      <c r="A1565" t="str">
        <f>""</f>
        <v/>
      </c>
      <c r="G1565" t="str">
        <f>"CLS201707263863"</f>
        <v>CLS201707263863</v>
      </c>
      <c r="H1565" t="str">
        <f t="shared" si="18"/>
        <v>COLONIAL</v>
      </c>
      <c r="I1565" s="2">
        <v>340.22</v>
      </c>
      <c r="J1565" t="str">
        <f t="shared" si="19"/>
        <v>COLONIAL</v>
      </c>
    </row>
    <row r="1566" spans="1:10" x14ac:dyDescent="0.3">
      <c r="A1566" t="str">
        <f>""</f>
        <v/>
      </c>
      <c r="G1566" t="str">
        <f>"CLS201707263864"</f>
        <v>CLS201707263864</v>
      </c>
      <c r="H1566" t="str">
        <f t="shared" si="18"/>
        <v>COLONIAL</v>
      </c>
      <c r="I1566" s="2">
        <v>22.47</v>
      </c>
      <c r="J1566" t="str">
        <f t="shared" si="19"/>
        <v>COLONIAL</v>
      </c>
    </row>
    <row r="1567" spans="1:10" x14ac:dyDescent="0.3">
      <c r="A1567" t="str">
        <f>""</f>
        <v/>
      </c>
      <c r="G1567" t="str">
        <f>"CLT201707123599"</f>
        <v>CLT201707123599</v>
      </c>
      <c r="H1567" t="str">
        <f t="shared" si="18"/>
        <v>COLONIAL</v>
      </c>
      <c r="I1567" s="2">
        <v>402.75</v>
      </c>
      <c r="J1567" t="str">
        <f t="shared" si="19"/>
        <v>COLONIAL</v>
      </c>
    </row>
    <row r="1568" spans="1:10" x14ac:dyDescent="0.3">
      <c r="A1568" t="str">
        <f>""</f>
        <v/>
      </c>
      <c r="G1568" t="str">
        <f>"CLT201707263863"</f>
        <v>CLT201707263863</v>
      </c>
      <c r="H1568" t="str">
        <f t="shared" si="18"/>
        <v>COLONIAL</v>
      </c>
      <c r="I1568" s="2">
        <v>402.75</v>
      </c>
      <c r="J1568" t="str">
        <f t="shared" si="19"/>
        <v>COLONIAL</v>
      </c>
    </row>
    <row r="1569" spans="1:10" x14ac:dyDescent="0.3">
      <c r="A1569" t="str">
        <f>""</f>
        <v/>
      </c>
      <c r="G1569" t="str">
        <f>"CLU201707123599"</f>
        <v>CLU201707123599</v>
      </c>
      <c r="H1569" t="str">
        <f t="shared" si="18"/>
        <v>COLONIAL</v>
      </c>
      <c r="I1569" s="2">
        <v>236.1</v>
      </c>
      <c r="J1569" t="str">
        <f t="shared" si="19"/>
        <v>COLONIAL</v>
      </c>
    </row>
    <row r="1570" spans="1:10" x14ac:dyDescent="0.3">
      <c r="A1570" t="str">
        <f>""</f>
        <v/>
      </c>
      <c r="G1570" t="str">
        <f>"CLU201707263863"</f>
        <v>CLU201707263863</v>
      </c>
      <c r="H1570" t="str">
        <f t="shared" si="18"/>
        <v>COLONIAL</v>
      </c>
      <c r="I1570" s="2">
        <v>236.1</v>
      </c>
      <c r="J1570" t="str">
        <f t="shared" si="19"/>
        <v>COLONIAL</v>
      </c>
    </row>
    <row r="1571" spans="1:10" x14ac:dyDescent="0.3">
      <c r="A1571" t="str">
        <f>""</f>
        <v/>
      </c>
      <c r="G1571" t="str">
        <f>"CLW201707123599"</f>
        <v>CLW201707123599</v>
      </c>
      <c r="H1571" t="str">
        <f t="shared" si="18"/>
        <v>COLONIAL</v>
      </c>
      <c r="I1571" s="2">
        <v>43.56</v>
      </c>
      <c r="J1571" t="str">
        <f t="shared" si="19"/>
        <v>COLONIAL</v>
      </c>
    </row>
    <row r="1572" spans="1:10" x14ac:dyDescent="0.3">
      <c r="A1572" t="str">
        <f>""</f>
        <v/>
      </c>
      <c r="G1572" t="str">
        <f>"CLW201707263863"</f>
        <v>CLW201707263863</v>
      </c>
      <c r="H1572" t="str">
        <f t="shared" si="18"/>
        <v>COLONIAL</v>
      </c>
      <c r="I1572" s="2">
        <v>43.56</v>
      </c>
      <c r="J1572" t="str">
        <f t="shared" si="19"/>
        <v>COLONIAL</v>
      </c>
    </row>
    <row r="1573" spans="1:10" x14ac:dyDescent="0.3">
      <c r="A1573" t="str">
        <f>"T14390"</f>
        <v>T14390</v>
      </c>
      <c r="B1573" t="s">
        <v>480</v>
      </c>
      <c r="C1573">
        <v>0</v>
      </c>
      <c r="D1573" s="2">
        <v>7179.34</v>
      </c>
      <c r="E1573" s="1">
        <v>42930</v>
      </c>
      <c r="F1573" t="s">
        <v>35</v>
      </c>
      <c r="G1573" t="str">
        <f>"CPI201707123599"</f>
        <v>CPI201707123599</v>
      </c>
      <c r="H1573" t="str">
        <f>"DEFERRED COMP 457B PAYABLE"</f>
        <v>DEFERRED COMP 457B PAYABLE</v>
      </c>
      <c r="I1573" s="2">
        <v>6971.84</v>
      </c>
      <c r="J1573" t="str">
        <f>"DEFERRED COMP 457B PAYABLE"</f>
        <v>DEFERRED COMP 457B PAYABLE</v>
      </c>
    </row>
    <row r="1574" spans="1:10" x14ac:dyDescent="0.3">
      <c r="A1574" t="str">
        <f>""</f>
        <v/>
      </c>
      <c r="G1574" t="str">
        <f>"CPI201707123600"</f>
        <v>CPI201707123600</v>
      </c>
      <c r="H1574" t="str">
        <f>"DEFERRED COMP 457B PAYABLE"</f>
        <v>DEFERRED COMP 457B PAYABLE</v>
      </c>
      <c r="I1574" s="2">
        <v>107.5</v>
      </c>
      <c r="J1574" t="str">
        <f>"DEFERRED COMP 457B PAYABLE"</f>
        <v>DEFERRED COMP 457B PAYABLE</v>
      </c>
    </row>
    <row r="1575" spans="1:10" x14ac:dyDescent="0.3">
      <c r="A1575" t="str">
        <f>""</f>
        <v/>
      </c>
      <c r="G1575" t="str">
        <f>"CPI201707123606"</f>
        <v>CPI201707123606</v>
      </c>
      <c r="H1575" t="str">
        <f>"DEFERRED COMP 457B PAYABLE"</f>
        <v>DEFERRED COMP 457B PAYABLE</v>
      </c>
      <c r="I1575" s="2">
        <v>100</v>
      </c>
      <c r="J1575" t="str">
        <f>"DEFERRED COMP 457B PAYABLE"</f>
        <v>DEFERRED COMP 457B PAYABLE</v>
      </c>
    </row>
    <row r="1576" spans="1:10" x14ac:dyDescent="0.3">
      <c r="A1576" t="str">
        <f>"T14390"</f>
        <v>T14390</v>
      </c>
      <c r="B1576" t="s">
        <v>480</v>
      </c>
      <c r="C1576">
        <v>0</v>
      </c>
      <c r="D1576" s="2">
        <v>7079.4</v>
      </c>
      <c r="E1576" s="1">
        <v>42944</v>
      </c>
      <c r="F1576" t="s">
        <v>35</v>
      </c>
      <c r="G1576" t="str">
        <f>"CPI201707263863"</f>
        <v>CPI201707263863</v>
      </c>
      <c r="H1576" t="str">
        <f>"DEFERRED COMP 457B PAYABLE"</f>
        <v>DEFERRED COMP 457B PAYABLE</v>
      </c>
      <c r="I1576" s="2">
        <v>6971.9</v>
      </c>
      <c r="J1576" t="str">
        <f>"DEFERRED COMP 457B PAYABLE"</f>
        <v>DEFERRED COMP 457B PAYABLE</v>
      </c>
    </row>
    <row r="1577" spans="1:10" x14ac:dyDescent="0.3">
      <c r="A1577" t="str">
        <f>""</f>
        <v/>
      </c>
      <c r="G1577" t="str">
        <f>"CPI201707263864"</f>
        <v>CPI201707263864</v>
      </c>
      <c r="H1577" t="str">
        <f>"DEFERRED COMP 457B PAYABLE"</f>
        <v>DEFERRED COMP 457B PAYABLE</v>
      </c>
      <c r="I1577" s="2">
        <v>107.5</v>
      </c>
      <c r="J1577" t="str">
        <f>"DEFERRED COMP 457B PAYABLE"</f>
        <v>DEFERRED COMP 457B PAYABLE</v>
      </c>
    </row>
    <row r="1578" spans="1:10" x14ac:dyDescent="0.3">
      <c r="A1578" t="str">
        <f>"T10761"</f>
        <v>T10761</v>
      </c>
      <c r="B1578" t="s">
        <v>481</v>
      </c>
      <c r="C1578">
        <v>45721</v>
      </c>
      <c r="D1578" s="2">
        <v>1345.62</v>
      </c>
      <c r="E1578" s="1">
        <v>42930</v>
      </c>
      <c r="F1578" t="s">
        <v>11</v>
      </c>
      <c r="G1578" t="str">
        <f>"B13201707123599"</f>
        <v>B13201707123599</v>
      </c>
      <c r="H1578" t="str">
        <f>"Rosa Warren 15-10357-TMD"</f>
        <v>Rosa Warren 15-10357-TMD</v>
      </c>
      <c r="I1578" s="2">
        <v>853.85</v>
      </c>
      <c r="J1578" t="str">
        <f>"Rosa Warren 15-10357-TMD"</f>
        <v>Rosa Warren 15-10357-TMD</v>
      </c>
    </row>
    <row r="1579" spans="1:10" x14ac:dyDescent="0.3">
      <c r="A1579" t="str">
        <f>""</f>
        <v/>
      </c>
      <c r="G1579" t="str">
        <f>"BJL201707123599"</f>
        <v>BJL201707123599</v>
      </c>
      <c r="H1579" t="str">
        <f>"Julian Luna 14-10230-TMD"</f>
        <v>Julian Luna 14-10230-TMD</v>
      </c>
      <c r="I1579" s="2">
        <v>491.77</v>
      </c>
      <c r="J1579" t="str">
        <f>"Julian Luna 14-10230-TMD"</f>
        <v>Julian Luna 14-10230-TMD</v>
      </c>
    </row>
    <row r="1580" spans="1:10" x14ac:dyDescent="0.3">
      <c r="A1580" t="str">
        <f>"T10761"</f>
        <v>T10761</v>
      </c>
      <c r="B1580" t="s">
        <v>481</v>
      </c>
      <c r="C1580">
        <v>45747</v>
      </c>
      <c r="D1580" s="2">
        <v>1345.62</v>
      </c>
      <c r="E1580" s="1">
        <v>42944</v>
      </c>
      <c r="F1580" t="s">
        <v>11</v>
      </c>
      <c r="G1580" t="str">
        <f>"B13201707263863"</f>
        <v>B13201707263863</v>
      </c>
      <c r="H1580" t="str">
        <f>"Rosa Warren 15-10357-TMD"</f>
        <v>Rosa Warren 15-10357-TMD</v>
      </c>
      <c r="I1580" s="2">
        <v>853.85</v>
      </c>
      <c r="J1580" t="str">
        <f>"Rosa Warren 15-10357-TMD"</f>
        <v>Rosa Warren 15-10357-TMD</v>
      </c>
    </row>
    <row r="1581" spans="1:10" x14ac:dyDescent="0.3">
      <c r="A1581" t="str">
        <f>""</f>
        <v/>
      </c>
      <c r="G1581" t="str">
        <f>"BJL201707263863"</f>
        <v>BJL201707263863</v>
      </c>
      <c r="H1581" t="str">
        <f>"Julian Luna 14-10230-TMD"</f>
        <v>Julian Luna 14-10230-TMD</v>
      </c>
      <c r="I1581" s="2">
        <v>491.77</v>
      </c>
      <c r="J1581" t="str">
        <f>"Julian Luna 14-10230-TMD"</f>
        <v>Julian Luna 14-10230-TMD</v>
      </c>
    </row>
    <row r="1582" spans="1:10" x14ac:dyDescent="0.3">
      <c r="A1582" t="str">
        <f>"GUARD"</f>
        <v>GUARD</v>
      </c>
      <c r="B1582" t="s">
        <v>482</v>
      </c>
      <c r="C1582">
        <v>0</v>
      </c>
      <c r="D1582" s="2">
        <v>37163.18</v>
      </c>
      <c r="E1582" s="1">
        <v>42947</v>
      </c>
      <c r="F1582" t="s">
        <v>35</v>
      </c>
      <c r="G1582" t="str">
        <f>"201707313946"</f>
        <v>201707313946</v>
      </c>
      <c r="H1582" t="str">
        <f>"GUARDIAN life rounding"</f>
        <v>GUARDIAN life rounding</v>
      </c>
      <c r="I1582" s="2">
        <v>-0.32</v>
      </c>
      <c r="J1582" t="str">
        <f>"GUARDIAN life rounding"</f>
        <v>GUARDIAN life rounding</v>
      </c>
    </row>
    <row r="1583" spans="1:10" x14ac:dyDescent="0.3">
      <c r="A1583" t="str">
        <f>""</f>
        <v/>
      </c>
      <c r="G1583" t="str">
        <f>"201707313942"</f>
        <v>201707313942</v>
      </c>
      <c r="H1583" t="str">
        <f>"Retiree July 2017"</f>
        <v>Retiree July 2017</v>
      </c>
      <c r="I1583" s="2">
        <v>2821.76</v>
      </c>
      <c r="J1583" t="str">
        <f>"Retiree July 2017"</f>
        <v>Retiree July 2017</v>
      </c>
    </row>
    <row r="1584" spans="1:10" x14ac:dyDescent="0.3">
      <c r="A1584" t="str">
        <f>""</f>
        <v/>
      </c>
      <c r="G1584" t="str">
        <f>"201707313943"</f>
        <v>201707313943</v>
      </c>
      <c r="H1584" t="str">
        <f>"COBRA July 2017"</f>
        <v>COBRA July 2017</v>
      </c>
      <c r="I1584" s="2">
        <v>96.14</v>
      </c>
      <c r="J1584" t="str">
        <f>"COBRA July 2017"</f>
        <v>COBRA July 2017</v>
      </c>
    </row>
    <row r="1585" spans="1:10" x14ac:dyDescent="0.3">
      <c r="A1585" t="str">
        <f>""</f>
        <v/>
      </c>
      <c r="G1585" t="str">
        <f>"201707313944"</f>
        <v>201707313944</v>
      </c>
      <c r="H1585" t="str">
        <f>"GUARDIAN July 2017 rounding"</f>
        <v>GUARDIAN July 2017 rounding</v>
      </c>
      <c r="I1585" s="2">
        <v>5.4</v>
      </c>
      <c r="J1585" t="str">
        <f>"GUARDIAN July 2017 rounding"</f>
        <v>GUARDIAN July 2017 rounding</v>
      </c>
    </row>
    <row r="1586" spans="1:10" x14ac:dyDescent="0.3">
      <c r="A1586" t="str">
        <f>""</f>
        <v/>
      </c>
      <c r="G1586" t="str">
        <f>"201707313945"</f>
        <v>201707313945</v>
      </c>
      <c r="H1586" t="str">
        <f>"Reitree Life rounding july '17"</f>
        <v>Reitree Life rounding july '17</v>
      </c>
      <c r="I1586" s="2">
        <v>120.92</v>
      </c>
      <c r="J1586" t="str">
        <f>"Reitree Life rounding july '17"</f>
        <v>Reitree Life rounding july '17</v>
      </c>
    </row>
    <row r="1587" spans="1:10" x14ac:dyDescent="0.3">
      <c r="A1587" t="str">
        <f>""</f>
        <v/>
      </c>
      <c r="G1587" t="str">
        <f>"ADC201707123599"</f>
        <v>ADC201707123599</v>
      </c>
      <c r="H1587" t="str">
        <f t="shared" ref="H1587:H1599" si="20">"GUARDIAN"</f>
        <v>GUARDIAN</v>
      </c>
      <c r="I1587" s="2">
        <v>5.53</v>
      </c>
      <c r="J1587" t="str">
        <f t="shared" ref="J1587:J1650" si="21">"GUARDIAN"</f>
        <v>GUARDIAN</v>
      </c>
    </row>
    <row r="1588" spans="1:10" x14ac:dyDescent="0.3">
      <c r="A1588" t="str">
        <f>""</f>
        <v/>
      </c>
      <c r="G1588" t="str">
        <f>"ADC201707123600"</f>
        <v>ADC201707123600</v>
      </c>
      <c r="H1588" t="str">
        <f t="shared" si="20"/>
        <v>GUARDIAN</v>
      </c>
      <c r="I1588" s="2">
        <v>0.16</v>
      </c>
      <c r="J1588" t="str">
        <f t="shared" si="21"/>
        <v>GUARDIAN</v>
      </c>
    </row>
    <row r="1589" spans="1:10" x14ac:dyDescent="0.3">
      <c r="A1589" t="str">
        <f>""</f>
        <v/>
      </c>
      <c r="G1589" t="str">
        <f>"ADC201707263863"</f>
        <v>ADC201707263863</v>
      </c>
      <c r="H1589" t="str">
        <f t="shared" si="20"/>
        <v>GUARDIAN</v>
      </c>
      <c r="I1589" s="2">
        <v>5.53</v>
      </c>
      <c r="J1589" t="str">
        <f t="shared" si="21"/>
        <v>GUARDIAN</v>
      </c>
    </row>
    <row r="1590" spans="1:10" x14ac:dyDescent="0.3">
      <c r="A1590" t="str">
        <f>""</f>
        <v/>
      </c>
      <c r="G1590" t="str">
        <f>"ADC201707263864"</f>
        <v>ADC201707263864</v>
      </c>
      <c r="H1590" t="str">
        <f t="shared" si="20"/>
        <v>GUARDIAN</v>
      </c>
      <c r="I1590" s="2">
        <v>0.16</v>
      </c>
      <c r="J1590" t="str">
        <f t="shared" si="21"/>
        <v>GUARDIAN</v>
      </c>
    </row>
    <row r="1591" spans="1:10" x14ac:dyDescent="0.3">
      <c r="A1591" t="str">
        <f>""</f>
        <v/>
      </c>
      <c r="G1591" t="str">
        <f>"ADE201707123599"</f>
        <v>ADE201707123599</v>
      </c>
      <c r="H1591" t="str">
        <f t="shared" si="20"/>
        <v>GUARDIAN</v>
      </c>
      <c r="I1591" s="2">
        <v>216.32</v>
      </c>
      <c r="J1591" t="str">
        <f t="shared" si="21"/>
        <v>GUARDIAN</v>
      </c>
    </row>
    <row r="1592" spans="1:10" x14ac:dyDescent="0.3">
      <c r="A1592" t="str">
        <f>""</f>
        <v/>
      </c>
      <c r="G1592" t="str">
        <f>"ADE201707123600"</f>
        <v>ADE201707123600</v>
      </c>
      <c r="H1592" t="str">
        <f t="shared" si="20"/>
        <v>GUARDIAN</v>
      </c>
      <c r="I1592" s="2">
        <v>6.6</v>
      </c>
      <c r="J1592" t="str">
        <f t="shared" si="21"/>
        <v>GUARDIAN</v>
      </c>
    </row>
    <row r="1593" spans="1:10" x14ac:dyDescent="0.3">
      <c r="A1593" t="str">
        <f>""</f>
        <v/>
      </c>
      <c r="G1593" t="str">
        <f>"ADE201707263863"</f>
        <v>ADE201707263863</v>
      </c>
      <c r="H1593" t="str">
        <f t="shared" si="20"/>
        <v>GUARDIAN</v>
      </c>
      <c r="I1593" s="2">
        <v>212.34</v>
      </c>
      <c r="J1593" t="str">
        <f t="shared" si="21"/>
        <v>GUARDIAN</v>
      </c>
    </row>
    <row r="1594" spans="1:10" x14ac:dyDescent="0.3">
      <c r="A1594" t="str">
        <f>""</f>
        <v/>
      </c>
      <c r="G1594" t="str">
        <f>"ADE201707263864"</f>
        <v>ADE201707263864</v>
      </c>
      <c r="H1594" t="str">
        <f t="shared" si="20"/>
        <v>GUARDIAN</v>
      </c>
      <c r="I1594" s="2">
        <v>6.6</v>
      </c>
      <c r="J1594" t="str">
        <f t="shared" si="21"/>
        <v>GUARDIAN</v>
      </c>
    </row>
    <row r="1595" spans="1:10" x14ac:dyDescent="0.3">
      <c r="A1595" t="str">
        <f>""</f>
        <v/>
      </c>
      <c r="G1595" t="str">
        <f>"ADS201707123599"</f>
        <v>ADS201707123599</v>
      </c>
      <c r="H1595" t="str">
        <f t="shared" si="20"/>
        <v>GUARDIAN</v>
      </c>
      <c r="I1595" s="2">
        <v>35.14</v>
      </c>
      <c r="J1595" t="str">
        <f t="shared" si="21"/>
        <v>GUARDIAN</v>
      </c>
    </row>
    <row r="1596" spans="1:10" x14ac:dyDescent="0.3">
      <c r="A1596" t="str">
        <f>""</f>
        <v/>
      </c>
      <c r="G1596" t="str">
        <f>"ADS201707123600"</f>
        <v>ADS201707123600</v>
      </c>
      <c r="H1596" t="str">
        <f t="shared" si="20"/>
        <v>GUARDIAN</v>
      </c>
      <c r="I1596" s="2">
        <v>0.98</v>
      </c>
      <c r="J1596" t="str">
        <f t="shared" si="21"/>
        <v>GUARDIAN</v>
      </c>
    </row>
    <row r="1597" spans="1:10" x14ac:dyDescent="0.3">
      <c r="A1597" t="str">
        <f>""</f>
        <v/>
      </c>
      <c r="G1597" t="str">
        <f>"ADS201707263863"</f>
        <v>ADS201707263863</v>
      </c>
      <c r="H1597" t="str">
        <f t="shared" si="20"/>
        <v>GUARDIAN</v>
      </c>
      <c r="I1597" s="2">
        <v>35.14</v>
      </c>
      <c r="J1597" t="str">
        <f t="shared" si="21"/>
        <v>GUARDIAN</v>
      </c>
    </row>
    <row r="1598" spans="1:10" x14ac:dyDescent="0.3">
      <c r="A1598" t="str">
        <f>""</f>
        <v/>
      </c>
      <c r="G1598" t="str">
        <f>"ADS201707263864"</f>
        <v>ADS201707263864</v>
      </c>
      <c r="H1598" t="str">
        <f t="shared" si="20"/>
        <v>GUARDIAN</v>
      </c>
      <c r="I1598" s="2">
        <v>0.98</v>
      </c>
      <c r="J1598" t="str">
        <f t="shared" si="21"/>
        <v>GUARDIAN</v>
      </c>
    </row>
    <row r="1599" spans="1:10" x14ac:dyDescent="0.3">
      <c r="A1599" t="str">
        <f>""</f>
        <v/>
      </c>
      <c r="G1599" t="str">
        <f>"GDC201707123599"</f>
        <v>GDC201707123599</v>
      </c>
      <c r="H1599" t="str">
        <f t="shared" si="20"/>
        <v>GUARDIAN</v>
      </c>
      <c r="I1599" s="2">
        <v>2448.75</v>
      </c>
      <c r="J1599" t="str">
        <f t="shared" si="21"/>
        <v>GUARDIAN</v>
      </c>
    </row>
    <row r="1600" spans="1:10" x14ac:dyDescent="0.3">
      <c r="A1600" t="str">
        <f>""</f>
        <v/>
      </c>
      <c r="G1600" t="str">
        <f>""</f>
        <v/>
      </c>
      <c r="H1600" t="str">
        <f>""</f>
        <v/>
      </c>
      <c r="J1600" t="str">
        <f t="shared" si="21"/>
        <v>GUARDIAN</v>
      </c>
    </row>
    <row r="1601" spans="1:10" x14ac:dyDescent="0.3">
      <c r="A1601" t="str">
        <f>""</f>
        <v/>
      </c>
      <c r="G1601" t="str">
        <f>""</f>
        <v/>
      </c>
      <c r="H1601" t="str">
        <f>""</f>
        <v/>
      </c>
      <c r="J1601" t="str">
        <f t="shared" si="21"/>
        <v>GUARDIAN</v>
      </c>
    </row>
    <row r="1602" spans="1:10" x14ac:dyDescent="0.3">
      <c r="A1602" t="str">
        <f>""</f>
        <v/>
      </c>
      <c r="G1602" t="str">
        <f>""</f>
        <v/>
      </c>
      <c r="H1602" t="str">
        <f>""</f>
        <v/>
      </c>
      <c r="J1602" t="str">
        <f t="shared" si="21"/>
        <v>GUARDIAN</v>
      </c>
    </row>
    <row r="1603" spans="1:10" x14ac:dyDescent="0.3">
      <c r="A1603" t="str">
        <f>""</f>
        <v/>
      </c>
      <c r="G1603" t="str">
        <f>""</f>
        <v/>
      </c>
      <c r="H1603" t="str">
        <f>""</f>
        <v/>
      </c>
      <c r="J1603" t="str">
        <f t="shared" si="21"/>
        <v>GUARDIAN</v>
      </c>
    </row>
    <row r="1604" spans="1:10" x14ac:dyDescent="0.3">
      <c r="A1604" t="str">
        <f>""</f>
        <v/>
      </c>
      <c r="G1604" t="str">
        <f>""</f>
        <v/>
      </c>
      <c r="H1604" t="str">
        <f>""</f>
        <v/>
      </c>
      <c r="J1604" t="str">
        <f t="shared" si="21"/>
        <v>GUARDIAN</v>
      </c>
    </row>
    <row r="1605" spans="1:10" x14ac:dyDescent="0.3">
      <c r="A1605" t="str">
        <f>""</f>
        <v/>
      </c>
      <c r="G1605" t="str">
        <f>""</f>
        <v/>
      </c>
      <c r="H1605" t="str">
        <f>""</f>
        <v/>
      </c>
      <c r="J1605" t="str">
        <f t="shared" si="21"/>
        <v>GUARDIAN</v>
      </c>
    </row>
    <row r="1606" spans="1:10" x14ac:dyDescent="0.3">
      <c r="A1606" t="str">
        <f>""</f>
        <v/>
      </c>
      <c r="G1606" t="str">
        <f>""</f>
        <v/>
      </c>
      <c r="H1606" t="str">
        <f>""</f>
        <v/>
      </c>
      <c r="J1606" t="str">
        <f t="shared" si="21"/>
        <v>GUARDIAN</v>
      </c>
    </row>
    <row r="1607" spans="1:10" x14ac:dyDescent="0.3">
      <c r="A1607" t="str">
        <f>""</f>
        <v/>
      </c>
      <c r="G1607" t="str">
        <f>""</f>
        <v/>
      </c>
      <c r="H1607" t="str">
        <f>""</f>
        <v/>
      </c>
      <c r="J1607" t="str">
        <f t="shared" si="21"/>
        <v>GUARDIAN</v>
      </c>
    </row>
    <row r="1608" spans="1:10" x14ac:dyDescent="0.3">
      <c r="A1608" t="str">
        <f>""</f>
        <v/>
      </c>
      <c r="G1608" t="str">
        <f>""</f>
        <v/>
      </c>
      <c r="H1608" t="str">
        <f>""</f>
        <v/>
      </c>
      <c r="J1608" t="str">
        <f t="shared" si="21"/>
        <v>GUARDIAN</v>
      </c>
    </row>
    <row r="1609" spans="1:10" x14ac:dyDescent="0.3">
      <c r="A1609" t="str">
        <f>""</f>
        <v/>
      </c>
      <c r="G1609" t="str">
        <f>""</f>
        <v/>
      </c>
      <c r="H1609" t="str">
        <f>""</f>
        <v/>
      </c>
      <c r="J1609" t="str">
        <f t="shared" si="21"/>
        <v>GUARDIAN</v>
      </c>
    </row>
    <row r="1610" spans="1:10" x14ac:dyDescent="0.3">
      <c r="A1610" t="str">
        <f>""</f>
        <v/>
      </c>
      <c r="G1610" t="str">
        <f>""</f>
        <v/>
      </c>
      <c r="H1610" t="str">
        <f>""</f>
        <v/>
      </c>
      <c r="J1610" t="str">
        <f t="shared" si="21"/>
        <v>GUARDIAN</v>
      </c>
    </row>
    <row r="1611" spans="1:10" x14ac:dyDescent="0.3">
      <c r="A1611" t="str">
        <f>""</f>
        <v/>
      </c>
      <c r="G1611" t="str">
        <f>""</f>
        <v/>
      </c>
      <c r="H1611" t="str">
        <f>""</f>
        <v/>
      </c>
      <c r="J1611" t="str">
        <f t="shared" si="21"/>
        <v>GUARDIAN</v>
      </c>
    </row>
    <row r="1612" spans="1:10" x14ac:dyDescent="0.3">
      <c r="A1612" t="str">
        <f>""</f>
        <v/>
      </c>
      <c r="G1612" t="str">
        <f>""</f>
        <v/>
      </c>
      <c r="H1612" t="str">
        <f>""</f>
        <v/>
      </c>
      <c r="J1612" t="str">
        <f t="shared" si="21"/>
        <v>GUARDIAN</v>
      </c>
    </row>
    <row r="1613" spans="1:10" x14ac:dyDescent="0.3">
      <c r="A1613" t="str">
        <f>""</f>
        <v/>
      </c>
      <c r="G1613" t="str">
        <f>""</f>
        <v/>
      </c>
      <c r="H1613" t="str">
        <f>""</f>
        <v/>
      </c>
      <c r="J1613" t="str">
        <f t="shared" si="21"/>
        <v>GUARDIAN</v>
      </c>
    </row>
    <row r="1614" spans="1:10" x14ac:dyDescent="0.3">
      <c r="A1614" t="str">
        <f>""</f>
        <v/>
      </c>
      <c r="G1614" t="str">
        <f>""</f>
        <v/>
      </c>
      <c r="H1614" t="str">
        <f>""</f>
        <v/>
      </c>
      <c r="J1614" t="str">
        <f t="shared" si="21"/>
        <v>GUARDIAN</v>
      </c>
    </row>
    <row r="1615" spans="1:10" x14ac:dyDescent="0.3">
      <c r="A1615" t="str">
        <f>""</f>
        <v/>
      </c>
      <c r="G1615" t="str">
        <f>""</f>
        <v/>
      </c>
      <c r="H1615" t="str">
        <f>""</f>
        <v/>
      </c>
      <c r="J1615" t="str">
        <f t="shared" si="21"/>
        <v>GUARDIAN</v>
      </c>
    </row>
    <row r="1616" spans="1:10" x14ac:dyDescent="0.3">
      <c r="A1616" t="str">
        <f>""</f>
        <v/>
      </c>
      <c r="G1616" t="str">
        <f>""</f>
        <v/>
      </c>
      <c r="H1616" t="str">
        <f>""</f>
        <v/>
      </c>
      <c r="J1616" t="str">
        <f t="shared" si="21"/>
        <v>GUARDIAN</v>
      </c>
    </row>
    <row r="1617" spans="1:10" x14ac:dyDescent="0.3">
      <c r="A1617" t="str">
        <f>""</f>
        <v/>
      </c>
      <c r="G1617" t="str">
        <f>""</f>
        <v/>
      </c>
      <c r="H1617" t="str">
        <f>""</f>
        <v/>
      </c>
      <c r="J1617" t="str">
        <f t="shared" si="21"/>
        <v>GUARDIAN</v>
      </c>
    </row>
    <row r="1618" spans="1:10" x14ac:dyDescent="0.3">
      <c r="A1618" t="str">
        <f>""</f>
        <v/>
      </c>
      <c r="G1618" t="str">
        <f>""</f>
        <v/>
      </c>
      <c r="H1618" t="str">
        <f>""</f>
        <v/>
      </c>
      <c r="J1618" t="str">
        <f t="shared" si="21"/>
        <v>GUARDIAN</v>
      </c>
    </row>
    <row r="1619" spans="1:10" x14ac:dyDescent="0.3">
      <c r="A1619" t="str">
        <f>""</f>
        <v/>
      </c>
      <c r="G1619" t="str">
        <f>""</f>
        <v/>
      </c>
      <c r="H1619" t="str">
        <f>""</f>
        <v/>
      </c>
      <c r="J1619" t="str">
        <f t="shared" si="21"/>
        <v>GUARDIAN</v>
      </c>
    </row>
    <row r="1620" spans="1:10" x14ac:dyDescent="0.3">
      <c r="A1620" t="str">
        <f>""</f>
        <v/>
      </c>
      <c r="G1620" t="str">
        <f>""</f>
        <v/>
      </c>
      <c r="H1620" t="str">
        <f>""</f>
        <v/>
      </c>
      <c r="J1620" t="str">
        <f t="shared" si="21"/>
        <v>GUARDIAN</v>
      </c>
    </row>
    <row r="1621" spans="1:10" x14ac:dyDescent="0.3">
      <c r="A1621" t="str">
        <f>""</f>
        <v/>
      </c>
      <c r="G1621" t="str">
        <f>""</f>
        <v/>
      </c>
      <c r="H1621" t="str">
        <f>""</f>
        <v/>
      </c>
      <c r="J1621" t="str">
        <f t="shared" si="21"/>
        <v>GUARDIAN</v>
      </c>
    </row>
    <row r="1622" spans="1:10" x14ac:dyDescent="0.3">
      <c r="A1622" t="str">
        <f>""</f>
        <v/>
      </c>
      <c r="G1622" t="str">
        <f>""</f>
        <v/>
      </c>
      <c r="H1622" t="str">
        <f>""</f>
        <v/>
      </c>
      <c r="J1622" t="str">
        <f t="shared" si="21"/>
        <v>GUARDIAN</v>
      </c>
    </row>
    <row r="1623" spans="1:10" x14ac:dyDescent="0.3">
      <c r="A1623" t="str">
        <f>""</f>
        <v/>
      </c>
      <c r="G1623" t="str">
        <f>""</f>
        <v/>
      </c>
      <c r="H1623" t="str">
        <f>""</f>
        <v/>
      </c>
      <c r="J1623" t="str">
        <f t="shared" si="21"/>
        <v>GUARDIAN</v>
      </c>
    </row>
    <row r="1624" spans="1:10" x14ac:dyDescent="0.3">
      <c r="A1624" t="str">
        <f>""</f>
        <v/>
      </c>
      <c r="G1624" t="str">
        <f>""</f>
        <v/>
      </c>
      <c r="H1624" t="str">
        <f>""</f>
        <v/>
      </c>
      <c r="J1624" t="str">
        <f t="shared" si="21"/>
        <v>GUARDIAN</v>
      </c>
    </row>
    <row r="1625" spans="1:10" x14ac:dyDescent="0.3">
      <c r="A1625" t="str">
        <f>""</f>
        <v/>
      </c>
      <c r="G1625" t="str">
        <f>""</f>
        <v/>
      </c>
      <c r="H1625" t="str">
        <f>""</f>
        <v/>
      </c>
      <c r="J1625" t="str">
        <f t="shared" si="21"/>
        <v>GUARDIAN</v>
      </c>
    </row>
    <row r="1626" spans="1:10" x14ac:dyDescent="0.3">
      <c r="A1626" t="str">
        <f>""</f>
        <v/>
      </c>
      <c r="G1626" t="str">
        <f>""</f>
        <v/>
      </c>
      <c r="H1626" t="str">
        <f>""</f>
        <v/>
      </c>
      <c r="J1626" t="str">
        <f t="shared" si="21"/>
        <v>GUARDIAN</v>
      </c>
    </row>
    <row r="1627" spans="1:10" x14ac:dyDescent="0.3">
      <c r="A1627" t="str">
        <f>""</f>
        <v/>
      </c>
      <c r="G1627" t="str">
        <f>""</f>
        <v/>
      </c>
      <c r="H1627" t="str">
        <f>""</f>
        <v/>
      </c>
      <c r="J1627" t="str">
        <f t="shared" si="21"/>
        <v>GUARDIAN</v>
      </c>
    </row>
    <row r="1628" spans="1:10" x14ac:dyDescent="0.3">
      <c r="A1628" t="str">
        <f>""</f>
        <v/>
      </c>
      <c r="G1628" t="str">
        <f>"GDC201707123600"</f>
        <v>GDC201707123600</v>
      </c>
      <c r="H1628" t="str">
        <f>"GUARDIAN"</f>
        <v>GUARDIAN</v>
      </c>
      <c r="I1628" s="2">
        <v>130.6</v>
      </c>
      <c r="J1628" t="str">
        <f t="shared" si="21"/>
        <v>GUARDIAN</v>
      </c>
    </row>
    <row r="1629" spans="1:10" x14ac:dyDescent="0.3">
      <c r="A1629" t="str">
        <f>""</f>
        <v/>
      </c>
      <c r="G1629" t="str">
        <f>""</f>
        <v/>
      </c>
      <c r="H1629" t="str">
        <f>""</f>
        <v/>
      </c>
      <c r="J1629" t="str">
        <f t="shared" si="21"/>
        <v>GUARDIAN</v>
      </c>
    </row>
    <row r="1630" spans="1:10" x14ac:dyDescent="0.3">
      <c r="A1630" t="str">
        <f>""</f>
        <v/>
      </c>
      <c r="G1630" t="str">
        <f>"GDC201707263863"</f>
        <v>GDC201707263863</v>
      </c>
      <c r="H1630" t="str">
        <f>"GUARDIAN"</f>
        <v>GUARDIAN</v>
      </c>
      <c r="I1630" s="2">
        <v>2448.75</v>
      </c>
      <c r="J1630" t="str">
        <f t="shared" si="21"/>
        <v>GUARDIAN</v>
      </c>
    </row>
    <row r="1631" spans="1:10" x14ac:dyDescent="0.3">
      <c r="A1631" t="str">
        <f>""</f>
        <v/>
      </c>
      <c r="G1631" t="str">
        <f>""</f>
        <v/>
      </c>
      <c r="H1631" t="str">
        <f>""</f>
        <v/>
      </c>
      <c r="J1631" t="str">
        <f t="shared" si="21"/>
        <v>GUARDIAN</v>
      </c>
    </row>
    <row r="1632" spans="1:10" x14ac:dyDescent="0.3">
      <c r="A1632" t="str">
        <f>""</f>
        <v/>
      </c>
      <c r="G1632" t="str">
        <f>""</f>
        <v/>
      </c>
      <c r="H1632" t="str">
        <f>""</f>
        <v/>
      </c>
      <c r="J1632" t="str">
        <f t="shared" si="21"/>
        <v>GUARDIAN</v>
      </c>
    </row>
    <row r="1633" spans="1:10" x14ac:dyDescent="0.3">
      <c r="A1633" t="str">
        <f>""</f>
        <v/>
      </c>
      <c r="G1633" t="str">
        <f>""</f>
        <v/>
      </c>
      <c r="H1633" t="str">
        <f>""</f>
        <v/>
      </c>
      <c r="J1633" t="str">
        <f t="shared" si="21"/>
        <v>GUARDIAN</v>
      </c>
    </row>
    <row r="1634" spans="1:10" x14ac:dyDescent="0.3">
      <c r="A1634" t="str">
        <f>""</f>
        <v/>
      </c>
      <c r="G1634" t="str">
        <f>""</f>
        <v/>
      </c>
      <c r="H1634" t="str">
        <f>""</f>
        <v/>
      </c>
      <c r="J1634" t="str">
        <f t="shared" si="21"/>
        <v>GUARDIAN</v>
      </c>
    </row>
    <row r="1635" spans="1:10" x14ac:dyDescent="0.3">
      <c r="A1635" t="str">
        <f>""</f>
        <v/>
      </c>
      <c r="G1635" t="str">
        <f>""</f>
        <v/>
      </c>
      <c r="H1635" t="str">
        <f>""</f>
        <v/>
      </c>
      <c r="J1635" t="str">
        <f t="shared" si="21"/>
        <v>GUARDIAN</v>
      </c>
    </row>
    <row r="1636" spans="1:10" x14ac:dyDescent="0.3">
      <c r="A1636" t="str">
        <f>""</f>
        <v/>
      </c>
      <c r="G1636" t="str">
        <f>""</f>
        <v/>
      </c>
      <c r="H1636" t="str">
        <f>""</f>
        <v/>
      </c>
      <c r="J1636" t="str">
        <f t="shared" si="21"/>
        <v>GUARDIAN</v>
      </c>
    </row>
    <row r="1637" spans="1:10" x14ac:dyDescent="0.3">
      <c r="A1637" t="str">
        <f>""</f>
        <v/>
      </c>
      <c r="G1637" t="str">
        <f>""</f>
        <v/>
      </c>
      <c r="H1637" t="str">
        <f>""</f>
        <v/>
      </c>
      <c r="J1637" t="str">
        <f t="shared" si="21"/>
        <v>GUARDIAN</v>
      </c>
    </row>
    <row r="1638" spans="1:10" x14ac:dyDescent="0.3">
      <c r="A1638" t="str">
        <f>""</f>
        <v/>
      </c>
      <c r="G1638" t="str">
        <f>""</f>
        <v/>
      </c>
      <c r="H1638" t="str">
        <f>""</f>
        <v/>
      </c>
      <c r="J1638" t="str">
        <f t="shared" si="21"/>
        <v>GUARDIAN</v>
      </c>
    </row>
    <row r="1639" spans="1:10" x14ac:dyDescent="0.3">
      <c r="A1639" t="str">
        <f>""</f>
        <v/>
      </c>
      <c r="G1639" t="str">
        <f>""</f>
        <v/>
      </c>
      <c r="H1639" t="str">
        <f>""</f>
        <v/>
      </c>
      <c r="J1639" t="str">
        <f t="shared" si="21"/>
        <v>GUARDIAN</v>
      </c>
    </row>
    <row r="1640" spans="1:10" x14ac:dyDescent="0.3">
      <c r="A1640" t="str">
        <f>""</f>
        <v/>
      </c>
      <c r="G1640" t="str">
        <f>""</f>
        <v/>
      </c>
      <c r="H1640" t="str">
        <f>""</f>
        <v/>
      </c>
      <c r="J1640" t="str">
        <f t="shared" si="21"/>
        <v>GUARDIAN</v>
      </c>
    </row>
    <row r="1641" spans="1:10" x14ac:dyDescent="0.3">
      <c r="A1641" t="str">
        <f>""</f>
        <v/>
      </c>
      <c r="G1641" t="str">
        <f>""</f>
        <v/>
      </c>
      <c r="H1641" t="str">
        <f>""</f>
        <v/>
      </c>
      <c r="J1641" t="str">
        <f t="shared" si="21"/>
        <v>GUARDIAN</v>
      </c>
    </row>
    <row r="1642" spans="1:10" x14ac:dyDescent="0.3">
      <c r="A1642" t="str">
        <f>""</f>
        <v/>
      </c>
      <c r="G1642" t="str">
        <f>""</f>
        <v/>
      </c>
      <c r="H1642" t="str">
        <f>""</f>
        <v/>
      </c>
      <c r="J1642" t="str">
        <f t="shared" si="21"/>
        <v>GUARDIAN</v>
      </c>
    </row>
    <row r="1643" spans="1:10" x14ac:dyDescent="0.3">
      <c r="A1643" t="str">
        <f>""</f>
        <v/>
      </c>
      <c r="G1643" t="str">
        <f>""</f>
        <v/>
      </c>
      <c r="H1643" t="str">
        <f>""</f>
        <v/>
      </c>
      <c r="J1643" t="str">
        <f t="shared" si="21"/>
        <v>GUARDIAN</v>
      </c>
    </row>
    <row r="1644" spans="1:10" x14ac:dyDescent="0.3">
      <c r="A1644" t="str">
        <f>""</f>
        <v/>
      </c>
      <c r="G1644" t="str">
        <f>""</f>
        <v/>
      </c>
      <c r="H1644" t="str">
        <f>""</f>
        <v/>
      </c>
      <c r="J1644" t="str">
        <f t="shared" si="21"/>
        <v>GUARDIAN</v>
      </c>
    </row>
    <row r="1645" spans="1:10" x14ac:dyDescent="0.3">
      <c r="A1645" t="str">
        <f>""</f>
        <v/>
      </c>
      <c r="G1645" t="str">
        <f>""</f>
        <v/>
      </c>
      <c r="H1645" t="str">
        <f>""</f>
        <v/>
      </c>
      <c r="J1645" t="str">
        <f t="shared" si="21"/>
        <v>GUARDIAN</v>
      </c>
    </row>
    <row r="1646" spans="1:10" x14ac:dyDescent="0.3">
      <c r="A1646" t="str">
        <f>""</f>
        <v/>
      </c>
      <c r="G1646" t="str">
        <f>""</f>
        <v/>
      </c>
      <c r="H1646" t="str">
        <f>""</f>
        <v/>
      </c>
      <c r="J1646" t="str">
        <f t="shared" si="21"/>
        <v>GUARDIAN</v>
      </c>
    </row>
    <row r="1647" spans="1:10" x14ac:dyDescent="0.3">
      <c r="A1647" t="str">
        <f>""</f>
        <v/>
      </c>
      <c r="G1647" t="str">
        <f>""</f>
        <v/>
      </c>
      <c r="H1647" t="str">
        <f>""</f>
        <v/>
      </c>
      <c r="J1647" t="str">
        <f t="shared" si="21"/>
        <v>GUARDIAN</v>
      </c>
    </row>
    <row r="1648" spans="1:10" x14ac:dyDescent="0.3">
      <c r="A1648" t="str">
        <f>""</f>
        <v/>
      </c>
      <c r="G1648" t="str">
        <f>""</f>
        <v/>
      </c>
      <c r="H1648" t="str">
        <f>""</f>
        <v/>
      </c>
      <c r="J1648" t="str">
        <f t="shared" si="21"/>
        <v>GUARDIAN</v>
      </c>
    </row>
    <row r="1649" spans="1:10" x14ac:dyDescent="0.3">
      <c r="A1649" t="str">
        <f>""</f>
        <v/>
      </c>
      <c r="G1649" t="str">
        <f>""</f>
        <v/>
      </c>
      <c r="H1649" t="str">
        <f>""</f>
        <v/>
      </c>
      <c r="J1649" t="str">
        <f t="shared" si="21"/>
        <v>GUARDIAN</v>
      </c>
    </row>
    <row r="1650" spans="1:10" x14ac:dyDescent="0.3">
      <c r="A1650" t="str">
        <f>""</f>
        <v/>
      </c>
      <c r="G1650" t="str">
        <f>""</f>
        <v/>
      </c>
      <c r="H1650" t="str">
        <f>""</f>
        <v/>
      </c>
      <c r="J1650" t="str">
        <f t="shared" si="21"/>
        <v>GUARDIAN</v>
      </c>
    </row>
    <row r="1651" spans="1:10" x14ac:dyDescent="0.3">
      <c r="A1651" t="str">
        <f>""</f>
        <v/>
      </c>
      <c r="G1651" t="str">
        <f>""</f>
        <v/>
      </c>
      <c r="H1651" t="str">
        <f>""</f>
        <v/>
      </c>
      <c r="J1651" t="str">
        <f t="shared" ref="J1651:J1714" si="22">"GUARDIAN"</f>
        <v>GUARDIAN</v>
      </c>
    </row>
    <row r="1652" spans="1:10" x14ac:dyDescent="0.3">
      <c r="A1652" t="str">
        <f>""</f>
        <v/>
      </c>
      <c r="G1652" t="str">
        <f>""</f>
        <v/>
      </c>
      <c r="H1652" t="str">
        <f>""</f>
        <v/>
      </c>
      <c r="J1652" t="str">
        <f t="shared" si="22"/>
        <v>GUARDIAN</v>
      </c>
    </row>
    <row r="1653" spans="1:10" x14ac:dyDescent="0.3">
      <c r="A1653" t="str">
        <f>""</f>
        <v/>
      </c>
      <c r="G1653" t="str">
        <f>""</f>
        <v/>
      </c>
      <c r="H1653" t="str">
        <f>""</f>
        <v/>
      </c>
      <c r="J1653" t="str">
        <f t="shared" si="22"/>
        <v>GUARDIAN</v>
      </c>
    </row>
    <row r="1654" spans="1:10" x14ac:dyDescent="0.3">
      <c r="A1654" t="str">
        <f>""</f>
        <v/>
      </c>
      <c r="G1654" t="str">
        <f>""</f>
        <v/>
      </c>
      <c r="H1654" t="str">
        <f>""</f>
        <v/>
      </c>
      <c r="J1654" t="str">
        <f t="shared" si="22"/>
        <v>GUARDIAN</v>
      </c>
    </row>
    <row r="1655" spans="1:10" x14ac:dyDescent="0.3">
      <c r="A1655" t="str">
        <f>""</f>
        <v/>
      </c>
      <c r="G1655" t="str">
        <f>""</f>
        <v/>
      </c>
      <c r="H1655" t="str">
        <f>""</f>
        <v/>
      </c>
      <c r="J1655" t="str">
        <f t="shared" si="22"/>
        <v>GUARDIAN</v>
      </c>
    </row>
    <row r="1656" spans="1:10" x14ac:dyDescent="0.3">
      <c r="A1656" t="str">
        <f>""</f>
        <v/>
      </c>
      <c r="G1656" t="str">
        <f>""</f>
        <v/>
      </c>
      <c r="H1656" t="str">
        <f>""</f>
        <v/>
      </c>
      <c r="J1656" t="str">
        <f t="shared" si="22"/>
        <v>GUARDIAN</v>
      </c>
    </row>
    <row r="1657" spans="1:10" x14ac:dyDescent="0.3">
      <c r="A1657" t="str">
        <f>""</f>
        <v/>
      </c>
      <c r="G1657" t="str">
        <f>""</f>
        <v/>
      </c>
      <c r="H1657" t="str">
        <f>""</f>
        <v/>
      </c>
      <c r="J1657" t="str">
        <f t="shared" si="22"/>
        <v>GUARDIAN</v>
      </c>
    </row>
    <row r="1658" spans="1:10" x14ac:dyDescent="0.3">
      <c r="A1658" t="str">
        <f>""</f>
        <v/>
      </c>
      <c r="G1658" t="str">
        <f>""</f>
        <v/>
      </c>
      <c r="H1658" t="str">
        <f>""</f>
        <v/>
      </c>
      <c r="J1658" t="str">
        <f t="shared" si="22"/>
        <v>GUARDIAN</v>
      </c>
    </row>
    <row r="1659" spans="1:10" x14ac:dyDescent="0.3">
      <c r="A1659" t="str">
        <f>""</f>
        <v/>
      </c>
      <c r="G1659" t="str">
        <f>"GDC201707263864"</f>
        <v>GDC201707263864</v>
      </c>
      <c r="H1659" t="str">
        <f>"GUARDIAN"</f>
        <v>GUARDIAN</v>
      </c>
      <c r="I1659" s="2">
        <v>130.6</v>
      </c>
      <c r="J1659" t="str">
        <f t="shared" si="22"/>
        <v>GUARDIAN</v>
      </c>
    </row>
    <row r="1660" spans="1:10" x14ac:dyDescent="0.3">
      <c r="A1660" t="str">
        <f>""</f>
        <v/>
      </c>
      <c r="G1660" t="str">
        <f>""</f>
        <v/>
      </c>
      <c r="H1660" t="str">
        <f>""</f>
        <v/>
      </c>
      <c r="J1660" t="str">
        <f t="shared" si="22"/>
        <v>GUARDIAN</v>
      </c>
    </row>
    <row r="1661" spans="1:10" x14ac:dyDescent="0.3">
      <c r="A1661" t="str">
        <f>""</f>
        <v/>
      </c>
      <c r="G1661" t="str">
        <f>"GDE201707123599"</f>
        <v>GDE201707123599</v>
      </c>
      <c r="H1661" t="str">
        <f>"GUARDIAN"</f>
        <v>GUARDIAN</v>
      </c>
      <c r="I1661" s="2">
        <v>3922</v>
      </c>
      <c r="J1661" t="str">
        <f t="shared" si="22"/>
        <v>GUARDIAN</v>
      </c>
    </row>
    <row r="1662" spans="1:10" x14ac:dyDescent="0.3">
      <c r="A1662" t="str">
        <f>""</f>
        <v/>
      </c>
      <c r="G1662" t="str">
        <f>""</f>
        <v/>
      </c>
      <c r="H1662" t="str">
        <f>""</f>
        <v/>
      </c>
      <c r="J1662" t="str">
        <f t="shared" si="22"/>
        <v>GUARDIAN</v>
      </c>
    </row>
    <row r="1663" spans="1:10" x14ac:dyDescent="0.3">
      <c r="A1663" t="str">
        <f>""</f>
        <v/>
      </c>
      <c r="G1663" t="str">
        <f>""</f>
        <v/>
      </c>
      <c r="H1663" t="str">
        <f>""</f>
        <v/>
      </c>
      <c r="J1663" t="str">
        <f t="shared" si="22"/>
        <v>GUARDIAN</v>
      </c>
    </row>
    <row r="1664" spans="1:10" x14ac:dyDescent="0.3">
      <c r="A1664" t="str">
        <f>""</f>
        <v/>
      </c>
      <c r="G1664" t="str">
        <f>""</f>
        <v/>
      </c>
      <c r="H1664" t="str">
        <f>""</f>
        <v/>
      </c>
      <c r="J1664" t="str">
        <f t="shared" si="22"/>
        <v>GUARDIAN</v>
      </c>
    </row>
    <row r="1665" spans="1:10" x14ac:dyDescent="0.3">
      <c r="A1665" t="str">
        <f>""</f>
        <v/>
      </c>
      <c r="G1665" t="str">
        <f>""</f>
        <v/>
      </c>
      <c r="H1665" t="str">
        <f>""</f>
        <v/>
      </c>
      <c r="J1665" t="str">
        <f t="shared" si="22"/>
        <v>GUARDIAN</v>
      </c>
    </row>
    <row r="1666" spans="1:10" x14ac:dyDescent="0.3">
      <c r="A1666" t="str">
        <f>""</f>
        <v/>
      </c>
      <c r="G1666" t="str">
        <f>""</f>
        <v/>
      </c>
      <c r="H1666" t="str">
        <f>""</f>
        <v/>
      </c>
      <c r="J1666" t="str">
        <f t="shared" si="22"/>
        <v>GUARDIAN</v>
      </c>
    </row>
    <row r="1667" spans="1:10" x14ac:dyDescent="0.3">
      <c r="A1667" t="str">
        <f>""</f>
        <v/>
      </c>
      <c r="G1667" t="str">
        <f>""</f>
        <v/>
      </c>
      <c r="H1667" t="str">
        <f>""</f>
        <v/>
      </c>
      <c r="J1667" t="str">
        <f t="shared" si="22"/>
        <v>GUARDIAN</v>
      </c>
    </row>
    <row r="1668" spans="1:10" x14ac:dyDescent="0.3">
      <c r="A1668" t="str">
        <f>""</f>
        <v/>
      </c>
      <c r="G1668" t="str">
        <f>""</f>
        <v/>
      </c>
      <c r="H1668" t="str">
        <f>""</f>
        <v/>
      </c>
      <c r="J1668" t="str">
        <f t="shared" si="22"/>
        <v>GUARDIAN</v>
      </c>
    </row>
    <row r="1669" spans="1:10" x14ac:dyDescent="0.3">
      <c r="A1669" t="str">
        <f>""</f>
        <v/>
      </c>
      <c r="G1669" t="str">
        <f>""</f>
        <v/>
      </c>
      <c r="H1669" t="str">
        <f>""</f>
        <v/>
      </c>
      <c r="J1669" t="str">
        <f t="shared" si="22"/>
        <v>GUARDIAN</v>
      </c>
    </row>
    <row r="1670" spans="1:10" x14ac:dyDescent="0.3">
      <c r="A1670" t="str">
        <f>""</f>
        <v/>
      </c>
      <c r="G1670" t="str">
        <f>""</f>
        <v/>
      </c>
      <c r="H1670" t="str">
        <f>""</f>
        <v/>
      </c>
      <c r="J1670" t="str">
        <f t="shared" si="22"/>
        <v>GUARDIAN</v>
      </c>
    </row>
    <row r="1671" spans="1:10" x14ac:dyDescent="0.3">
      <c r="A1671" t="str">
        <f>""</f>
        <v/>
      </c>
      <c r="G1671" t="str">
        <f>""</f>
        <v/>
      </c>
      <c r="H1671" t="str">
        <f>""</f>
        <v/>
      </c>
      <c r="J1671" t="str">
        <f t="shared" si="22"/>
        <v>GUARDIAN</v>
      </c>
    </row>
    <row r="1672" spans="1:10" x14ac:dyDescent="0.3">
      <c r="A1672" t="str">
        <f>""</f>
        <v/>
      </c>
      <c r="G1672" t="str">
        <f>""</f>
        <v/>
      </c>
      <c r="H1672" t="str">
        <f>""</f>
        <v/>
      </c>
      <c r="J1672" t="str">
        <f t="shared" si="22"/>
        <v>GUARDIAN</v>
      </c>
    </row>
    <row r="1673" spans="1:10" x14ac:dyDescent="0.3">
      <c r="A1673" t="str">
        <f>""</f>
        <v/>
      </c>
      <c r="G1673" t="str">
        <f>""</f>
        <v/>
      </c>
      <c r="H1673" t="str">
        <f>""</f>
        <v/>
      </c>
      <c r="J1673" t="str">
        <f t="shared" si="22"/>
        <v>GUARDIAN</v>
      </c>
    </row>
    <row r="1674" spans="1:10" x14ac:dyDescent="0.3">
      <c r="A1674" t="str">
        <f>""</f>
        <v/>
      </c>
      <c r="G1674" t="str">
        <f>""</f>
        <v/>
      </c>
      <c r="H1674" t="str">
        <f>""</f>
        <v/>
      </c>
      <c r="J1674" t="str">
        <f t="shared" si="22"/>
        <v>GUARDIAN</v>
      </c>
    </row>
    <row r="1675" spans="1:10" x14ac:dyDescent="0.3">
      <c r="A1675" t="str">
        <f>""</f>
        <v/>
      </c>
      <c r="G1675" t="str">
        <f>""</f>
        <v/>
      </c>
      <c r="H1675" t="str">
        <f>""</f>
        <v/>
      </c>
      <c r="J1675" t="str">
        <f t="shared" si="22"/>
        <v>GUARDIAN</v>
      </c>
    </row>
    <row r="1676" spans="1:10" x14ac:dyDescent="0.3">
      <c r="A1676" t="str">
        <f>""</f>
        <v/>
      </c>
      <c r="G1676" t="str">
        <f>""</f>
        <v/>
      </c>
      <c r="H1676" t="str">
        <f>""</f>
        <v/>
      </c>
      <c r="J1676" t="str">
        <f t="shared" si="22"/>
        <v>GUARDIAN</v>
      </c>
    </row>
    <row r="1677" spans="1:10" x14ac:dyDescent="0.3">
      <c r="A1677" t="str">
        <f>""</f>
        <v/>
      </c>
      <c r="G1677" t="str">
        <f>""</f>
        <v/>
      </c>
      <c r="H1677" t="str">
        <f>""</f>
        <v/>
      </c>
      <c r="J1677" t="str">
        <f t="shared" si="22"/>
        <v>GUARDIAN</v>
      </c>
    </row>
    <row r="1678" spans="1:10" x14ac:dyDescent="0.3">
      <c r="A1678" t="str">
        <f>""</f>
        <v/>
      </c>
      <c r="G1678" t="str">
        <f>""</f>
        <v/>
      </c>
      <c r="H1678" t="str">
        <f>""</f>
        <v/>
      </c>
      <c r="J1678" t="str">
        <f t="shared" si="22"/>
        <v>GUARDIAN</v>
      </c>
    </row>
    <row r="1679" spans="1:10" x14ac:dyDescent="0.3">
      <c r="A1679" t="str">
        <f>""</f>
        <v/>
      </c>
      <c r="G1679" t="str">
        <f>""</f>
        <v/>
      </c>
      <c r="H1679" t="str">
        <f>""</f>
        <v/>
      </c>
      <c r="J1679" t="str">
        <f t="shared" si="22"/>
        <v>GUARDIAN</v>
      </c>
    </row>
    <row r="1680" spans="1:10" x14ac:dyDescent="0.3">
      <c r="A1680" t="str">
        <f>""</f>
        <v/>
      </c>
      <c r="G1680" t="str">
        <f>""</f>
        <v/>
      </c>
      <c r="H1680" t="str">
        <f>""</f>
        <v/>
      </c>
      <c r="J1680" t="str">
        <f t="shared" si="22"/>
        <v>GUARDIAN</v>
      </c>
    </row>
    <row r="1681" spans="1:10" x14ac:dyDescent="0.3">
      <c r="A1681" t="str">
        <f>""</f>
        <v/>
      </c>
      <c r="G1681" t="str">
        <f>""</f>
        <v/>
      </c>
      <c r="H1681" t="str">
        <f>""</f>
        <v/>
      </c>
      <c r="J1681" t="str">
        <f t="shared" si="22"/>
        <v>GUARDIAN</v>
      </c>
    </row>
    <row r="1682" spans="1:10" x14ac:dyDescent="0.3">
      <c r="A1682" t="str">
        <f>""</f>
        <v/>
      </c>
      <c r="G1682" t="str">
        <f>""</f>
        <v/>
      </c>
      <c r="H1682" t="str">
        <f>""</f>
        <v/>
      </c>
      <c r="J1682" t="str">
        <f t="shared" si="22"/>
        <v>GUARDIAN</v>
      </c>
    </row>
    <row r="1683" spans="1:10" x14ac:dyDescent="0.3">
      <c r="A1683" t="str">
        <f>""</f>
        <v/>
      </c>
      <c r="G1683" t="str">
        <f>""</f>
        <v/>
      </c>
      <c r="H1683" t="str">
        <f>""</f>
        <v/>
      </c>
      <c r="J1683" t="str">
        <f t="shared" si="22"/>
        <v>GUARDIAN</v>
      </c>
    </row>
    <row r="1684" spans="1:10" x14ac:dyDescent="0.3">
      <c r="A1684" t="str">
        <f>""</f>
        <v/>
      </c>
      <c r="G1684" t="str">
        <f>""</f>
        <v/>
      </c>
      <c r="H1684" t="str">
        <f>""</f>
        <v/>
      </c>
      <c r="J1684" t="str">
        <f t="shared" si="22"/>
        <v>GUARDIAN</v>
      </c>
    </row>
    <row r="1685" spans="1:10" x14ac:dyDescent="0.3">
      <c r="A1685" t="str">
        <f>""</f>
        <v/>
      </c>
      <c r="G1685" t="str">
        <f>""</f>
        <v/>
      </c>
      <c r="H1685" t="str">
        <f>""</f>
        <v/>
      </c>
      <c r="J1685" t="str">
        <f t="shared" si="22"/>
        <v>GUARDIAN</v>
      </c>
    </row>
    <row r="1686" spans="1:10" x14ac:dyDescent="0.3">
      <c r="A1686" t="str">
        <f>""</f>
        <v/>
      </c>
      <c r="G1686" t="str">
        <f>""</f>
        <v/>
      </c>
      <c r="H1686" t="str">
        <f>""</f>
        <v/>
      </c>
      <c r="J1686" t="str">
        <f t="shared" si="22"/>
        <v>GUARDIAN</v>
      </c>
    </row>
    <row r="1687" spans="1:10" x14ac:dyDescent="0.3">
      <c r="A1687" t="str">
        <f>""</f>
        <v/>
      </c>
      <c r="G1687" t="str">
        <f>""</f>
        <v/>
      </c>
      <c r="H1687" t="str">
        <f>""</f>
        <v/>
      </c>
      <c r="J1687" t="str">
        <f t="shared" si="22"/>
        <v>GUARDIAN</v>
      </c>
    </row>
    <row r="1688" spans="1:10" x14ac:dyDescent="0.3">
      <c r="A1688" t="str">
        <f>""</f>
        <v/>
      </c>
      <c r="G1688" t="str">
        <f>""</f>
        <v/>
      </c>
      <c r="H1688" t="str">
        <f>""</f>
        <v/>
      </c>
      <c r="J1688" t="str">
        <f t="shared" si="22"/>
        <v>GUARDIAN</v>
      </c>
    </row>
    <row r="1689" spans="1:10" x14ac:dyDescent="0.3">
      <c r="A1689" t="str">
        <f>""</f>
        <v/>
      </c>
      <c r="G1689" t="str">
        <f>""</f>
        <v/>
      </c>
      <c r="H1689" t="str">
        <f>""</f>
        <v/>
      </c>
      <c r="J1689" t="str">
        <f t="shared" si="22"/>
        <v>GUARDIAN</v>
      </c>
    </row>
    <row r="1690" spans="1:10" x14ac:dyDescent="0.3">
      <c r="A1690" t="str">
        <f>""</f>
        <v/>
      </c>
      <c r="G1690" t="str">
        <f>""</f>
        <v/>
      </c>
      <c r="H1690" t="str">
        <f>""</f>
        <v/>
      </c>
      <c r="J1690" t="str">
        <f t="shared" si="22"/>
        <v>GUARDIAN</v>
      </c>
    </row>
    <row r="1691" spans="1:10" x14ac:dyDescent="0.3">
      <c r="A1691" t="str">
        <f>""</f>
        <v/>
      </c>
      <c r="G1691" t="str">
        <f>""</f>
        <v/>
      </c>
      <c r="H1691" t="str">
        <f>""</f>
        <v/>
      </c>
      <c r="J1691" t="str">
        <f t="shared" si="22"/>
        <v>GUARDIAN</v>
      </c>
    </row>
    <row r="1692" spans="1:10" x14ac:dyDescent="0.3">
      <c r="A1692" t="str">
        <f>""</f>
        <v/>
      </c>
      <c r="G1692" t="str">
        <f>""</f>
        <v/>
      </c>
      <c r="H1692" t="str">
        <f>""</f>
        <v/>
      </c>
      <c r="J1692" t="str">
        <f t="shared" si="22"/>
        <v>GUARDIAN</v>
      </c>
    </row>
    <row r="1693" spans="1:10" x14ac:dyDescent="0.3">
      <c r="A1693" t="str">
        <f>""</f>
        <v/>
      </c>
      <c r="G1693" t="str">
        <f>""</f>
        <v/>
      </c>
      <c r="H1693" t="str">
        <f>""</f>
        <v/>
      </c>
      <c r="J1693" t="str">
        <f t="shared" si="22"/>
        <v>GUARDIAN</v>
      </c>
    </row>
    <row r="1694" spans="1:10" x14ac:dyDescent="0.3">
      <c r="A1694" t="str">
        <f>""</f>
        <v/>
      </c>
      <c r="G1694" t="str">
        <f>""</f>
        <v/>
      </c>
      <c r="H1694" t="str">
        <f>""</f>
        <v/>
      </c>
      <c r="J1694" t="str">
        <f t="shared" si="22"/>
        <v>GUARDIAN</v>
      </c>
    </row>
    <row r="1695" spans="1:10" x14ac:dyDescent="0.3">
      <c r="A1695" t="str">
        <f>""</f>
        <v/>
      </c>
      <c r="G1695" t="str">
        <f>""</f>
        <v/>
      </c>
      <c r="H1695" t="str">
        <f>""</f>
        <v/>
      </c>
      <c r="J1695" t="str">
        <f t="shared" si="22"/>
        <v>GUARDIAN</v>
      </c>
    </row>
    <row r="1696" spans="1:10" x14ac:dyDescent="0.3">
      <c r="A1696" t="str">
        <f>""</f>
        <v/>
      </c>
      <c r="G1696" t="str">
        <f>""</f>
        <v/>
      </c>
      <c r="H1696" t="str">
        <f>""</f>
        <v/>
      </c>
      <c r="J1696" t="str">
        <f t="shared" si="22"/>
        <v>GUARDIAN</v>
      </c>
    </row>
    <row r="1697" spans="1:10" x14ac:dyDescent="0.3">
      <c r="A1697" t="str">
        <f>""</f>
        <v/>
      </c>
      <c r="G1697" t="str">
        <f>""</f>
        <v/>
      </c>
      <c r="H1697" t="str">
        <f>""</f>
        <v/>
      </c>
      <c r="J1697" t="str">
        <f t="shared" si="22"/>
        <v>GUARDIAN</v>
      </c>
    </row>
    <row r="1698" spans="1:10" x14ac:dyDescent="0.3">
      <c r="A1698" t="str">
        <f>""</f>
        <v/>
      </c>
      <c r="G1698" t="str">
        <f>""</f>
        <v/>
      </c>
      <c r="H1698" t="str">
        <f>""</f>
        <v/>
      </c>
      <c r="J1698" t="str">
        <f t="shared" si="22"/>
        <v>GUARDIAN</v>
      </c>
    </row>
    <row r="1699" spans="1:10" x14ac:dyDescent="0.3">
      <c r="A1699" t="str">
        <f>""</f>
        <v/>
      </c>
      <c r="G1699" t="str">
        <f>""</f>
        <v/>
      </c>
      <c r="H1699" t="str">
        <f>""</f>
        <v/>
      </c>
      <c r="J1699" t="str">
        <f t="shared" si="22"/>
        <v>GUARDIAN</v>
      </c>
    </row>
    <row r="1700" spans="1:10" x14ac:dyDescent="0.3">
      <c r="A1700" t="str">
        <f>""</f>
        <v/>
      </c>
      <c r="G1700" t="str">
        <f>""</f>
        <v/>
      </c>
      <c r="H1700" t="str">
        <f>""</f>
        <v/>
      </c>
      <c r="J1700" t="str">
        <f t="shared" si="22"/>
        <v>GUARDIAN</v>
      </c>
    </row>
    <row r="1701" spans="1:10" x14ac:dyDescent="0.3">
      <c r="A1701" t="str">
        <f>""</f>
        <v/>
      </c>
      <c r="G1701" t="str">
        <f>""</f>
        <v/>
      </c>
      <c r="H1701" t="str">
        <f>""</f>
        <v/>
      </c>
      <c r="J1701" t="str">
        <f t="shared" si="22"/>
        <v>GUARDIAN</v>
      </c>
    </row>
    <row r="1702" spans="1:10" x14ac:dyDescent="0.3">
      <c r="A1702" t="str">
        <f>""</f>
        <v/>
      </c>
      <c r="G1702" t="str">
        <f>"GDE201707123600"</f>
        <v>GDE201707123600</v>
      </c>
      <c r="H1702" t="str">
        <f>"GUARDIAN"</f>
        <v>GUARDIAN</v>
      </c>
      <c r="I1702" s="2">
        <v>162.80000000000001</v>
      </c>
      <c r="J1702" t="str">
        <f t="shared" si="22"/>
        <v>GUARDIAN</v>
      </c>
    </row>
    <row r="1703" spans="1:10" x14ac:dyDescent="0.3">
      <c r="A1703" t="str">
        <f>""</f>
        <v/>
      </c>
      <c r="G1703" t="str">
        <f>"GDE201707263863"</f>
        <v>GDE201707263863</v>
      </c>
      <c r="H1703" t="str">
        <f>"GUARDIAN"</f>
        <v>GUARDIAN</v>
      </c>
      <c r="I1703" s="2">
        <v>3833.2</v>
      </c>
      <c r="J1703" t="str">
        <f t="shared" si="22"/>
        <v>GUARDIAN</v>
      </c>
    </row>
    <row r="1704" spans="1:10" x14ac:dyDescent="0.3">
      <c r="A1704" t="str">
        <f>""</f>
        <v/>
      </c>
      <c r="G1704" t="str">
        <f>""</f>
        <v/>
      </c>
      <c r="H1704" t="str">
        <f>""</f>
        <v/>
      </c>
      <c r="J1704" t="str">
        <f t="shared" si="22"/>
        <v>GUARDIAN</v>
      </c>
    </row>
    <row r="1705" spans="1:10" x14ac:dyDescent="0.3">
      <c r="A1705" t="str">
        <f>""</f>
        <v/>
      </c>
      <c r="G1705" t="str">
        <f>""</f>
        <v/>
      </c>
      <c r="H1705" t="str">
        <f>""</f>
        <v/>
      </c>
      <c r="J1705" t="str">
        <f t="shared" si="22"/>
        <v>GUARDIAN</v>
      </c>
    </row>
    <row r="1706" spans="1:10" x14ac:dyDescent="0.3">
      <c r="A1706" t="str">
        <f>""</f>
        <v/>
      </c>
      <c r="G1706" t="str">
        <f>""</f>
        <v/>
      </c>
      <c r="H1706" t="str">
        <f>""</f>
        <v/>
      </c>
      <c r="J1706" t="str">
        <f t="shared" si="22"/>
        <v>GUARDIAN</v>
      </c>
    </row>
    <row r="1707" spans="1:10" x14ac:dyDescent="0.3">
      <c r="A1707" t="str">
        <f>""</f>
        <v/>
      </c>
      <c r="G1707" t="str">
        <f>""</f>
        <v/>
      </c>
      <c r="H1707" t="str">
        <f>""</f>
        <v/>
      </c>
      <c r="J1707" t="str">
        <f t="shared" si="22"/>
        <v>GUARDIAN</v>
      </c>
    </row>
    <row r="1708" spans="1:10" x14ac:dyDescent="0.3">
      <c r="A1708" t="str">
        <f>""</f>
        <v/>
      </c>
      <c r="G1708" t="str">
        <f>""</f>
        <v/>
      </c>
      <c r="H1708" t="str">
        <f>""</f>
        <v/>
      </c>
      <c r="J1708" t="str">
        <f t="shared" si="22"/>
        <v>GUARDIAN</v>
      </c>
    </row>
    <row r="1709" spans="1:10" x14ac:dyDescent="0.3">
      <c r="A1709" t="str">
        <f>""</f>
        <v/>
      </c>
      <c r="G1709" t="str">
        <f>""</f>
        <v/>
      </c>
      <c r="H1709" t="str">
        <f>""</f>
        <v/>
      </c>
      <c r="J1709" t="str">
        <f t="shared" si="22"/>
        <v>GUARDIAN</v>
      </c>
    </row>
    <row r="1710" spans="1:10" x14ac:dyDescent="0.3">
      <c r="A1710" t="str">
        <f>""</f>
        <v/>
      </c>
      <c r="G1710" t="str">
        <f>""</f>
        <v/>
      </c>
      <c r="H1710" t="str">
        <f>""</f>
        <v/>
      </c>
      <c r="J1710" t="str">
        <f t="shared" si="22"/>
        <v>GUARDIAN</v>
      </c>
    </row>
    <row r="1711" spans="1:10" x14ac:dyDescent="0.3">
      <c r="A1711" t="str">
        <f>""</f>
        <v/>
      </c>
      <c r="G1711" t="str">
        <f>""</f>
        <v/>
      </c>
      <c r="H1711" t="str">
        <f>""</f>
        <v/>
      </c>
      <c r="J1711" t="str">
        <f t="shared" si="22"/>
        <v>GUARDIAN</v>
      </c>
    </row>
    <row r="1712" spans="1:10" x14ac:dyDescent="0.3">
      <c r="A1712" t="str">
        <f>""</f>
        <v/>
      </c>
      <c r="G1712" t="str">
        <f>""</f>
        <v/>
      </c>
      <c r="H1712" t="str">
        <f>""</f>
        <v/>
      </c>
      <c r="J1712" t="str">
        <f t="shared" si="22"/>
        <v>GUARDIAN</v>
      </c>
    </row>
    <row r="1713" spans="1:10" x14ac:dyDescent="0.3">
      <c r="A1713" t="str">
        <f>""</f>
        <v/>
      </c>
      <c r="G1713" t="str">
        <f>""</f>
        <v/>
      </c>
      <c r="H1713" t="str">
        <f>""</f>
        <v/>
      </c>
      <c r="J1713" t="str">
        <f t="shared" si="22"/>
        <v>GUARDIAN</v>
      </c>
    </row>
    <row r="1714" spans="1:10" x14ac:dyDescent="0.3">
      <c r="A1714" t="str">
        <f>""</f>
        <v/>
      </c>
      <c r="G1714" t="str">
        <f>""</f>
        <v/>
      </c>
      <c r="H1714" t="str">
        <f>""</f>
        <v/>
      </c>
      <c r="J1714" t="str">
        <f t="shared" si="22"/>
        <v>GUARDIAN</v>
      </c>
    </row>
    <row r="1715" spans="1:10" x14ac:dyDescent="0.3">
      <c r="A1715" t="str">
        <f>""</f>
        <v/>
      </c>
      <c r="G1715" t="str">
        <f>""</f>
        <v/>
      </c>
      <c r="H1715" t="str">
        <f>""</f>
        <v/>
      </c>
      <c r="J1715" t="str">
        <f t="shared" ref="J1715:J1778" si="23">"GUARDIAN"</f>
        <v>GUARDIAN</v>
      </c>
    </row>
    <row r="1716" spans="1:10" x14ac:dyDescent="0.3">
      <c r="A1716" t="str">
        <f>""</f>
        <v/>
      </c>
      <c r="G1716" t="str">
        <f>""</f>
        <v/>
      </c>
      <c r="H1716" t="str">
        <f>""</f>
        <v/>
      </c>
      <c r="J1716" t="str">
        <f t="shared" si="23"/>
        <v>GUARDIAN</v>
      </c>
    </row>
    <row r="1717" spans="1:10" x14ac:dyDescent="0.3">
      <c r="A1717" t="str">
        <f>""</f>
        <v/>
      </c>
      <c r="G1717" t="str">
        <f>""</f>
        <v/>
      </c>
      <c r="H1717" t="str">
        <f>""</f>
        <v/>
      </c>
      <c r="J1717" t="str">
        <f t="shared" si="23"/>
        <v>GUARDIAN</v>
      </c>
    </row>
    <row r="1718" spans="1:10" x14ac:dyDescent="0.3">
      <c r="A1718" t="str">
        <f>""</f>
        <v/>
      </c>
      <c r="G1718" t="str">
        <f>""</f>
        <v/>
      </c>
      <c r="H1718" t="str">
        <f>""</f>
        <v/>
      </c>
      <c r="J1718" t="str">
        <f t="shared" si="23"/>
        <v>GUARDIAN</v>
      </c>
    </row>
    <row r="1719" spans="1:10" x14ac:dyDescent="0.3">
      <c r="A1719" t="str">
        <f>""</f>
        <v/>
      </c>
      <c r="G1719" t="str">
        <f>""</f>
        <v/>
      </c>
      <c r="H1719" t="str">
        <f>""</f>
        <v/>
      </c>
      <c r="J1719" t="str">
        <f t="shared" si="23"/>
        <v>GUARDIAN</v>
      </c>
    </row>
    <row r="1720" spans="1:10" x14ac:dyDescent="0.3">
      <c r="A1720" t="str">
        <f>""</f>
        <v/>
      </c>
      <c r="G1720" t="str">
        <f>""</f>
        <v/>
      </c>
      <c r="H1720" t="str">
        <f>""</f>
        <v/>
      </c>
      <c r="J1720" t="str">
        <f t="shared" si="23"/>
        <v>GUARDIAN</v>
      </c>
    </row>
    <row r="1721" spans="1:10" x14ac:dyDescent="0.3">
      <c r="A1721" t="str">
        <f>""</f>
        <v/>
      </c>
      <c r="G1721" t="str">
        <f>""</f>
        <v/>
      </c>
      <c r="H1721" t="str">
        <f>""</f>
        <v/>
      </c>
      <c r="J1721" t="str">
        <f t="shared" si="23"/>
        <v>GUARDIAN</v>
      </c>
    </row>
    <row r="1722" spans="1:10" x14ac:dyDescent="0.3">
      <c r="A1722" t="str">
        <f>""</f>
        <v/>
      </c>
      <c r="G1722" t="str">
        <f>""</f>
        <v/>
      </c>
      <c r="H1722" t="str">
        <f>""</f>
        <v/>
      </c>
      <c r="J1722" t="str">
        <f t="shared" si="23"/>
        <v>GUARDIAN</v>
      </c>
    </row>
    <row r="1723" spans="1:10" x14ac:dyDescent="0.3">
      <c r="A1723" t="str">
        <f>""</f>
        <v/>
      </c>
      <c r="G1723" t="str">
        <f>""</f>
        <v/>
      </c>
      <c r="H1723" t="str">
        <f>""</f>
        <v/>
      </c>
      <c r="J1723" t="str">
        <f t="shared" si="23"/>
        <v>GUARDIAN</v>
      </c>
    </row>
    <row r="1724" spans="1:10" x14ac:dyDescent="0.3">
      <c r="A1724" t="str">
        <f>""</f>
        <v/>
      </c>
      <c r="G1724" t="str">
        <f>""</f>
        <v/>
      </c>
      <c r="H1724" t="str">
        <f>""</f>
        <v/>
      </c>
      <c r="J1724" t="str">
        <f t="shared" si="23"/>
        <v>GUARDIAN</v>
      </c>
    </row>
    <row r="1725" spans="1:10" x14ac:dyDescent="0.3">
      <c r="A1725" t="str">
        <f>""</f>
        <v/>
      </c>
      <c r="G1725" t="str">
        <f>""</f>
        <v/>
      </c>
      <c r="H1725" t="str">
        <f>""</f>
        <v/>
      </c>
      <c r="J1725" t="str">
        <f t="shared" si="23"/>
        <v>GUARDIAN</v>
      </c>
    </row>
    <row r="1726" spans="1:10" x14ac:dyDescent="0.3">
      <c r="A1726" t="str">
        <f>""</f>
        <v/>
      </c>
      <c r="G1726" t="str">
        <f>""</f>
        <v/>
      </c>
      <c r="H1726" t="str">
        <f>""</f>
        <v/>
      </c>
      <c r="J1726" t="str">
        <f t="shared" si="23"/>
        <v>GUARDIAN</v>
      </c>
    </row>
    <row r="1727" spans="1:10" x14ac:dyDescent="0.3">
      <c r="A1727" t="str">
        <f>""</f>
        <v/>
      </c>
      <c r="G1727" t="str">
        <f>""</f>
        <v/>
      </c>
      <c r="H1727" t="str">
        <f>""</f>
        <v/>
      </c>
      <c r="J1727" t="str">
        <f t="shared" si="23"/>
        <v>GUARDIAN</v>
      </c>
    </row>
    <row r="1728" spans="1:10" x14ac:dyDescent="0.3">
      <c r="A1728" t="str">
        <f>""</f>
        <v/>
      </c>
      <c r="G1728" t="str">
        <f>""</f>
        <v/>
      </c>
      <c r="H1728" t="str">
        <f>""</f>
        <v/>
      </c>
      <c r="J1728" t="str">
        <f t="shared" si="23"/>
        <v>GUARDIAN</v>
      </c>
    </row>
    <row r="1729" spans="1:10" x14ac:dyDescent="0.3">
      <c r="A1729" t="str">
        <f>""</f>
        <v/>
      </c>
      <c r="G1729" t="str">
        <f>""</f>
        <v/>
      </c>
      <c r="H1729" t="str">
        <f>""</f>
        <v/>
      </c>
      <c r="J1729" t="str">
        <f t="shared" si="23"/>
        <v>GUARDIAN</v>
      </c>
    </row>
    <row r="1730" spans="1:10" x14ac:dyDescent="0.3">
      <c r="A1730" t="str">
        <f>""</f>
        <v/>
      </c>
      <c r="G1730" t="str">
        <f>""</f>
        <v/>
      </c>
      <c r="H1730" t="str">
        <f>""</f>
        <v/>
      </c>
      <c r="J1730" t="str">
        <f t="shared" si="23"/>
        <v>GUARDIAN</v>
      </c>
    </row>
    <row r="1731" spans="1:10" x14ac:dyDescent="0.3">
      <c r="A1731" t="str">
        <f>""</f>
        <v/>
      </c>
      <c r="G1731" t="str">
        <f>""</f>
        <v/>
      </c>
      <c r="H1731" t="str">
        <f>""</f>
        <v/>
      </c>
      <c r="J1731" t="str">
        <f t="shared" si="23"/>
        <v>GUARDIAN</v>
      </c>
    </row>
    <row r="1732" spans="1:10" x14ac:dyDescent="0.3">
      <c r="A1732" t="str">
        <f>""</f>
        <v/>
      </c>
      <c r="G1732" t="str">
        <f>""</f>
        <v/>
      </c>
      <c r="H1732" t="str">
        <f>""</f>
        <v/>
      </c>
      <c r="J1732" t="str">
        <f t="shared" si="23"/>
        <v>GUARDIAN</v>
      </c>
    </row>
    <row r="1733" spans="1:10" x14ac:dyDescent="0.3">
      <c r="A1733" t="str">
        <f>""</f>
        <v/>
      </c>
      <c r="G1733" t="str">
        <f>""</f>
        <v/>
      </c>
      <c r="H1733" t="str">
        <f>""</f>
        <v/>
      </c>
      <c r="J1733" t="str">
        <f t="shared" si="23"/>
        <v>GUARDIAN</v>
      </c>
    </row>
    <row r="1734" spans="1:10" x14ac:dyDescent="0.3">
      <c r="A1734" t="str">
        <f>""</f>
        <v/>
      </c>
      <c r="G1734" t="str">
        <f>""</f>
        <v/>
      </c>
      <c r="H1734" t="str">
        <f>""</f>
        <v/>
      </c>
      <c r="J1734" t="str">
        <f t="shared" si="23"/>
        <v>GUARDIAN</v>
      </c>
    </row>
    <row r="1735" spans="1:10" x14ac:dyDescent="0.3">
      <c r="A1735" t="str">
        <f>""</f>
        <v/>
      </c>
      <c r="G1735" t="str">
        <f>""</f>
        <v/>
      </c>
      <c r="H1735" t="str">
        <f>""</f>
        <v/>
      </c>
      <c r="J1735" t="str">
        <f t="shared" si="23"/>
        <v>GUARDIAN</v>
      </c>
    </row>
    <row r="1736" spans="1:10" x14ac:dyDescent="0.3">
      <c r="A1736" t="str">
        <f>""</f>
        <v/>
      </c>
      <c r="G1736" t="str">
        <f>""</f>
        <v/>
      </c>
      <c r="H1736" t="str">
        <f>""</f>
        <v/>
      </c>
      <c r="J1736" t="str">
        <f t="shared" si="23"/>
        <v>GUARDIAN</v>
      </c>
    </row>
    <row r="1737" spans="1:10" x14ac:dyDescent="0.3">
      <c r="A1737" t="str">
        <f>""</f>
        <v/>
      </c>
      <c r="G1737" t="str">
        <f>""</f>
        <v/>
      </c>
      <c r="H1737" t="str">
        <f>""</f>
        <v/>
      </c>
      <c r="J1737" t="str">
        <f t="shared" si="23"/>
        <v>GUARDIAN</v>
      </c>
    </row>
    <row r="1738" spans="1:10" x14ac:dyDescent="0.3">
      <c r="A1738" t="str">
        <f>""</f>
        <v/>
      </c>
      <c r="G1738" t="str">
        <f>""</f>
        <v/>
      </c>
      <c r="H1738" t="str">
        <f>""</f>
        <v/>
      </c>
      <c r="J1738" t="str">
        <f t="shared" si="23"/>
        <v>GUARDIAN</v>
      </c>
    </row>
    <row r="1739" spans="1:10" x14ac:dyDescent="0.3">
      <c r="A1739" t="str">
        <f>""</f>
        <v/>
      </c>
      <c r="G1739" t="str">
        <f>""</f>
        <v/>
      </c>
      <c r="H1739" t="str">
        <f>""</f>
        <v/>
      </c>
      <c r="J1739" t="str">
        <f t="shared" si="23"/>
        <v>GUARDIAN</v>
      </c>
    </row>
    <row r="1740" spans="1:10" x14ac:dyDescent="0.3">
      <c r="A1740" t="str">
        <f>""</f>
        <v/>
      </c>
      <c r="G1740" t="str">
        <f>""</f>
        <v/>
      </c>
      <c r="H1740" t="str">
        <f>""</f>
        <v/>
      </c>
      <c r="J1740" t="str">
        <f t="shared" si="23"/>
        <v>GUARDIAN</v>
      </c>
    </row>
    <row r="1741" spans="1:10" x14ac:dyDescent="0.3">
      <c r="A1741" t="str">
        <f>""</f>
        <v/>
      </c>
      <c r="G1741" t="str">
        <f>""</f>
        <v/>
      </c>
      <c r="H1741" t="str">
        <f>""</f>
        <v/>
      </c>
      <c r="J1741" t="str">
        <f t="shared" si="23"/>
        <v>GUARDIAN</v>
      </c>
    </row>
    <row r="1742" spans="1:10" x14ac:dyDescent="0.3">
      <c r="A1742" t="str">
        <f>""</f>
        <v/>
      </c>
      <c r="G1742" t="str">
        <f>""</f>
        <v/>
      </c>
      <c r="H1742" t="str">
        <f>""</f>
        <v/>
      </c>
      <c r="J1742" t="str">
        <f t="shared" si="23"/>
        <v>GUARDIAN</v>
      </c>
    </row>
    <row r="1743" spans="1:10" x14ac:dyDescent="0.3">
      <c r="A1743" t="str">
        <f>""</f>
        <v/>
      </c>
      <c r="G1743" t="str">
        <f>""</f>
        <v/>
      </c>
      <c r="H1743" t="str">
        <f>""</f>
        <v/>
      </c>
      <c r="J1743" t="str">
        <f t="shared" si="23"/>
        <v>GUARDIAN</v>
      </c>
    </row>
    <row r="1744" spans="1:10" x14ac:dyDescent="0.3">
      <c r="A1744" t="str">
        <f>""</f>
        <v/>
      </c>
      <c r="G1744" t="str">
        <f>"GDE201707263864"</f>
        <v>GDE201707263864</v>
      </c>
      <c r="H1744" t="str">
        <f>"GUARDIAN"</f>
        <v>GUARDIAN</v>
      </c>
      <c r="I1744" s="2">
        <v>162.80000000000001</v>
      </c>
      <c r="J1744" t="str">
        <f t="shared" si="23"/>
        <v>GUARDIAN</v>
      </c>
    </row>
    <row r="1745" spans="1:10" x14ac:dyDescent="0.3">
      <c r="A1745" t="str">
        <f>""</f>
        <v/>
      </c>
      <c r="G1745" t="str">
        <f>"GDF201707123599"</f>
        <v>GDF201707123599</v>
      </c>
      <c r="H1745" t="str">
        <f>"GUARDIAN"</f>
        <v>GUARDIAN</v>
      </c>
      <c r="I1745" s="2">
        <v>2076.04</v>
      </c>
      <c r="J1745" t="str">
        <f t="shared" si="23"/>
        <v>GUARDIAN</v>
      </c>
    </row>
    <row r="1746" spans="1:10" x14ac:dyDescent="0.3">
      <c r="A1746" t="str">
        <f>""</f>
        <v/>
      </c>
      <c r="G1746" t="str">
        <f>""</f>
        <v/>
      </c>
      <c r="H1746" t="str">
        <f>""</f>
        <v/>
      </c>
      <c r="J1746" t="str">
        <f t="shared" si="23"/>
        <v>GUARDIAN</v>
      </c>
    </row>
    <row r="1747" spans="1:10" x14ac:dyDescent="0.3">
      <c r="A1747" t="str">
        <f>""</f>
        <v/>
      </c>
      <c r="G1747" t="str">
        <f>""</f>
        <v/>
      </c>
      <c r="H1747" t="str">
        <f>""</f>
        <v/>
      </c>
      <c r="J1747" t="str">
        <f t="shared" si="23"/>
        <v>GUARDIAN</v>
      </c>
    </row>
    <row r="1748" spans="1:10" x14ac:dyDescent="0.3">
      <c r="A1748" t="str">
        <f>""</f>
        <v/>
      </c>
      <c r="G1748" t="str">
        <f>""</f>
        <v/>
      </c>
      <c r="H1748" t="str">
        <f>""</f>
        <v/>
      </c>
      <c r="J1748" t="str">
        <f t="shared" si="23"/>
        <v>GUARDIAN</v>
      </c>
    </row>
    <row r="1749" spans="1:10" x14ac:dyDescent="0.3">
      <c r="A1749" t="str">
        <f>""</f>
        <v/>
      </c>
      <c r="G1749" t="str">
        <f>""</f>
        <v/>
      </c>
      <c r="H1749" t="str">
        <f>""</f>
        <v/>
      </c>
      <c r="J1749" t="str">
        <f t="shared" si="23"/>
        <v>GUARDIAN</v>
      </c>
    </row>
    <row r="1750" spans="1:10" x14ac:dyDescent="0.3">
      <c r="A1750" t="str">
        <f>""</f>
        <v/>
      </c>
      <c r="G1750" t="str">
        <f>""</f>
        <v/>
      </c>
      <c r="H1750" t="str">
        <f>""</f>
        <v/>
      </c>
      <c r="J1750" t="str">
        <f t="shared" si="23"/>
        <v>GUARDIAN</v>
      </c>
    </row>
    <row r="1751" spans="1:10" x14ac:dyDescent="0.3">
      <c r="A1751" t="str">
        <f>""</f>
        <v/>
      </c>
      <c r="G1751" t="str">
        <f>""</f>
        <v/>
      </c>
      <c r="H1751" t="str">
        <f>""</f>
        <v/>
      </c>
      <c r="J1751" t="str">
        <f t="shared" si="23"/>
        <v>GUARDIAN</v>
      </c>
    </row>
    <row r="1752" spans="1:10" x14ac:dyDescent="0.3">
      <c r="A1752" t="str">
        <f>""</f>
        <v/>
      </c>
      <c r="G1752" t="str">
        <f>""</f>
        <v/>
      </c>
      <c r="H1752" t="str">
        <f>""</f>
        <v/>
      </c>
      <c r="J1752" t="str">
        <f t="shared" si="23"/>
        <v>GUARDIAN</v>
      </c>
    </row>
    <row r="1753" spans="1:10" x14ac:dyDescent="0.3">
      <c r="A1753" t="str">
        <f>""</f>
        <v/>
      </c>
      <c r="G1753" t="str">
        <f>""</f>
        <v/>
      </c>
      <c r="H1753" t="str">
        <f>""</f>
        <v/>
      </c>
      <c r="J1753" t="str">
        <f t="shared" si="23"/>
        <v>GUARDIAN</v>
      </c>
    </row>
    <row r="1754" spans="1:10" x14ac:dyDescent="0.3">
      <c r="A1754" t="str">
        <f>""</f>
        <v/>
      </c>
      <c r="G1754" t="str">
        <f>""</f>
        <v/>
      </c>
      <c r="H1754" t="str">
        <f>""</f>
        <v/>
      </c>
      <c r="J1754" t="str">
        <f t="shared" si="23"/>
        <v>GUARDIAN</v>
      </c>
    </row>
    <row r="1755" spans="1:10" x14ac:dyDescent="0.3">
      <c r="A1755" t="str">
        <f>""</f>
        <v/>
      </c>
      <c r="G1755" t="str">
        <f>""</f>
        <v/>
      </c>
      <c r="H1755" t="str">
        <f>""</f>
        <v/>
      </c>
      <c r="J1755" t="str">
        <f t="shared" si="23"/>
        <v>GUARDIAN</v>
      </c>
    </row>
    <row r="1756" spans="1:10" x14ac:dyDescent="0.3">
      <c r="A1756" t="str">
        <f>""</f>
        <v/>
      </c>
      <c r="G1756" t="str">
        <f>""</f>
        <v/>
      </c>
      <c r="H1756" t="str">
        <f>""</f>
        <v/>
      </c>
      <c r="J1756" t="str">
        <f t="shared" si="23"/>
        <v>GUARDIAN</v>
      </c>
    </row>
    <row r="1757" spans="1:10" x14ac:dyDescent="0.3">
      <c r="A1757" t="str">
        <f>""</f>
        <v/>
      </c>
      <c r="G1757" t="str">
        <f>""</f>
        <v/>
      </c>
      <c r="H1757" t="str">
        <f>""</f>
        <v/>
      </c>
      <c r="J1757" t="str">
        <f t="shared" si="23"/>
        <v>GUARDIAN</v>
      </c>
    </row>
    <row r="1758" spans="1:10" x14ac:dyDescent="0.3">
      <c r="A1758" t="str">
        <f>""</f>
        <v/>
      </c>
      <c r="G1758" t="str">
        <f>""</f>
        <v/>
      </c>
      <c r="H1758" t="str">
        <f>""</f>
        <v/>
      </c>
      <c r="J1758" t="str">
        <f t="shared" si="23"/>
        <v>GUARDIAN</v>
      </c>
    </row>
    <row r="1759" spans="1:10" x14ac:dyDescent="0.3">
      <c r="A1759" t="str">
        <f>""</f>
        <v/>
      </c>
      <c r="G1759" t="str">
        <f>""</f>
        <v/>
      </c>
      <c r="H1759" t="str">
        <f>""</f>
        <v/>
      </c>
      <c r="J1759" t="str">
        <f t="shared" si="23"/>
        <v>GUARDIAN</v>
      </c>
    </row>
    <row r="1760" spans="1:10" x14ac:dyDescent="0.3">
      <c r="A1760" t="str">
        <f>""</f>
        <v/>
      </c>
      <c r="G1760" t="str">
        <f>""</f>
        <v/>
      </c>
      <c r="H1760" t="str">
        <f>""</f>
        <v/>
      </c>
      <c r="J1760" t="str">
        <f t="shared" si="23"/>
        <v>GUARDIAN</v>
      </c>
    </row>
    <row r="1761" spans="1:10" x14ac:dyDescent="0.3">
      <c r="A1761" t="str">
        <f>""</f>
        <v/>
      </c>
      <c r="G1761" t="str">
        <f>""</f>
        <v/>
      </c>
      <c r="H1761" t="str">
        <f>""</f>
        <v/>
      </c>
      <c r="J1761" t="str">
        <f t="shared" si="23"/>
        <v>GUARDIAN</v>
      </c>
    </row>
    <row r="1762" spans="1:10" x14ac:dyDescent="0.3">
      <c r="A1762" t="str">
        <f>""</f>
        <v/>
      </c>
      <c r="G1762" t="str">
        <f>""</f>
        <v/>
      </c>
      <c r="H1762" t="str">
        <f>""</f>
        <v/>
      </c>
      <c r="J1762" t="str">
        <f t="shared" si="23"/>
        <v>GUARDIAN</v>
      </c>
    </row>
    <row r="1763" spans="1:10" x14ac:dyDescent="0.3">
      <c r="A1763" t="str">
        <f>""</f>
        <v/>
      </c>
      <c r="G1763" t="str">
        <f>""</f>
        <v/>
      </c>
      <c r="H1763" t="str">
        <f>""</f>
        <v/>
      </c>
      <c r="J1763" t="str">
        <f t="shared" si="23"/>
        <v>GUARDIAN</v>
      </c>
    </row>
    <row r="1764" spans="1:10" x14ac:dyDescent="0.3">
      <c r="A1764" t="str">
        <f>""</f>
        <v/>
      </c>
      <c r="G1764" t="str">
        <f>""</f>
        <v/>
      </c>
      <c r="H1764" t="str">
        <f>""</f>
        <v/>
      </c>
      <c r="J1764" t="str">
        <f t="shared" si="23"/>
        <v>GUARDIAN</v>
      </c>
    </row>
    <row r="1765" spans="1:10" x14ac:dyDescent="0.3">
      <c r="A1765" t="str">
        <f>""</f>
        <v/>
      </c>
      <c r="G1765" t="str">
        <f>""</f>
        <v/>
      </c>
      <c r="H1765" t="str">
        <f>""</f>
        <v/>
      </c>
      <c r="J1765" t="str">
        <f t="shared" si="23"/>
        <v>GUARDIAN</v>
      </c>
    </row>
    <row r="1766" spans="1:10" x14ac:dyDescent="0.3">
      <c r="A1766" t="str">
        <f>""</f>
        <v/>
      </c>
      <c r="G1766" t="str">
        <f>""</f>
        <v/>
      </c>
      <c r="H1766" t="str">
        <f>""</f>
        <v/>
      </c>
      <c r="J1766" t="str">
        <f t="shared" si="23"/>
        <v>GUARDIAN</v>
      </c>
    </row>
    <row r="1767" spans="1:10" x14ac:dyDescent="0.3">
      <c r="A1767" t="str">
        <f>""</f>
        <v/>
      </c>
      <c r="G1767" t="str">
        <f>""</f>
        <v/>
      </c>
      <c r="H1767" t="str">
        <f>""</f>
        <v/>
      </c>
      <c r="J1767" t="str">
        <f t="shared" si="23"/>
        <v>GUARDIAN</v>
      </c>
    </row>
    <row r="1768" spans="1:10" x14ac:dyDescent="0.3">
      <c r="A1768" t="str">
        <f>""</f>
        <v/>
      </c>
      <c r="G1768" t="str">
        <f>""</f>
        <v/>
      </c>
      <c r="H1768" t="str">
        <f>""</f>
        <v/>
      </c>
      <c r="J1768" t="str">
        <f t="shared" si="23"/>
        <v>GUARDIAN</v>
      </c>
    </row>
    <row r="1769" spans="1:10" x14ac:dyDescent="0.3">
      <c r="A1769" t="str">
        <f>""</f>
        <v/>
      </c>
      <c r="G1769" t="str">
        <f>""</f>
        <v/>
      </c>
      <c r="H1769" t="str">
        <f>""</f>
        <v/>
      </c>
      <c r="J1769" t="str">
        <f t="shared" si="23"/>
        <v>GUARDIAN</v>
      </c>
    </row>
    <row r="1770" spans="1:10" x14ac:dyDescent="0.3">
      <c r="A1770" t="str">
        <f>""</f>
        <v/>
      </c>
      <c r="G1770" t="str">
        <f>""</f>
        <v/>
      </c>
      <c r="H1770" t="str">
        <f>""</f>
        <v/>
      </c>
      <c r="J1770" t="str">
        <f t="shared" si="23"/>
        <v>GUARDIAN</v>
      </c>
    </row>
    <row r="1771" spans="1:10" x14ac:dyDescent="0.3">
      <c r="A1771" t="str">
        <f>""</f>
        <v/>
      </c>
      <c r="G1771" t="str">
        <f>"GDF201707123600"</f>
        <v>GDF201707123600</v>
      </c>
      <c r="H1771" t="str">
        <f>"GUARDIAN"</f>
        <v>GUARDIAN</v>
      </c>
      <c r="I1771" s="2">
        <v>96.56</v>
      </c>
      <c r="J1771" t="str">
        <f t="shared" si="23"/>
        <v>GUARDIAN</v>
      </c>
    </row>
    <row r="1772" spans="1:10" x14ac:dyDescent="0.3">
      <c r="A1772" t="str">
        <f>""</f>
        <v/>
      </c>
      <c r="G1772" t="str">
        <f>""</f>
        <v/>
      </c>
      <c r="H1772" t="str">
        <f>""</f>
        <v/>
      </c>
      <c r="J1772" t="str">
        <f t="shared" si="23"/>
        <v>GUARDIAN</v>
      </c>
    </row>
    <row r="1773" spans="1:10" x14ac:dyDescent="0.3">
      <c r="A1773" t="str">
        <f>""</f>
        <v/>
      </c>
      <c r="G1773" t="str">
        <f>"GDF201707263863"</f>
        <v>GDF201707263863</v>
      </c>
      <c r="H1773" t="str">
        <f>"GUARDIAN"</f>
        <v>GUARDIAN</v>
      </c>
      <c r="I1773" s="2">
        <v>2076.04</v>
      </c>
      <c r="J1773" t="str">
        <f t="shared" si="23"/>
        <v>GUARDIAN</v>
      </c>
    </row>
    <row r="1774" spans="1:10" x14ac:dyDescent="0.3">
      <c r="A1774" t="str">
        <f>""</f>
        <v/>
      </c>
      <c r="G1774" t="str">
        <f>""</f>
        <v/>
      </c>
      <c r="H1774" t="str">
        <f>""</f>
        <v/>
      </c>
      <c r="J1774" t="str">
        <f t="shared" si="23"/>
        <v>GUARDIAN</v>
      </c>
    </row>
    <row r="1775" spans="1:10" x14ac:dyDescent="0.3">
      <c r="A1775" t="str">
        <f>""</f>
        <v/>
      </c>
      <c r="G1775" t="str">
        <f>""</f>
        <v/>
      </c>
      <c r="H1775" t="str">
        <f>""</f>
        <v/>
      </c>
      <c r="J1775" t="str">
        <f t="shared" si="23"/>
        <v>GUARDIAN</v>
      </c>
    </row>
    <row r="1776" spans="1:10" x14ac:dyDescent="0.3">
      <c r="A1776" t="str">
        <f>""</f>
        <v/>
      </c>
      <c r="G1776" t="str">
        <f>""</f>
        <v/>
      </c>
      <c r="H1776" t="str">
        <f>""</f>
        <v/>
      </c>
      <c r="J1776" t="str">
        <f t="shared" si="23"/>
        <v>GUARDIAN</v>
      </c>
    </row>
    <row r="1777" spans="1:10" x14ac:dyDescent="0.3">
      <c r="A1777" t="str">
        <f>""</f>
        <v/>
      </c>
      <c r="G1777" t="str">
        <f>""</f>
        <v/>
      </c>
      <c r="H1777" t="str">
        <f>""</f>
        <v/>
      </c>
      <c r="J1777" t="str">
        <f t="shared" si="23"/>
        <v>GUARDIAN</v>
      </c>
    </row>
    <row r="1778" spans="1:10" x14ac:dyDescent="0.3">
      <c r="A1778" t="str">
        <f>""</f>
        <v/>
      </c>
      <c r="G1778" t="str">
        <f>""</f>
        <v/>
      </c>
      <c r="H1778" t="str">
        <f>""</f>
        <v/>
      </c>
      <c r="J1778" t="str">
        <f t="shared" si="23"/>
        <v>GUARDIAN</v>
      </c>
    </row>
    <row r="1779" spans="1:10" x14ac:dyDescent="0.3">
      <c r="A1779" t="str">
        <f>""</f>
        <v/>
      </c>
      <c r="G1779" t="str">
        <f>""</f>
        <v/>
      </c>
      <c r="H1779" t="str">
        <f>""</f>
        <v/>
      </c>
      <c r="J1779" t="str">
        <f t="shared" ref="J1779:J1842" si="24">"GUARDIAN"</f>
        <v>GUARDIAN</v>
      </c>
    </row>
    <row r="1780" spans="1:10" x14ac:dyDescent="0.3">
      <c r="A1780" t="str">
        <f>""</f>
        <v/>
      </c>
      <c r="G1780" t="str">
        <f>""</f>
        <v/>
      </c>
      <c r="H1780" t="str">
        <f>""</f>
        <v/>
      </c>
      <c r="J1780" t="str">
        <f t="shared" si="24"/>
        <v>GUARDIAN</v>
      </c>
    </row>
    <row r="1781" spans="1:10" x14ac:dyDescent="0.3">
      <c r="A1781" t="str">
        <f>""</f>
        <v/>
      </c>
      <c r="G1781" t="str">
        <f>""</f>
        <v/>
      </c>
      <c r="H1781" t="str">
        <f>""</f>
        <v/>
      </c>
      <c r="J1781" t="str">
        <f t="shared" si="24"/>
        <v>GUARDIAN</v>
      </c>
    </row>
    <row r="1782" spans="1:10" x14ac:dyDescent="0.3">
      <c r="A1782" t="str">
        <f>""</f>
        <v/>
      </c>
      <c r="G1782" t="str">
        <f>""</f>
        <v/>
      </c>
      <c r="H1782" t="str">
        <f>""</f>
        <v/>
      </c>
      <c r="J1782" t="str">
        <f t="shared" si="24"/>
        <v>GUARDIAN</v>
      </c>
    </row>
    <row r="1783" spans="1:10" x14ac:dyDescent="0.3">
      <c r="A1783" t="str">
        <f>""</f>
        <v/>
      </c>
      <c r="G1783" t="str">
        <f>""</f>
        <v/>
      </c>
      <c r="H1783" t="str">
        <f>""</f>
        <v/>
      </c>
      <c r="J1783" t="str">
        <f t="shared" si="24"/>
        <v>GUARDIAN</v>
      </c>
    </row>
    <row r="1784" spans="1:10" x14ac:dyDescent="0.3">
      <c r="A1784" t="str">
        <f>""</f>
        <v/>
      </c>
      <c r="G1784" t="str">
        <f>""</f>
        <v/>
      </c>
      <c r="H1784" t="str">
        <f>""</f>
        <v/>
      </c>
      <c r="J1784" t="str">
        <f t="shared" si="24"/>
        <v>GUARDIAN</v>
      </c>
    </row>
    <row r="1785" spans="1:10" x14ac:dyDescent="0.3">
      <c r="A1785" t="str">
        <f>""</f>
        <v/>
      </c>
      <c r="G1785" t="str">
        <f>""</f>
        <v/>
      </c>
      <c r="H1785" t="str">
        <f>""</f>
        <v/>
      </c>
      <c r="J1785" t="str">
        <f t="shared" si="24"/>
        <v>GUARDIAN</v>
      </c>
    </row>
    <row r="1786" spans="1:10" x14ac:dyDescent="0.3">
      <c r="A1786" t="str">
        <f>""</f>
        <v/>
      </c>
      <c r="G1786" t="str">
        <f>""</f>
        <v/>
      </c>
      <c r="H1786" t="str">
        <f>""</f>
        <v/>
      </c>
      <c r="J1786" t="str">
        <f t="shared" si="24"/>
        <v>GUARDIAN</v>
      </c>
    </row>
    <row r="1787" spans="1:10" x14ac:dyDescent="0.3">
      <c r="A1787" t="str">
        <f>""</f>
        <v/>
      </c>
      <c r="G1787" t="str">
        <f>""</f>
        <v/>
      </c>
      <c r="H1787" t="str">
        <f>""</f>
        <v/>
      </c>
      <c r="J1787" t="str">
        <f t="shared" si="24"/>
        <v>GUARDIAN</v>
      </c>
    </row>
    <row r="1788" spans="1:10" x14ac:dyDescent="0.3">
      <c r="A1788" t="str">
        <f>""</f>
        <v/>
      </c>
      <c r="G1788" t="str">
        <f>""</f>
        <v/>
      </c>
      <c r="H1788" t="str">
        <f>""</f>
        <v/>
      </c>
      <c r="J1788" t="str">
        <f t="shared" si="24"/>
        <v>GUARDIAN</v>
      </c>
    </row>
    <row r="1789" spans="1:10" x14ac:dyDescent="0.3">
      <c r="A1789" t="str">
        <f>""</f>
        <v/>
      </c>
      <c r="G1789" t="str">
        <f>""</f>
        <v/>
      </c>
      <c r="H1789" t="str">
        <f>""</f>
        <v/>
      </c>
      <c r="J1789" t="str">
        <f t="shared" si="24"/>
        <v>GUARDIAN</v>
      </c>
    </row>
    <row r="1790" spans="1:10" x14ac:dyDescent="0.3">
      <c r="A1790" t="str">
        <f>""</f>
        <v/>
      </c>
      <c r="G1790" t="str">
        <f>""</f>
        <v/>
      </c>
      <c r="H1790" t="str">
        <f>""</f>
        <v/>
      </c>
      <c r="J1790" t="str">
        <f t="shared" si="24"/>
        <v>GUARDIAN</v>
      </c>
    </row>
    <row r="1791" spans="1:10" x14ac:dyDescent="0.3">
      <c r="A1791" t="str">
        <f>""</f>
        <v/>
      </c>
      <c r="G1791" t="str">
        <f>""</f>
        <v/>
      </c>
      <c r="H1791" t="str">
        <f>""</f>
        <v/>
      </c>
      <c r="J1791" t="str">
        <f t="shared" si="24"/>
        <v>GUARDIAN</v>
      </c>
    </row>
    <row r="1792" spans="1:10" x14ac:dyDescent="0.3">
      <c r="A1792" t="str">
        <f>""</f>
        <v/>
      </c>
      <c r="G1792" t="str">
        <f>""</f>
        <v/>
      </c>
      <c r="H1792" t="str">
        <f>""</f>
        <v/>
      </c>
      <c r="J1792" t="str">
        <f t="shared" si="24"/>
        <v>GUARDIAN</v>
      </c>
    </row>
    <row r="1793" spans="1:10" x14ac:dyDescent="0.3">
      <c r="A1793" t="str">
        <f>""</f>
        <v/>
      </c>
      <c r="G1793" t="str">
        <f>""</f>
        <v/>
      </c>
      <c r="H1793" t="str">
        <f>""</f>
        <v/>
      </c>
      <c r="J1793" t="str">
        <f t="shared" si="24"/>
        <v>GUARDIAN</v>
      </c>
    </row>
    <row r="1794" spans="1:10" x14ac:dyDescent="0.3">
      <c r="A1794" t="str">
        <f>""</f>
        <v/>
      </c>
      <c r="G1794" t="str">
        <f>""</f>
        <v/>
      </c>
      <c r="H1794" t="str">
        <f>""</f>
        <v/>
      </c>
      <c r="J1794" t="str">
        <f t="shared" si="24"/>
        <v>GUARDIAN</v>
      </c>
    </row>
    <row r="1795" spans="1:10" x14ac:dyDescent="0.3">
      <c r="A1795" t="str">
        <f>""</f>
        <v/>
      </c>
      <c r="G1795" t="str">
        <f>""</f>
        <v/>
      </c>
      <c r="H1795" t="str">
        <f>""</f>
        <v/>
      </c>
      <c r="J1795" t="str">
        <f t="shared" si="24"/>
        <v>GUARDIAN</v>
      </c>
    </row>
    <row r="1796" spans="1:10" x14ac:dyDescent="0.3">
      <c r="A1796" t="str">
        <f>""</f>
        <v/>
      </c>
      <c r="G1796" t="str">
        <f>""</f>
        <v/>
      </c>
      <c r="H1796" t="str">
        <f>""</f>
        <v/>
      </c>
      <c r="J1796" t="str">
        <f t="shared" si="24"/>
        <v>GUARDIAN</v>
      </c>
    </row>
    <row r="1797" spans="1:10" x14ac:dyDescent="0.3">
      <c r="A1797" t="str">
        <f>""</f>
        <v/>
      </c>
      <c r="G1797" t="str">
        <f>""</f>
        <v/>
      </c>
      <c r="H1797" t="str">
        <f>""</f>
        <v/>
      </c>
      <c r="J1797" t="str">
        <f t="shared" si="24"/>
        <v>GUARDIAN</v>
      </c>
    </row>
    <row r="1798" spans="1:10" x14ac:dyDescent="0.3">
      <c r="A1798" t="str">
        <f>""</f>
        <v/>
      </c>
      <c r="G1798" t="str">
        <f>""</f>
        <v/>
      </c>
      <c r="H1798" t="str">
        <f>""</f>
        <v/>
      </c>
      <c r="J1798" t="str">
        <f t="shared" si="24"/>
        <v>GUARDIAN</v>
      </c>
    </row>
    <row r="1799" spans="1:10" x14ac:dyDescent="0.3">
      <c r="A1799" t="str">
        <f>""</f>
        <v/>
      </c>
      <c r="G1799" t="str">
        <f>"GDF201707263864"</f>
        <v>GDF201707263864</v>
      </c>
      <c r="H1799" t="str">
        <f>"GUARDIAN"</f>
        <v>GUARDIAN</v>
      </c>
      <c r="I1799" s="2">
        <v>96.56</v>
      </c>
      <c r="J1799" t="str">
        <f t="shared" si="24"/>
        <v>GUARDIAN</v>
      </c>
    </row>
    <row r="1800" spans="1:10" x14ac:dyDescent="0.3">
      <c r="A1800" t="str">
        <f>""</f>
        <v/>
      </c>
      <c r="G1800" t="str">
        <f>""</f>
        <v/>
      </c>
      <c r="H1800" t="str">
        <f>""</f>
        <v/>
      </c>
      <c r="J1800" t="str">
        <f t="shared" si="24"/>
        <v>GUARDIAN</v>
      </c>
    </row>
    <row r="1801" spans="1:10" x14ac:dyDescent="0.3">
      <c r="A1801" t="str">
        <f>""</f>
        <v/>
      </c>
      <c r="G1801" t="str">
        <f>"GDS201707123599"</f>
        <v>GDS201707123599</v>
      </c>
      <c r="H1801" t="str">
        <f>"GUARDIAN"</f>
        <v>GUARDIAN</v>
      </c>
      <c r="I1801" s="2">
        <v>1908.48</v>
      </c>
      <c r="J1801" t="str">
        <f t="shared" si="24"/>
        <v>GUARDIAN</v>
      </c>
    </row>
    <row r="1802" spans="1:10" x14ac:dyDescent="0.3">
      <c r="A1802" t="str">
        <f>""</f>
        <v/>
      </c>
      <c r="G1802" t="str">
        <f>""</f>
        <v/>
      </c>
      <c r="H1802" t="str">
        <f>""</f>
        <v/>
      </c>
      <c r="J1802" t="str">
        <f t="shared" si="24"/>
        <v>GUARDIAN</v>
      </c>
    </row>
    <row r="1803" spans="1:10" x14ac:dyDescent="0.3">
      <c r="A1803" t="str">
        <f>""</f>
        <v/>
      </c>
      <c r="G1803" t="str">
        <f>""</f>
        <v/>
      </c>
      <c r="H1803" t="str">
        <f>""</f>
        <v/>
      </c>
      <c r="J1803" t="str">
        <f t="shared" si="24"/>
        <v>GUARDIAN</v>
      </c>
    </row>
    <row r="1804" spans="1:10" x14ac:dyDescent="0.3">
      <c r="A1804" t="str">
        <f>""</f>
        <v/>
      </c>
      <c r="G1804" t="str">
        <f>""</f>
        <v/>
      </c>
      <c r="H1804" t="str">
        <f>""</f>
        <v/>
      </c>
      <c r="J1804" t="str">
        <f t="shared" si="24"/>
        <v>GUARDIAN</v>
      </c>
    </row>
    <row r="1805" spans="1:10" x14ac:dyDescent="0.3">
      <c r="A1805" t="str">
        <f>""</f>
        <v/>
      </c>
      <c r="G1805" t="str">
        <f>""</f>
        <v/>
      </c>
      <c r="H1805" t="str">
        <f>""</f>
        <v/>
      </c>
      <c r="J1805" t="str">
        <f t="shared" si="24"/>
        <v>GUARDIAN</v>
      </c>
    </row>
    <row r="1806" spans="1:10" x14ac:dyDescent="0.3">
      <c r="A1806" t="str">
        <f>""</f>
        <v/>
      </c>
      <c r="G1806" t="str">
        <f>""</f>
        <v/>
      </c>
      <c r="H1806" t="str">
        <f>""</f>
        <v/>
      </c>
      <c r="J1806" t="str">
        <f t="shared" si="24"/>
        <v>GUARDIAN</v>
      </c>
    </row>
    <row r="1807" spans="1:10" x14ac:dyDescent="0.3">
      <c r="A1807" t="str">
        <f>""</f>
        <v/>
      </c>
      <c r="G1807" t="str">
        <f>""</f>
        <v/>
      </c>
      <c r="H1807" t="str">
        <f>""</f>
        <v/>
      </c>
      <c r="J1807" t="str">
        <f t="shared" si="24"/>
        <v>GUARDIAN</v>
      </c>
    </row>
    <row r="1808" spans="1:10" x14ac:dyDescent="0.3">
      <c r="A1808" t="str">
        <f>""</f>
        <v/>
      </c>
      <c r="G1808" t="str">
        <f>""</f>
        <v/>
      </c>
      <c r="H1808" t="str">
        <f>""</f>
        <v/>
      </c>
      <c r="J1808" t="str">
        <f t="shared" si="24"/>
        <v>GUARDIAN</v>
      </c>
    </row>
    <row r="1809" spans="1:10" x14ac:dyDescent="0.3">
      <c r="A1809" t="str">
        <f>""</f>
        <v/>
      </c>
      <c r="G1809" t="str">
        <f>""</f>
        <v/>
      </c>
      <c r="H1809" t="str">
        <f>""</f>
        <v/>
      </c>
      <c r="J1809" t="str">
        <f t="shared" si="24"/>
        <v>GUARDIAN</v>
      </c>
    </row>
    <row r="1810" spans="1:10" x14ac:dyDescent="0.3">
      <c r="A1810" t="str">
        <f>""</f>
        <v/>
      </c>
      <c r="G1810" t="str">
        <f>""</f>
        <v/>
      </c>
      <c r="H1810" t="str">
        <f>""</f>
        <v/>
      </c>
      <c r="J1810" t="str">
        <f t="shared" si="24"/>
        <v>GUARDIAN</v>
      </c>
    </row>
    <row r="1811" spans="1:10" x14ac:dyDescent="0.3">
      <c r="A1811" t="str">
        <f>""</f>
        <v/>
      </c>
      <c r="G1811" t="str">
        <f>""</f>
        <v/>
      </c>
      <c r="H1811" t="str">
        <f>""</f>
        <v/>
      </c>
      <c r="J1811" t="str">
        <f t="shared" si="24"/>
        <v>GUARDIAN</v>
      </c>
    </row>
    <row r="1812" spans="1:10" x14ac:dyDescent="0.3">
      <c r="A1812" t="str">
        <f>""</f>
        <v/>
      </c>
      <c r="G1812" t="str">
        <f>""</f>
        <v/>
      </c>
      <c r="H1812" t="str">
        <f>""</f>
        <v/>
      </c>
      <c r="J1812" t="str">
        <f t="shared" si="24"/>
        <v>GUARDIAN</v>
      </c>
    </row>
    <row r="1813" spans="1:10" x14ac:dyDescent="0.3">
      <c r="A1813" t="str">
        <f>""</f>
        <v/>
      </c>
      <c r="G1813" t="str">
        <f>""</f>
        <v/>
      </c>
      <c r="H1813" t="str">
        <f>""</f>
        <v/>
      </c>
      <c r="J1813" t="str">
        <f t="shared" si="24"/>
        <v>GUARDIAN</v>
      </c>
    </row>
    <row r="1814" spans="1:10" x14ac:dyDescent="0.3">
      <c r="A1814" t="str">
        <f>""</f>
        <v/>
      </c>
      <c r="G1814" t="str">
        <f>""</f>
        <v/>
      </c>
      <c r="H1814" t="str">
        <f>""</f>
        <v/>
      </c>
      <c r="J1814" t="str">
        <f t="shared" si="24"/>
        <v>GUARDIAN</v>
      </c>
    </row>
    <row r="1815" spans="1:10" x14ac:dyDescent="0.3">
      <c r="A1815" t="str">
        <f>""</f>
        <v/>
      </c>
      <c r="G1815" t="str">
        <f>""</f>
        <v/>
      </c>
      <c r="H1815" t="str">
        <f>""</f>
        <v/>
      </c>
      <c r="J1815" t="str">
        <f t="shared" si="24"/>
        <v>GUARDIAN</v>
      </c>
    </row>
    <row r="1816" spans="1:10" x14ac:dyDescent="0.3">
      <c r="A1816" t="str">
        <f>""</f>
        <v/>
      </c>
      <c r="G1816" t="str">
        <f>""</f>
        <v/>
      </c>
      <c r="H1816" t="str">
        <f>""</f>
        <v/>
      </c>
      <c r="J1816" t="str">
        <f t="shared" si="24"/>
        <v>GUARDIAN</v>
      </c>
    </row>
    <row r="1817" spans="1:10" x14ac:dyDescent="0.3">
      <c r="A1817" t="str">
        <f>""</f>
        <v/>
      </c>
      <c r="G1817" t="str">
        <f>""</f>
        <v/>
      </c>
      <c r="H1817" t="str">
        <f>""</f>
        <v/>
      </c>
      <c r="J1817" t="str">
        <f t="shared" si="24"/>
        <v>GUARDIAN</v>
      </c>
    </row>
    <row r="1818" spans="1:10" x14ac:dyDescent="0.3">
      <c r="A1818" t="str">
        <f>""</f>
        <v/>
      </c>
      <c r="G1818" t="str">
        <f>""</f>
        <v/>
      </c>
      <c r="H1818" t="str">
        <f>""</f>
        <v/>
      </c>
      <c r="J1818" t="str">
        <f t="shared" si="24"/>
        <v>GUARDIAN</v>
      </c>
    </row>
    <row r="1819" spans="1:10" x14ac:dyDescent="0.3">
      <c r="A1819" t="str">
        <f>""</f>
        <v/>
      </c>
      <c r="G1819" t="str">
        <f>""</f>
        <v/>
      </c>
      <c r="H1819" t="str">
        <f>""</f>
        <v/>
      </c>
      <c r="J1819" t="str">
        <f t="shared" si="24"/>
        <v>GUARDIAN</v>
      </c>
    </row>
    <row r="1820" spans="1:10" x14ac:dyDescent="0.3">
      <c r="A1820" t="str">
        <f>""</f>
        <v/>
      </c>
      <c r="G1820" t="str">
        <f>""</f>
        <v/>
      </c>
      <c r="H1820" t="str">
        <f>""</f>
        <v/>
      </c>
      <c r="J1820" t="str">
        <f t="shared" si="24"/>
        <v>GUARDIAN</v>
      </c>
    </row>
    <row r="1821" spans="1:10" x14ac:dyDescent="0.3">
      <c r="A1821" t="str">
        <f>""</f>
        <v/>
      </c>
      <c r="G1821" t="str">
        <f>""</f>
        <v/>
      </c>
      <c r="H1821" t="str">
        <f>""</f>
        <v/>
      </c>
      <c r="J1821" t="str">
        <f t="shared" si="24"/>
        <v>GUARDIAN</v>
      </c>
    </row>
    <row r="1822" spans="1:10" x14ac:dyDescent="0.3">
      <c r="A1822" t="str">
        <f>""</f>
        <v/>
      </c>
      <c r="G1822" t="str">
        <f>""</f>
        <v/>
      </c>
      <c r="H1822" t="str">
        <f>""</f>
        <v/>
      </c>
      <c r="J1822" t="str">
        <f t="shared" si="24"/>
        <v>GUARDIAN</v>
      </c>
    </row>
    <row r="1823" spans="1:10" x14ac:dyDescent="0.3">
      <c r="A1823" t="str">
        <f>""</f>
        <v/>
      </c>
      <c r="G1823" t="str">
        <f>""</f>
        <v/>
      </c>
      <c r="H1823" t="str">
        <f>""</f>
        <v/>
      </c>
      <c r="J1823" t="str">
        <f t="shared" si="24"/>
        <v>GUARDIAN</v>
      </c>
    </row>
    <row r="1824" spans="1:10" x14ac:dyDescent="0.3">
      <c r="A1824" t="str">
        <f>""</f>
        <v/>
      </c>
      <c r="G1824" t="str">
        <f>""</f>
        <v/>
      </c>
      <c r="H1824" t="str">
        <f>""</f>
        <v/>
      </c>
      <c r="J1824" t="str">
        <f t="shared" si="24"/>
        <v>GUARDIAN</v>
      </c>
    </row>
    <row r="1825" spans="1:10" x14ac:dyDescent="0.3">
      <c r="A1825" t="str">
        <f>""</f>
        <v/>
      </c>
      <c r="G1825" t="str">
        <f>""</f>
        <v/>
      </c>
      <c r="H1825" t="str">
        <f>""</f>
        <v/>
      </c>
      <c r="J1825" t="str">
        <f t="shared" si="24"/>
        <v>GUARDIAN</v>
      </c>
    </row>
    <row r="1826" spans="1:10" x14ac:dyDescent="0.3">
      <c r="A1826" t="str">
        <f>""</f>
        <v/>
      </c>
      <c r="G1826" t="str">
        <f>""</f>
        <v/>
      </c>
      <c r="H1826" t="str">
        <f>""</f>
        <v/>
      </c>
      <c r="J1826" t="str">
        <f t="shared" si="24"/>
        <v>GUARDIAN</v>
      </c>
    </row>
    <row r="1827" spans="1:10" x14ac:dyDescent="0.3">
      <c r="A1827" t="str">
        <f>""</f>
        <v/>
      </c>
      <c r="G1827" t="str">
        <f>""</f>
        <v/>
      </c>
      <c r="H1827" t="str">
        <f>""</f>
        <v/>
      </c>
      <c r="J1827" t="str">
        <f t="shared" si="24"/>
        <v>GUARDIAN</v>
      </c>
    </row>
    <row r="1828" spans="1:10" x14ac:dyDescent="0.3">
      <c r="A1828" t="str">
        <f>""</f>
        <v/>
      </c>
      <c r="G1828" t="str">
        <f>""</f>
        <v/>
      </c>
      <c r="H1828" t="str">
        <f>""</f>
        <v/>
      </c>
      <c r="J1828" t="str">
        <f t="shared" si="24"/>
        <v>GUARDIAN</v>
      </c>
    </row>
    <row r="1829" spans="1:10" x14ac:dyDescent="0.3">
      <c r="A1829" t="str">
        <f>""</f>
        <v/>
      </c>
      <c r="G1829" t="str">
        <f>""</f>
        <v/>
      </c>
      <c r="H1829" t="str">
        <f>""</f>
        <v/>
      </c>
      <c r="J1829" t="str">
        <f t="shared" si="24"/>
        <v>GUARDIAN</v>
      </c>
    </row>
    <row r="1830" spans="1:10" x14ac:dyDescent="0.3">
      <c r="A1830" t="str">
        <f>""</f>
        <v/>
      </c>
      <c r="G1830" t="str">
        <f>""</f>
        <v/>
      </c>
      <c r="H1830" t="str">
        <f>""</f>
        <v/>
      </c>
      <c r="J1830" t="str">
        <f t="shared" si="24"/>
        <v>GUARDIAN</v>
      </c>
    </row>
    <row r="1831" spans="1:10" x14ac:dyDescent="0.3">
      <c r="A1831" t="str">
        <f>""</f>
        <v/>
      </c>
      <c r="G1831" t="str">
        <f>""</f>
        <v/>
      </c>
      <c r="H1831" t="str">
        <f>""</f>
        <v/>
      </c>
      <c r="J1831" t="str">
        <f t="shared" si="24"/>
        <v>GUARDIAN</v>
      </c>
    </row>
    <row r="1832" spans="1:10" x14ac:dyDescent="0.3">
      <c r="A1832" t="str">
        <f>""</f>
        <v/>
      </c>
      <c r="G1832" t="str">
        <f>"GDS201707123606"</f>
        <v>GDS201707123606</v>
      </c>
      <c r="H1832" t="str">
        <f>"GUARDIAN"</f>
        <v>GUARDIAN</v>
      </c>
      <c r="I1832" s="2">
        <v>59.64</v>
      </c>
      <c r="J1832" t="str">
        <f t="shared" si="24"/>
        <v>GUARDIAN</v>
      </c>
    </row>
    <row r="1833" spans="1:10" x14ac:dyDescent="0.3">
      <c r="A1833" t="str">
        <f>""</f>
        <v/>
      </c>
      <c r="G1833" t="str">
        <f>""</f>
        <v/>
      </c>
      <c r="H1833" t="str">
        <f>""</f>
        <v/>
      </c>
      <c r="J1833" t="str">
        <f t="shared" si="24"/>
        <v>GUARDIAN</v>
      </c>
    </row>
    <row r="1834" spans="1:10" x14ac:dyDescent="0.3">
      <c r="A1834" t="str">
        <f>""</f>
        <v/>
      </c>
      <c r="G1834" t="str">
        <f>"GDS201707263863"</f>
        <v>GDS201707263863</v>
      </c>
      <c r="H1834" t="str">
        <f>"GUARDIAN"</f>
        <v>GUARDIAN</v>
      </c>
      <c r="I1834" s="2">
        <v>1908.48</v>
      </c>
      <c r="J1834" t="str">
        <f t="shared" si="24"/>
        <v>GUARDIAN</v>
      </c>
    </row>
    <row r="1835" spans="1:10" x14ac:dyDescent="0.3">
      <c r="A1835" t="str">
        <f>""</f>
        <v/>
      </c>
      <c r="G1835" t="str">
        <f>""</f>
        <v/>
      </c>
      <c r="H1835" t="str">
        <f>""</f>
        <v/>
      </c>
      <c r="J1835" t="str">
        <f t="shared" si="24"/>
        <v>GUARDIAN</v>
      </c>
    </row>
    <row r="1836" spans="1:10" x14ac:dyDescent="0.3">
      <c r="A1836" t="str">
        <f>""</f>
        <v/>
      </c>
      <c r="G1836" t="str">
        <f>""</f>
        <v/>
      </c>
      <c r="H1836" t="str">
        <f>""</f>
        <v/>
      </c>
      <c r="J1836" t="str">
        <f t="shared" si="24"/>
        <v>GUARDIAN</v>
      </c>
    </row>
    <row r="1837" spans="1:10" x14ac:dyDescent="0.3">
      <c r="A1837" t="str">
        <f>""</f>
        <v/>
      </c>
      <c r="G1837" t="str">
        <f>""</f>
        <v/>
      </c>
      <c r="H1837" t="str">
        <f>""</f>
        <v/>
      </c>
      <c r="J1837" t="str">
        <f t="shared" si="24"/>
        <v>GUARDIAN</v>
      </c>
    </row>
    <row r="1838" spans="1:10" x14ac:dyDescent="0.3">
      <c r="A1838" t="str">
        <f>""</f>
        <v/>
      </c>
      <c r="G1838" t="str">
        <f>""</f>
        <v/>
      </c>
      <c r="H1838" t="str">
        <f>""</f>
        <v/>
      </c>
      <c r="J1838" t="str">
        <f t="shared" si="24"/>
        <v>GUARDIAN</v>
      </c>
    </row>
    <row r="1839" spans="1:10" x14ac:dyDescent="0.3">
      <c r="A1839" t="str">
        <f>""</f>
        <v/>
      </c>
      <c r="G1839" t="str">
        <f>""</f>
        <v/>
      </c>
      <c r="H1839" t="str">
        <f>""</f>
        <v/>
      </c>
      <c r="J1839" t="str">
        <f t="shared" si="24"/>
        <v>GUARDIAN</v>
      </c>
    </row>
    <row r="1840" spans="1:10" x14ac:dyDescent="0.3">
      <c r="A1840" t="str">
        <f>""</f>
        <v/>
      </c>
      <c r="G1840" t="str">
        <f>""</f>
        <v/>
      </c>
      <c r="H1840" t="str">
        <f>""</f>
        <v/>
      </c>
      <c r="J1840" t="str">
        <f t="shared" si="24"/>
        <v>GUARDIAN</v>
      </c>
    </row>
    <row r="1841" spans="1:10" x14ac:dyDescent="0.3">
      <c r="A1841" t="str">
        <f>""</f>
        <v/>
      </c>
      <c r="G1841" t="str">
        <f>""</f>
        <v/>
      </c>
      <c r="H1841" t="str">
        <f>""</f>
        <v/>
      </c>
      <c r="J1841" t="str">
        <f t="shared" si="24"/>
        <v>GUARDIAN</v>
      </c>
    </row>
    <row r="1842" spans="1:10" x14ac:dyDescent="0.3">
      <c r="A1842" t="str">
        <f>""</f>
        <v/>
      </c>
      <c r="G1842" t="str">
        <f>""</f>
        <v/>
      </c>
      <c r="H1842" t="str">
        <f>""</f>
        <v/>
      </c>
      <c r="J1842" t="str">
        <f t="shared" si="24"/>
        <v>GUARDIAN</v>
      </c>
    </row>
    <row r="1843" spans="1:10" x14ac:dyDescent="0.3">
      <c r="A1843" t="str">
        <f>""</f>
        <v/>
      </c>
      <c r="G1843" t="str">
        <f>""</f>
        <v/>
      </c>
      <c r="H1843" t="str">
        <f>""</f>
        <v/>
      </c>
      <c r="J1843" t="str">
        <f t="shared" ref="J1843:J1864" si="25">"GUARDIAN"</f>
        <v>GUARDIAN</v>
      </c>
    </row>
    <row r="1844" spans="1:10" x14ac:dyDescent="0.3">
      <c r="A1844" t="str">
        <f>""</f>
        <v/>
      </c>
      <c r="G1844" t="str">
        <f>""</f>
        <v/>
      </c>
      <c r="H1844" t="str">
        <f>""</f>
        <v/>
      </c>
      <c r="J1844" t="str">
        <f t="shared" si="25"/>
        <v>GUARDIAN</v>
      </c>
    </row>
    <row r="1845" spans="1:10" x14ac:dyDescent="0.3">
      <c r="A1845" t="str">
        <f>""</f>
        <v/>
      </c>
      <c r="G1845" t="str">
        <f>""</f>
        <v/>
      </c>
      <c r="H1845" t="str">
        <f>""</f>
        <v/>
      </c>
      <c r="J1845" t="str">
        <f t="shared" si="25"/>
        <v>GUARDIAN</v>
      </c>
    </row>
    <row r="1846" spans="1:10" x14ac:dyDescent="0.3">
      <c r="A1846" t="str">
        <f>""</f>
        <v/>
      </c>
      <c r="G1846" t="str">
        <f>""</f>
        <v/>
      </c>
      <c r="H1846" t="str">
        <f>""</f>
        <v/>
      </c>
      <c r="J1846" t="str">
        <f t="shared" si="25"/>
        <v>GUARDIAN</v>
      </c>
    </row>
    <row r="1847" spans="1:10" x14ac:dyDescent="0.3">
      <c r="A1847" t="str">
        <f>""</f>
        <v/>
      </c>
      <c r="G1847" t="str">
        <f>""</f>
        <v/>
      </c>
      <c r="H1847" t="str">
        <f>""</f>
        <v/>
      </c>
      <c r="J1847" t="str">
        <f t="shared" si="25"/>
        <v>GUARDIAN</v>
      </c>
    </row>
    <row r="1848" spans="1:10" x14ac:dyDescent="0.3">
      <c r="A1848" t="str">
        <f>""</f>
        <v/>
      </c>
      <c r="G1848" t="str">
        <f>""</f>
        <v/>
      </c>
      <c r="H1848" t="str">
        <f>""</f>
        <v/>
      </c>
      <c r="J1848" t="str">
        <f t="shared" si="25"/>
        <v>GUARDIAN</v>
      </c>
    </row>
    <row r="1849" spans="1:10" x14ac:dyDescent="0.3">
      <c r="A1849" t="str">
        <f>""</f>
        <v/>
      </c>
      <c r="G1849" t="str">
        <f>""</f>
        <v/>
      </c>
      <c r="H1849" t="str">
        <f>""</f>
        <v/>
      </c>
      <c r="J1849" t="str">
        <f t="shared" si="25"/>
        <v>GUARDIAN</v>
      </c>
    </row>
    <row r="1850" spans="1:10" x14ac:dyDescent="0.3">
      <c r="A1850" t="str">
        <f>""</f>
        <v/>
      </c>
      <c r="G1850" t="str">
        <f>""</f>
        <v/>
      </c>
      <c r="H1850" t="str">
        <f>""</f>
        <v/>
      </c>
      <c r="J1850" t="str">
        <f t="shared" si="25"/>
        <v>GUARDIAN</v>
      </c>
    </row>
    <row r="1851" spans="1:10" x14ac:dyDescent="0.3">
      <c r="A1851" t="str">
        <f>""</f>
        <v/>
      </c>
      <c r="G1851" t="str">
        <f>""</f>
        <v/>
      </c>
      <c r="H1851" t="str">
        <f>""</f>
        <v/>
      </c>
      <c r="J1851" t="str">
        <f t="shared" si="25"/>
        <v>GUARDIAN</v>
      </c>
    </row>
    <row r="1852" spans="1:10" x14ac:dyDescent="0.3">
      <c r="A1852" t="str">
        <f>""</f>
        <v/>
      </c>
      <c r="G1852" t="str">
        <f>""</f>
        <v/>
      </c>
      <c r="H1852" t="str">
        <f>""</f>
        <v/>
      </c>
      <c r="J1852" t="str">
        <f t="shared" si="25"/>
        <v>GUARDIAN</v>
      </c>
    </row>
    <row r="1853" spans="1:10" x14ac:dyDescent="0.3">
      <c r="A1853" t="str">
        <f>""</f>
        <v/>
      </c>
      <c r="G1853" t="str">
        <f>""</f>
        <v/>
      </c>
      <c r="H1853" t="str">
        <f>""</f>
        <v/>
      </c>
      <c r="J1853" t="str">
        <f t="shared" si="25"/>
        <v>GUARDIAN</v>
      </c>
    </row>
    <row r="1854" spans="1:10" x14ac:dyDescent="0.3">
      <c r="A1854" t="str">
        <f>""</f>
        <v/>
      </c>
      <c r="G1854" t="str">
        <f>""</f>
        <v/>
      </c>
      <c r="H1854" t="str">
        <f>""</f>
        <v/>
      </c>
      <c r="J1854" t="str">
        <f t="shared" si="25"/>
        <v>GUARDIAN</v>
      </c>
    </row>
    <row r="1855" spans="1:10" x14ac:dyDescent="0.3">
      <c r="A1855" t="str">
        <f>""</f>
        <v/>
      </c>
      <c r="G1855" t="str">
        <f>""</f>
        <v/>
      </c>
      <c r="H1855" t="str">
        <f>""</f>
        <v/>
      </c>
      <c r="J1855" t="str">
        <f t="shared" si="25"/>
        <v>GUARDIAN</v>
      </c>
    </row>
    <row r="1856" spans="1:10" x14ac:dyDescent="0.3">
      <c r="A1856" t="str">
        <f>""</f>
        <v/>
      </c>
      <c r="G1856" t="str">
        <f>""</f>
        <v/>
      </c>
      <c r="H1856" t="str">
        <f>""</f>
        <v/>
      </c>
      <c r="J1856" t="str">
        <f t="shared" si="25"/>
        <v>GUARDIAN</v>
      </c>
    </row>
    <row r="1857" spans="1:10" x14ac:dyDescent="0.3">
      <c r="A1857" t="str">
        <f>""</f>
        <v/>
      </c>
      <c r="G1857" t="str">
        <f>""</f>
        <v/>
      </c>
      <c r="H1857" t="str">
        <f>""</f>
        <v/>
      </c>
      <c r="J1857" t="str">
        <f t="shared" si="25"/>
        <v>GUARDIAN</v>
      </c>
    </row>
    <row r="1858" spans="1:10" x14ac:dyDescent="0.3">
      <c r="A1858" t="str">
        <f>""</f>
        <v/>
      </c>
      <c r="G1858" t="str">
        <f>""</f>
        <v/>
      </c>
      <c r="H1858" t="str">
        <f>""</f>
        <v/>
      </c>
      <c r="J1858" t="str">
        <f t="shared" si="25"/>
        <v>GUARDIAN</v>
      </c>
    </row>
    <row r="1859" spans="1:10" x14ac:dyDescent="0.3">
      <c r="A1859" t="str">
        <f>""</f>
        <v/>
      </c>
      <c r="G1859" t="str">
        <f>""</f>
        <v/>
      </c>
      <c r="H1859" t="str">
        <f>""</f>
        <v/>
      </c>
      <c r="J1859" t="str">
        <f t="shared" si="25"/>
        <v>GUARDIAN</v>
      </c>
    </row>
    <row r="1860" spans="1:10" x14ac:dyDescent="0.3">
      <c r="A1860" t="str">
        <f>""</f>
        <v/>
      </c>
      <c r="G1860" t="str">
        <f>""</f>
        <v/>
      </c>
      <c r="H1860" t="str">
        <f>""</f>
        <v/>
      </c>
      <c r="J1860" t="str">
        <f t="shared" si="25"/>
        <v>GUARDIAN</v>
      </c>
    </row>
    <row r="1861" spans="1:10" x14ac:dyDescent="0.3">
      <c r="A1861" t="str">
        <f>""</f>
        <v/>
      </c>
      <c r="G1861" t="str">
        <f>""</f>
        <v/>
      </c>
      <c r="H1861" t="str">
        <f>""</f>
        <v/>
      </c>
      <c r="J1861" t="str">
        <f t="shared" si="25"/>
        <v>GUARDIAN</v>
      </c>
    </row>
    <row r="1862" spans="1:10" x14ac:dyDescent="0.3">
      <c r="A1862" t="str">
        <f>""</f>
        <v/>
      </c>
      <c r="G1862" t="str">
        <f>""</f>
        <v/>
      </c>
      <c r="H1862" t="str">
        <f>""</f>
        <v/>
      </c>
      <c r="J1862" t="str">
        <f t="shared" si="25"/>
        <v>GUARDIAN</v>
      </c>
    </row>
    <row r="1863" spans="1:10" x14ac:dyDescent="0.3">
      <c r="A1863" t="str">
        <f>""</f>
        <v/>
      </c>
      <c r="G1863" t="str">
        <f>""</f>
        <v/>
      </c>
      <c r="H1863" t="str">
        <f>""</f>
        <v/>
      </c>
      <c r="J1863" t="str">
        <f t="shared" si="25"/>
        <v>GUARDIAN</v>
      </c>
    </row>
    <row r="1864" spans="1:10" x14ac:dyDescent="0.3">
      <c r="A1864" t="str">
        <f>""</f>
        <v/>
      </c>
      <c r="G1864" t="str">
        <f>""</f>
        <v/>
      </c>
      <c r="H1864" t="str">
        <f>""</f>
        <v/>
      </c>
      <c r="J1864" t="str">
        <f t="shared" si="25"/>
        <v>GUARDIAN</v>
      </c>
    </row>
    <row r="1865" spans="1:10" x14ac:dyDescent="0.3">
      <c r="A1865" t="str">
        <f>""</f>
        <v/>
      </c>
      <c r="G1865" t="str">
        <f>"GV1201707123599"</f>
        <v>GV1201707123599</v>
      </c>
      <c r="H1865" t="str">
        <f>"GUARDIAN VISION"</f>
        <v>GUARDIAN VISION</v>
      </c>
      <c r="I1865" s="2">
        <v>341.6</v>
      </c>
      <c r="J1865" t="str">
        <f>"GUARDIAN VISION"</f>
        <v>GUARDIAN VISION</v>
      </c>
    </row>
    <row r="1866" spans="1:10" x14ac:dyDescent="0.3">
      <c r="A1866" t="str">
        <f>""</f>
        <v/>
      </c>
      <c r="G1866" t="str">
        <f>"GV1201707123600"</f>
        <v>GV1201707123600</v>
      </c>
      <c r="H1866" t="str">
        <f>"GUARDIAN VISION"</f>
        <v>GUARDIAN VISION</v>
      </c>
      <c r="I1866" s="2">
        <v>5.6</v>
      </c>
      <c r="J1866" t="str">
        <f>"GUARDIAN VISION"</f>
        <v>GUARDIAN VISION</v>
      </c>
    </row>
    <row r="1867" spans="1:10" x14ac:dyDescent="0.3">
      <c r="A1867" t="str">
        <f>""</f>
        <v/>
      </c>
      <c r="G1867" t="str">
        <f>"GV1201707123606"</f>
        <v>GV1201707123606</v>
      </c>
      <c r="H1867" t="str">
        <f>"GUARDIAN VISION"</f>
        <v>GUARDIAN VISION</v>
      </c>
      <c r="I1867" s="2">
        <v>11.2</v>
      </c>
      <c r="J1867" t="str">
        <f>"GUARDIAN VISION"</f>
        <v>GUARDIAN VISION</v>
      </c>
    </row>
    <row r="1868" spans="1:10" x14ac:dyDescent="0.3">
      <c r="A1868" t="str">
        <f>""</f>
        <v/>
      </c>
      <c r="G1868" t="str">
        <f>"GV1201707263863"</f>
        <v>GV1201707263863</v>
      </c>
      <c r="H1868" t="str">
        <f>"GUARDIAN VISION"</f>
        <v>GUARDIAN VISION</v>
      </c>
      <c r="I1868" s="2">
        <v>341.6</v>
      </c>
      <c r="J1868" t="str">
        <f>"GUARDIAN VISION"</f>
        <v>GUARDIAN VISION</v>
      </c>
    </row>
    <row r="1869" spans="1:10" x14ac:dyDescent="0.3">
      <c r="A1869" t="str">
        <f>""</f>
        <v/>
      </c>
      <c r="G1869" t="str">
        <f>"GV1201707263864"</f>
        <v>GV1201707263864</v>
      </c>
      <c r="H1869" t="str">
        <f>"GUARDIAN VISION"</f>
        <v>GUARDIAN VISION</v>
      </c>
      <c r="I1869" s="2">
        <v>5.6</v>
      </c>
      <c r="J1869" t="str">
        <f>"GUARDIAN VISION"</f>
        <v>GUARDIAN VISION</v>
      </c>
    </row>
    <row r="1870" spans="1:10" x14ac:dyDescent="0.3">
      <c r="A1870" t="str">
        <f>""</f>
        <v/>
      </c>
      <c r="G1870" t="str">
        <f>"GVE201707123599"</f>
        <v>GVE201707123599</v>
      </c>
      <c r="H1870" t="str">
        <f>"GUARDIAN VISION VENDOR"</f>
        <v>GUARDIAN VISION VENDOR</v>
      </c>
      <c r="I1870" s="2">
        <v>535.04999999999995</v>
      </c>
      <c r="J1870" t="str">
        <f>"GUARDIAN VISION VENDOR"</f>
        <v>GUARDIAN VISION VENDOR</v>
      </c>
    </row>
    <row r="1871" spans="1:10" x14ac:dyDescent="0.3">
      <c r="A1871" t="str">
        <f>""</f>
        <v/>
      </c>
      <c r="G1871" t="str">
        <f>"GVE201707123600"</f>
        <v>GVE201707123600</v>
      </c>
      <c r="H1871" t="str">
        <f>"GUARDIAN VISION VENDOR"</f>
        <v>GUARDIAN VISION VENDOR</v>
      </c>
      <c r="I1871" s="2">
        <v>22.14</v>
      </c>
      <c r="J1871" t="str">
        <f>"GUARDIAN VISION VENDOR"</f>
        <v>GUARDIAN VISION VENDOR</v>
      </c>
    </row>
    <row r="1872" spans="1:10" x14ac:dyDescent="0.3">
      <c r="A1872" t="str">
        <f>""</f>
        <v/>
      </c>
      <c r="G1872" t="str">
        <f>"GVE201707263863"</f>
        <v>GVE201707263863</v>
      </c>
      <c r="H1872" t="str">
        <f>"GUARDIAN VISION VENDOR"</f>
        <v>GUARDIAN VISION VENDOR</v>
      </c>
      <c r="I1872" s="2">
        <v>527.66999999999996</v>
      </c>
      <c r="J1872" t="str">
        <f>"GUARDIAN VISION VENDOR"</f>
        <v>GUARDIAN VISION VENDOR</v>
      </c>
    </row>
    <row r="1873" spans="1:10" x14ac:dyDescent="0.3">
      <c r="A1873" t="str">
        <f>""</f>
        <v/>
      </c>
      <c r="G1873" t="str">
        <f>"GVE201707263864"</f>
        <v>GVE201707263864</v>
      </c>
      <c r="H1873" t="str">
        <f>"GUARDIAN VISION VENDOR"</f>
        <v>GUARDIAN VISION VENDOR</v>
      </c>
      <c r="I1873" s="2">
        <v>22.14</v>
      </c>
      <c r="J1873" t="str">
        <f>"GUARDIAN VISION VENDOR"</f>
        <v>GUARDIAN VISION VENDOR</v>
      </c>
    </row>
    <row r="1874" spans="1:10" x14ac:dyDescent="0.3">
      <c r="A1874" t="str">
        <f>""</f>
        <v/>
      </c>
      <c r="G1874" t="str">
        <f>"GVF201707123599"</f>
        <v>GVF201707123599</v>
      </c>
      <c r="H1874" t="str">
        <f>"GUARDIAN VISION"</f>
        <v>GUARDIAN VISION</v>
      </c>
      <c r="I1874" s="2">
        <v>462.95</v>
      </c>
      <c r="J1874" t="str">
        <f>"GUARDIAN VISION"</f>
        <v>GUARDIAN VISION</v>
      </c>
    </row>
    <row r="1875" spans="1:10" x14ac:dyDescent="0.3">
      <c r="A1875" t="str">
        <f>""</f>
        <v/>
      </c>
      <c r="G1875" t="str">
        <f>"GVF201707123600"</f>
        <v>GVF201707123600</v>
      </c>
      <c r="H1875" t="str">
        <f>"GUARDIAN VISION VENDOR"</f>
        <v>GUARDIAN VISION VENDOR</v>
      </c>
      <c r="I1875" s="2">
        <v>19.7</v>
      </c>
      <c r="J1875" t="str">
        <f>"GUARDIAN VISION VENDOR"</f>
        <v>GUARDIAN VISION VENDOR</v>
      </c>
    </row>
    <row r="1876" spans="1:10" x14ac:dyDescent="0.3">
      <c r="A1876" t="str">
        <f>""</f>
        <v/>
      </c>
      <c r="G1876" t="str">
        <f>"GVF201707263863"</f>
        <v>GVF201707263863</v>
      </c>
      <c r="H1876" t="str">
        <f>"GUARDIAN VISION"</f>
        <v>GUARDIAN VISION</v>
      </c>
      <c r="I1876" s="2">
        <v>462.95</v>
      </c>
      <c r="J1876" t="str">
        <f>"GUARDIAN VISION"</f>
        <v>GUARDIAN VISION</v>
      </c>
    </row>
    <row r="1877" spans="1:10" x14ac:dyDescent="0.3">
      <c r="A1877" t="str">
        <f>""</f>
        <v/>
      </c>
      <c r="G1877" t="str">
        <f>"GVF201707263864"</f>
        <v>GVF201707263864</v>
      </c>
      <c r="H1877" t="str">
        <f>"GUARDIAN VISION VENDOR"</f>
        <v>GUARDIAN VISION VENDOR</v>
      </c>
      <c r="I1877" s="2">
        <v>19.7</v>
      </c>
      <c r="J1877" t="str">
        <f>"GUARDIAN VISION VENDOR"</f>
        <v>GUARDIAN VISION VENDOR</v>
      </c>
    </row>
    <row r="1878" spans="1:10" x14ac:dyDescent="0.3">
      <c r="A1878" t="str">
        <f>""</f>
        <v/>
      </c>
      <c r="G1878" t="str">
        <f>"LIA201707123599"</f>
        <v>LIA201707123599</v>
      </c>
      <c r="H1878" t="str">
        <f>"GUARDIAN"</f>
        <v>GUARDIAN</v>
      </c>
      <c r="I1878" s="2">
        <v>166.16</v>
      </c>
      <c r="J1878" t="str">
        <f t="shared" ref="J1878:J1909" si="26">"GUARDIAN"</f>
        <v>GUARDIAN</v>
      </c>
    </row>
    <row r="1879" spans="1:10" x14ac:dyDescent="0.3">
      <c r="A1879" t="str">
        <f>""</f>
        <v/>
      </c>
      <c r="G1879" t="str">
        <f>""</f>
        <v/>
      </c>
      <c r="H1879" t="str">
        <f>""</f>
        <v/>
      </c>
      <c r="J1879" t="str">
        <f t="shared" si="26"/>
        <v>GUARDIAN</v>
      </c>
    </row>
    <row r="1880" spans="1:10" x14ac:dyDescent="0.3">
      <c r="A1880" t="str">
        <f>""</f>
        <v/>
      </c>
      <c r="G1880" t="str">
        <f>""</f>
        <v/>
      </c>
      <c r="H1880" t="str">
        <f>""</f>
        <v/>
      </c>
      <c r="J1880" t="str">
        <f t="shared" si="26"/>
        <v>GUARDIAN</v>
      </c>
    </row>
    <row r="1881" spans="1:10" x14ac:dyDescent="0.3">
      <c r="A1881" t="str">
        <f>""</f>
        <v/>
      </c>
      <c r="G1881" t="str">
        <f>""</f>
        <v/>
      </c>
      <c r="H1881" t="str">
        <f>""</f>
        <v/>
      </c>
      <c r="J1881" t="str">
        <f t="shared" si="26"/>
        <v>GUARDIAN</v>
      </c>
    </row>
    <row r="1882" spans="1:10" x14ac:dyDescent="0.3">
      <c r="A1882" t="str">
        <f>""</f>
        <v/>
      </c>
      <c r="G1882" t="str">
        <f>""</f>
        <v/>
      </c>
      <c r="H1882" t="str">
        <f>""</f>
        <v/>
      </c>
      <c r="J1882" t="str">
        <f t="shared" si="26"/>
        <v>GUARDIAN</v>
      </c>
    </row>
    <row r="1883" spans="1:10" x14ac:dyDescent="0.3">
      <c r="A1883" t="str">
        <f>""</f>
        <v/>
      </c>
      <c r="G1883" t="str">
        <f>""</f>
        <v/>
      </c>
      <c r="H1883" t="str">
        <f>""</f>
        <v/>
      </c>
      <c r="J1883" t="str">
        <f t="shared" si="26"/>
        <v>GUARDIAN</v>
      </c>
    </row>
    <row r="1884" spans="1:10" x14ac:dyDescent="0.3">
      <c r="A1884" t="str">
        <f>""</f>
        <v/>
      </c>
      <c r="G1884" t="str">
        <f>""</f>
        <v/>
      </c>
      <c r="H1884" t="str">
        <f>""</f>
        <v/>
      </c>
      <c r="J1884" t="str">
        <f t="shared" si="26"/>
        <v>GUARDIAN</v>
      </c>
    </row>
    <row r="1885" spans="1:10" x14ac:dyDescent="0.3">
      <c r="A1885" t="str">
        <f>""</f>
        <v/>
      </c>
      <c r="G1885" t="str">
        <f>""</f>
        <v/>
      </c>
      <c r="H1885" t="str">
        <f>""</f>
        <v/>
      </c>
      <c r="J1885" t="str">
        <f t="shared" si="26"/>
        <v>GUARDIAN</v>
      </c>
    </row>
    <row r="1886" spans="1:10" x14ac:dyDescent="0.3">
      <c r="A1886" t="str">
        <f>""</f>
        <v/>
      </c>
      <c r="G1886" t="str">
        <f>""</f>
        <v/>
      </c>
      <c r="H1886" t="str">
        <f>""</f>
        <v/>
      </c>
      <c r="J1886" t="str">
        <f t="shared" si="26"/>
        <v>GUARDIAN</v>
      </c>
    </row>
    <row r="1887" spans="1:10" x14ac:dyDescent="0.3">
      <c r="A1887" t="str">
        <f>""</f>
        <v/>
      </c>
      <c r="G1887" t="str">
        <f>""</f>
        <v/>
      </c>
      <c r="H1887" t="str">
        <f>""</f>
        <v/>
      </c>
      <c r="J1887" t="str">
        <f t="shared" si="26"/>
        <v>GUARDIAN</v>
      </c>
    </row>
    <row r="1888" spans="1:10" x14ac:dyDescent="0.3">
      <c r="A1888" t="str">
        <f>""</f>
        <v/>
      </c>
      <c r="G1888" t="str">
        <f>""</f>
        <v/>
      </c>
      <c r="H1888" t="str">
        <f>""</f>
        <v/>
      </c>
      <c r="J1888" t="str">
        <f t="shared" si="26"/>
        <v>GUARDIAN</v>
      </c>
    </row>
    <row r="1889" spans="1:10" x14ac:dyDescent="0.3">
      <c r="A1889" t="str">
        <f>""</f>
        <v/>
      </c>
      <c r="G1889" t="str">
        <f>""</f>
        <v/>
      </c>
      <c r="H1889" t="str">
        <f>""</f>
        <v/>
      </c>
      <c r="J1889" t="str">
        <f t="shared" si="26"/>
        <v>GUARDIAN</v>
      </c>
    </row>
    <row r="1890" spans="1:10" x14ac:dyDescent="0.3">
      <c r="A1890" t="str">
        <f>""</f>
        <v/>
      </c>
      <c r="G1890" t="str">
        <f>""</f>
        <v/>
      </c>
      <c r="H1890" t="str">
        <f>""</f>
        <v/>
      </c>
      <c r="J1890" t="str">
        <f t="shared" si="26"/>
        <v>GUARDIAN</v>
      </c>
    </row>
    <row r="1891" spans="1:10" x14ac:dyDescent="0.3">
      <c r="A1891" t="str">
        <f>""</f>
        <v/>
      </c>
      <c r="G1891" t="str">
        <f>""</f>
        <v/>
      </c>
      <c r="H1891" t="str">
        <f>""</f>
        <v/>
      </c>
      <c r="J1891" t="str">
        <f t="shared" si="26"/>
        <v>GUARDIAN</v>
      </c>
    </row>
    <row r="1892" spans="1:10" x14ac:dyDescent="0.3">
      <c r="A1892" t="str">
        <f>""</f>
        <v/>
      </c>
      <c r="G1892" t="str">
        <f>""</f>
        <v/>
      </c>
      <c r="H1892" t="str">
        <f>""</f>
        <v/>
      </c>
      <c r="J1892" t="str">
        <f t="shared" si="26"/>
        <v>GUARDIAN</v>
      </c>
    </row>
    <row r="1893" spans="1:10" x14ac:dyDescent="0.3">
      <c r="A1893" t="str">
        <f>""</f>
        <v/>
      </c>
      <c r="G1893" t="str">
        <f>""</f>
        <v/>
      </c>
      <c r="H1893" t="str">
        <f>""</f>
        <v/>
      </c>
      <c r="J1893" t="str">
        <f t="shared" si="26"/>
        <v>GUARDIAN</v>
      </c>
    </row>
    <row r="1894" spans="1:10" x14ac:dyDescent="0.3">
      <c r="A1894" t="str">
        <f>""</f>
        <v/>
      </c>
      <c r="G1894" t="str">
        <f>""</f>
        <v/>
      </c>
      <c r="H1894" t="str">
        <f>""</f>
        <v/>
      </c>
      <c r="J1894" t="str">
        <f t="shared" si="26"/>
        <v>GUARDIAN</v>
      </c>
    </row>
    <row r="1895" spans="1:10" x14ac:dyDescent="0.3">
      <c r="A1895" t="str">
        <f>""</f>
        <v/>
      </c>
      <c r="G1895" t="str">
        <f>""</f>
        <v/>
      </c>
      <c r="H1895" t="str">
        <f>""</f>
        <v/>
      </c>
      <c r="J1895" t="str">
        <f t="shared" si="26"/>
        <v>GUARDIAN</v>
      </c>
    </row>
    <row r="1896" spans="1:10" x14ac:dyDescent="0.3">
      <c r="A1896" t="str">
        <f>""</f>
        <v/>
      </c>
      <c r="G1896" t="str">
        <f>""</f>
        <v/>
      </c>
      <c r="H1896" t="str">
        <f>""</f>
        <v/>
      </c>
      <c r="J1896" t="str">
        <f t="shared" si="26"/>
        <v>GUARDIAN</v>
      </c>
    </row>
    <row r="1897" spans="1:10" x14ac:dyDescent="0.3">
      <c r="A1897" t="str">
        <f>""</f>
        <v/>
      </c>
      <c r="G1897" t="str">
        <f>""</f>
        <v/>
      </c>
      <c r="H1897" t="str">
        <f>""</f>
        <v/>
      </c>
      <c r="J1897" t="str">
        <f t="shared" si="26"/>
        <v>GUARDIAN</v>
      </c>
    </row>
    <row r="1898" spans="1:10" x14ac:dyDescent="0.3">
      <c r="A1898" t="str">
        <f>""</f>
        <v/>
      </c>
      <c r="G1898" t="str">
        <f>""</f>
        <v/>
      </c>
      <c r="H1898" t="str">
        <f>""</f>
        <v/>
      </c>
      <c r="J1898" t="str">
        <f t="shared" si="26"/>
        <v>GUARDIAN</v>
      </c>
    </row>
    <row r="1899" spans="1:10" x14ac:dyDescent="0.3">
      <c r="A1899" t="str">
        <f>""</f>
        <v/>
      </c>
      <c r="G1899" t="str">
        <f>""</f>
        <v/>
      </c>
      <c r="H1899" t="str">
        <f>""</f>
        <v/>
      </c>
      <c r="J1899" t="str">
        <f t="shared" si="26"/>
        <v>GUARDIAN</v>
      </c>
    </row>
    <row r="1900" spans="1:10" x14ac:dyDescent="0.3">
      <c r="A1900" t="str">
        <f>""</f>
        <v/>
      </c>
      <c r="G1900" t="str">
        <f>"LIA201707123606"</f>
        <v>LIA201707123606</v>
      </c>
      <c r="H1900" t="str">
        <f>"GUARDIAN"</f>
        <v>GUARDIAN</v>
      </c>
      <c r="I1900" s="2">
        <v>1.48</v>
      </c>
      <c r="J1900" t="str">
        <f t="shared" si="26"/>
        <v>GUARDIAN</v>
      </c>
    </row>
    <row r="1901" spans="1:10" x14ac:dyDescent="0.3">
      <c r="A1901" t="str">
        <f>""</f>
        <v/>
      </c>
      <c r="G1901" t="str">
        <f>"LIA201707263863"</f>
        <v>LIA201707263863</v>
      </c>
      <c r="H1901" t="str">
        <f>"GUARDIAN"</f>
        <v>GUARDIAN</v>
      </c>
      <c r="I1901" s="2">
        <v>107.2</v>
      </c>
      <c r="J1901" t="str">
        <f t="shared" si="26"/>
        <v>GUARDIAN</v>
      </c>
    </row>
    <row r="1902" spans="1:10" x14ac:dyDescent="0.3">
      <c r="A1902" t="str">
        <f>""</f>
        <v/>
      </c>
      <c r="G1902" t="str">
        <f>""</f>
        <v/>
      </c>
      <c r="H1902" t="str">
        <f>""</f>
        <v/>
      </c>
      <c r="J1902" t="str">
        <f t="shared" si="26"/>
        <v>GUARDIAN</v>
      </c>
    </row>
    <row r="1903" spans="1:10" x14ac:dyDescent="0.3">
      <c r="A1903" t="str">
        <f>""</f>
        <v/>
      </c>
      <c r="G1903" t="str">
        <f>""</f>
        <v/>
      </c>
      <c r="H1903" t="str">
        <f>""</f>
        <v/>
      </c>
      <c r="J1903" t="str">
        <f t="shared" si="26"/>
        <v>GUARDIAN</v>
      </c>
    </row>
    <row r="1904" spans="1:10" x14ac:dyDescent="0.3">
      <c r="A1904" t="str">
        <f>""</f>
        <v/>
      </c>
      <c r="G1904" t="str">
        <f>""</f>
        <v/>
      </c>
      <c r="H1904" t="str">
        <f>""</f>
        <v/>
      </c>
      <c r="J1904" t="str">
        <f t="shared" si="26"/>
        <v>GUARDIAN</v>
      </c>
    </row>
    <row r="1905" spans="1:10" x14ac:dyDescent="0.3">
      <c r="A1905" t="str">
        <f>""</f>
        <v/>
      </c>
      <c r="G1905" t="str">
        <f>""</f>
        <v/>
      </c>
      <c r="H1905" t="str">
        <f>""</f>
        <v/>
      </c>
      <c r="J1905" t="str">
        <f t="shared" si="26"/>
        <v>GUARDIAN</v>
      </c>
    </row>
    <row r="1906" spans="1:10" x14ac:dyDescent="0.3">
      <c r="A1906" t="str">
        <f>""</f>
        <v/>
      </c>
      <c r="G1906" t="str">
        <f>""</f>
        <v/>
      </c>
      <c r="H1906" t="str">
        <f>""</f>
        <v/>
      </c>
      <c r="J1906" t="str">
        <f t="shared" si="26"/>
        <v>GUARDIAN</v>
      </c>
    </row>
    <row r="1907" spans="1:10" x14ac:dyDescent="0.3">
      <c r="A1907" t="str">
        <f>""</f>
        <v/>
      </c>
      <c r="G1907" t="str">
        <f>""</f>
        <v/>
      </c>
      <c r="H1907" t="str">
        <f>""</f>
        <v/>
      </c>
      <c r="J1907" t="str">
        <f t="shared" si="26"/>
        <v>GUARDIAN</v>
      </c>
    </row>
    <row r="1908" spans="1:10" x14ac:dyDescent="0.3">
      <c r="A1908" t="str">
        <f>""</f>
        <v/>
      </c>
      <c r="G1908" t="str">
        <f>""</f>
        <v/>
      </c>
      <c r="H1908" t="str">
        <f>""</f>
        <v/>
      </c>
      <c r="J1908" t="str">
        <f t="shared" si="26"/>
        <v>GUARDIAN</v>
      </c>
    </row>
    <row r="1909" spans="1:10" x14ac:dyDescent="0.3">
      <c r="A1909" t="str">
        <f>""</f>
        <v/>
      </c>
      <c r="G1909" t="str">
        <f>""</f>
        <v/>
      </c>
      <c r="H1909" t="str">
        <f>""</f>
        <v/>
      </c>
      <c r="J1909" t="str">
        <f t="shared" si="26"/>
        <v>GUARDIAN</v>
      </c>
    </row>
    <row r="1910" spans="1:10" x14ac:dyDescent="0.3">
      <c r="A1910" t="str">
        <f>""</f>
        <v/>
      </c>
      <c r="G1910" t="str">
        <f>""</f>
        <v/>
      </c>
      <c r="H1910" t="str">
        <f>""</f>
        <v/>
      </c>
      <c r="J1910" t="str">
        <f t="shared" ref="J1910:J1941" si="27">"GUARDIAN"</f>
        <v>GUARDIAN</v>
      </c>
    </row>
    <row r="1911" spans="1:10" x14ac:dyDescent="0.3">
      <c r="A1911" t="str">
        <f>""</f>
        <v/>
      </c>
      <c r="G1911" t="str">
        <f>""</f>
        <v/>
      </c>
      <c r="H1911" t="str">
        <f>""</f>
        <v/>
      </c>
      <c r="J1911" t="str">
        <f t="shared" si="27"/>
        <v>GUARDIAN</v>
      </c>
    </row>
    <row r="1912" spans="1:10" x14ac:dyDescent="0.3">
      <c r="A1912" t="str">
        <f>""</f>
        <v/>
      </c>
      <c r="G1912" t="str">
        <f>""</f>
        <v/>
      </c>
      <c r="H1912" t="str">
        <f>""</f>
        <v/>
      </c>
      <c r="J1912" t="str">
        <f t="shared" si="27"/>
        <v>GUARDIAN</v>
      </c>
    </row>
    <row r="1913" spans="1:10" x14ac:dyDescent="0.3">
      <c r="A1913" t="str">
        <f>""</f>
        <v/>
      </c>
      <c r="G1913" t="str">
        <f>""</f>
        <v/>
      </c>
      <c r="H1913" t="str">
        <f>""</f>
        <v/>
      </c>
      <c r="J1913" t="str">
        <f t="shared" si="27"/>
        <v>GUARDIAN</v>
      </c>
    </row>
    <row r="1914" spans="1:10" x14ac:dyDescent="0.3">
      <c r="A1914" t="str">
        <f>""</f>
        <v/>
      </c>
      <c r="G1914" t="str">
        <f>""</f>
        <v/>
      </c>
      <c r="H1914" t="str">
        <f>""</f>
        <v/>
      </c>
      <c r="J1914" t="str">
        <f t="shared" si="27"/>
        <v>GUARDIAN</v>
      </c>
    </row>
    <row r="1915" spans="1:10" x14ac:dyDescent="0.3">
      <c r="A1915" t="str">
        <f>""</f>
        <v/>
      </c>
      <c r="G1915" t="str">
        <f>""</f>
        <v/>
      </c>
      <c r="H1915" t="str">
        <f>""</f>
        <v/>
      </c>
      <c r="J1915" t="str">
        <f t="shared" si="27"/>
        <v>GUARDIAN</v>
      </c>
    </row>
    <row r="1916" spans="1:10" x14ac:dyDescent="0.3">
      <c r="A1916" t="str">
        <f>""</f>
        <v/>
      </c>
      <c r="G1916" t="str">
        <f>""</f>
        <v/>
      </c>
      <c r="H1916" t="str">
        <f>""</f>
        <v/>
      </c>
      <c r="J1916" t="str">
        <f t="shared" si="27"/>
        <v>GUARDIAN</v>
      </c>
    </row>
    <row r="1917" spans="1:10" x14ac:dyDescent="0.3">
      <c r="A1917" t="str">
        <f>""</f>
        <v/>
      </c>
      <c r="G1917" t="str">
        <f>""</f>
        <v/>
      </c>
      <c r="H1917" t="str">
        <f>""</f>
        <v/>
      </c>
      <c r="J1917" t="str">
        <f t="shared" si="27"/>
        <v>GUARDIAN</v>
      </c>
    </row>
    <row r="1918" spans="1:10" x14ac:dyDescent="0.3">
      <c r="A1918" t="str">
        <f>""</f>
        <v/>
      </c>
      <c r="G1918" t="str">
        <f>""</f>
        <v/>
      </c>
      <c r="H1918" t="str">
        <f>""</f>
        <v/>
      </c>
      <c r="J1918" t="str">
        <f t="shared" si="27"/>
        <v>GUARDIAN</v>
      </c>
    </row>
    <row r="1919" spans="1:10" x14ac:dyDescent="0.3">
      <c r="A1919" t="str">
        <f>""</f>
        <v/>
      </c>
      <c r="G1919" t="str">
        <f>""</f>
        <v/>
      </c>
      <c r="H1919" t="str">
        <f>""</f>
        <v/>
      </c>
      <c r="J1919" t="str">
        <f t="shared" si="27"/>
        <v>GUARDIAN</v>
      </c>
    </row>
    <row r="1920" spans="1:10" x14ac:dyDescent="0.3">
      <c r="A1920" t="str">
        <f>""</f>
        <v/>
      </c>
      <c r="G1920" t="str">
        <f>""</f>
        <v/>
      </c>
      <c r="H1920" t="str">
        <f>""</f>
        <v/>
      </c>
      <c r="J1920" t="str">
        <f t="shared" si="27"/>
        <v>GUARDIAN</v>
      </c>
    </row>
    <row r="1921" spans="1:10" x14ac:dyDescent="0.3">
      <c r="A1921" t="str">
        <f>""</f>
        <v/>
      </c>
      <c r="G1921" t="str">
        <f>""</f>
        <v/>
      </c>
      <c r="H1921" t="str">
        <f>""</f>
        <v/>
      </c>
      <c r="J1921" t="str">
        <f t="shared" si="27"/>
        <v>GUARDIAN</v>
      </c>
    </row>
    <row r="1922" spans="1:10" x14ac:dyDescent="0.3">
      <c r="A1922" t="str">
        <f>""</f>
        <v/>
      </c>
      <c r="G1922" t="str">
        <f>""</f>
        <v/>
      </c>
      <c r="H1922" t="str">
        <f>""</f>
        <v/>
      </c>
      <c r="J1922" t="str">
        <f t="shared" si="27"/>
        <v>GUARDIAN</v>
      </c>
    </row>
    <row r="1923" spans="1:10" x14ac:dyDescent="0.3">
      <c r="A1923" t="str">
        <f>""</f>
        <v/>
      </c>
      <c r="G1923" t="str">
        <f>"LIC201707123599"</f>
        <v>LIC201707123599</v>
      </c>
      <c r="H1923" t="str">
        <f>"GUARDIAN"</f>
        <v>GUARDIAN</v>
      </c>
      <c r="I1923" s="2">
        <v>37.4</v>
      </c>
      <c r="J1923" t="str">
        <f t="shared" si="27"/>
        <v>GUARDIAN</v>
      </c>
    </row>
    <row r="1924" spans="1:10" x14ac:dyDescent="0.3">
      <c r="A1924" t="str">
        <f>""</f>
        <v/>
      </c>
      <c r="G1924" t="str">
        <f>"LIC201707123600"</f>
        <v>LIC201707123600</v>
      </c>
      <c r="H1924" t="str">
        <f>"GUARDIAN"</f>
        <v>GUARDIAN</v>
      </c>
      <c r="I1924" s="2">
        <v>1.05</v>
      </c>
      <c r="J1924" t="str">
        <f t="shared" si="27"/>
        <v>GUARDIAN</v>
      </c>
    </row>
    <row r="1925" spans="1:10" x14ac:dyDescent="0.3">
      <c r="A1925" t="str">
        <f>""</f>
        <v/>
      </c>
      <c r="G1925" t="str">
        <f>"LIC201707263863"</f>
        <v>LIC201707263863</v>
      </c>
      <c r="H1925" t="str">
        <f>"GUARDIAN"</f>
        <v>GUARDIAN</v>
      </c>
      <c r="I1925" s="2">
        <v>37.4</v>
      </c>
      <c r="J1925" t="str">
        <f t="shared" si="27"/>
        <v>GUARDIAN</v>
      </c>
    </row>
    <row r="1926" spans="1:10" x14ac:dyDescent="0.3">
      <c r="A1926" t="str">
        <f>""</f>
        <v/>
      </c>
      <c r="G1926" t="str">
        <f>"LIC201707263864"</f>
        <v>LIC201707263864</v>
      </c>
      <c r="H1926" t="str">
        <f>"GUARDIAN"</f>
        <v>GUARDIAN</v>
      </c>
      <c r="I1926" s="2">
        <v>1.05</v>
      </c>
      <c r="J1926" t="str">
        <f t="shared" si="27"/>
        <v>GUARDIAN</v>
      </c>
    </row>
    <row r="1927" spans="1:10" x14ac:dyDescent="0.3">
      <c r="A1927" t="str">
        <f>""</f>
        <v/>
      </c>
      <c r="G1927" t="str">
        <f>"LIE201707123599"</f>
        <v>LIE201707123599</v>
      </c>
      <c r="H1927" t="str">
        <f>"GUARDIAN"</f>
        <v>GUARDIAN</v>
      </c>
      <c r="I1927" s="2">
        <v>3108</v>
      </c>
      <c r="J1927" t="str">
        <f t="shared" si="27"/>
        <v>GUARDIAN</v>
      </c>
    </row>
    <row r="1928" spans="1:10" x14ac:dyDescent="0.3">
      <c r="A1928" t="str">
        <f>""</f>
        <v/>
      </c>
      <c r="G1928" t="str">
        <f>""</f>
        <v/>
      </c>
      <c r="H1928" t="str">
        <f>""</f>
        <v/>
      </c>
      <c r="J1928" t="str">
        <f t="shared" si="27"/>
        <v>GUARDIAN</v>
      </c>
    </row>
    <row r="1929" spans="1:10" x14ac:dyDescent="0.3">
      <c r="A1929" t="str">
        <f>""</f>
        <v/>
      </c>
      <c r="G1929" t="str">
        <f>""</f>
        <v/>
      </c>
      <c r="H1929" t="str">
        <f>""</f>
        <v/>
      </c>
      <c r="J1929" t="str">
        <f t="shared" si="27"/>
        <v>GUARDIAN</v>
      </c>
    </row>
    <row r="1930" spans="1:10" x14ac:dyDescent="0.3">
      <c r="A1930" t="str">
        <f>""</f>
        <v/>
      </c>
      <c r="G1930" t="str">
        <f>""</f>
        <v/>
      </c>
      <c r="H1930" t="str">
        <f>""</f>
        <v/>
      </c>
      <c r="J1930" t="str">
        <f t="shared" si="27"/>
        <v>GUARDIAN</v>
      </c>
    </row>
    <row r="1931" spans="1:10" x14ac:dyDescent="0.3">
      <c r="A1931" t="str">
        <f>""</f>
        <v/>
      </c>
      <c r="G1931" t="str">
        <f>""</f>
        <v/>
      </c>
      <c r="H1931" t="str">
        <f>""</f>
        <v/>
      </c>
      <c r="J1931" t="str">
        <f t="shared" si="27"/>
        <v>GUARDIAN</v>
      </c>
    </row>
    <row r="1932" spans="1:10" x14ac:dyDescent="0.3">
      <c r="A1932" t="str">
        <f>""</f>
        <v/>
      </c>
      <c r="G1932" t="str">
        <f>""</f>
        <v/>
      </c>
      <c r="H1932" t="str">
        <f>""</f>
        <v/>
      </c>
      <c r="J1932" t="str">
        <f t="shared" si="27"/>
        <v>GUARDIAN</v>
      </c>
    </row>
    <row r="1933" spans="1:10" x14ac:dyDescent="0.3">
      <c r="A1933" t="str">
        <f>""</f>
        <v/>
      </c>
      <c r="G1933" t="str">
        <f>""</f>
        <v/>
      </c>
      <c r="H1933" t="str">
        <f>""</f>
        <v/>
      </c>
      <c r="J1933" t="str">
        <f t="shared" si="27"/>
        <v>GUARDIAN</v>
      </c>
    </row>
    <row r="1934" spans="1:10" x14ac:dyDescent="0.3">
      <c r="A1934" t="str">
        <f>""</f>
        <v/>
      </c>
      <c r="G1934" t="str">
        <f>""</f>
        <v/>
      </c>
      <c r="H1934" t="str">
        <f>""</f>
        <v/>
      </c>
      <c r="J1934" t="str">
        <f t="shared" si="27"/>
        <v>GUARDIAN</v>
      </c>
    </row>
    <row r="1935" spans="1:10" x14ac:dyDescent="0.3">
      <c r="A1935" t="str">
        <f>""</f>
        <v/>
      </c>
      <c r="G1935" t="str">
        <f>""</f>
        <v/>
      </c>
      <c r="H1935" t="str">
        <f>""</f>
        <v/>
      </c>
      <c r="J1935" t="str">
        <f t="shared" si="27"/>
        <v>GUARDIAN</v>
      </c>
    </row>
    <row r="1936" spans="1:10" x14ac:dyDescent="0.3">
      <c r="A1936" t="str">
        <f>""</f>
        <v/>
      </c>
      <c r="G1936" t="str">
        <f>""</f>
        <v/>
      </c>
      <c r="H1936" t="str">
        <f>""</f>
        <v/>
      </c>
      <c r="J1936" t="str">
        <f t="shared" si="27"/>
        <v>GUARDIAN</v>
      </c>
    </row>
    <row r="1937" spans="1:10" x14ac:dyDescent="0.3">
      <c r="A1937" t="str">
        <f>""</f>
        <v/>
      </c>
      <c r="G1937" t="str">
        <f>""</f>
        <v/>
      </c>
      <c r="H1937" t="str">
        <f>""</f>
        <v/>
      </c>
      <c r="J1937" t="str">
        <f t="shared" si="27"/>
        <v>GUARDIAN</v>
      </c>
    </row>
    <row r="1938" spans="1:10" x14ac:dyDescent="0.3">
      <c r="A1938" t="str">
        <f>""</f>
        <v/>
      </c>
      <c r="G1938" t="str">
        <f>""</f>
        <v/>
      </c>
      <c r="H1938" t="str">
        <f>""</f>
        <v/>
      </c>
      <c r="J1938" t="str">
        <f t="shared" si="27"/>
        <v>GUARDIAN</v>
      </c>
    </row>
    <row r="1939" spans="1:10" x14ac:dyDescent="0.3">
      <c r="A1939" t="str">
        <f>""</f>
        <v/>
      </c>
      <c r="G1939" t="str">
        <f>""</f>
        <v/>
      </c>
      <c r="H1939" t="str">
        <f>""</f>
        <v/>
      </c>
      <c r="J1939" t="str">
        <f t="shared" si="27"/>
        <v>GUARDIAN</v>
      </c>
    </row>
    <row r="1940" spans="1:10" x14ac:dyDescent="0.3">
      <c r="A1940" t="str">
        <f>""</f>
        <v/>
      </c>
      <c r="G1940" t="str">
        <f>""</f>
        <v/>
      </c>
      <c r="H1940" t="str">
        <f>""</f>
        <v/>
      </c>
      <c r="J1940" t="str">
        <f t="shared" si="27"/>
        <v>GUARDIAN</v>
      </c>
    </row>
    <row r="1941" spans="1:10" x14ac:dyDescent="0.3">
      <c r="A1941" t="str">
        <f>""</f>
        <v/>
      </c>
      <c r="G1941" t="str">
        <f>""</f>
        <v/>
      </c>
      <c r="H1941" t="str">
        <f>""</f>
        <v/>
      </c>
      <c r="J1941" t="str">
        <f t="shared" si="27"/>
        <v>GUARDIAN</v>
      </c>
    </row>
    <row r="1942" spans="1:10" x14ac:dyDescent="0.3">
      <c r="A1942" t="str">
        <f>""</f>
        <v/>
      </c>
      <c r="G1942" t="str">
        <f>""</f>
        <v/>
      </c>
      <c r="H1942" t="str">
        <f>""</f>
        <v/>
      </c>
      <c r="J1942" t="str">
        <f t="shared" ref="J1942:J1973" si="28">"GUARDIAN"</f>
        <v>GUARDIAN</v>
      </c>
    </row>
    <row r="1943" spans="1:10" x14ac:dyDescent="0.3">
      <c r="A1943" t="str">
        <f>""</f>
        <v/>
      </c>
      <c r="G1943" t="str">
        <f>""</f>
        <v/>
      </c>
      <c r="H1943" t="str">
        <f>""</f>
        <v/>
      </c>
      <c r="J1943" t="str">
        <f t="shared" si="28"/>
        <v>GUARDIAN</v>
      </c>
    </row>
    <row r="1944" spans="1:10" x14ac:dyDescent="0.3">
      <c r="A1944" t="str">
        <f>""</f>
        <v/>
      </c>
      <c r="G1944" t="str">
        <f>""</f>
        <v/>
      </c>
      <c r="H1944" t="str">
        <f>""</f>
        <v/>
      </c>
      <c r="J1944" t="str">
        <f t="shared" si="28"/>
        <v>GUARDIAN</v>
      </c>
    </row>
    <row r="1945" spans="1:10" x14ac:dyDescent="0.3">
      <c r="A1945" t="str">
        <f>""</f>
        <v/>
      </c>
      <c r="G1945" t="str">
        <f>""</f>
        <v/>
      </c>
      <c r="H1945" t="str">
        <f>""</f>
        <v/>
      </c>
      <c r="J1945" t="str">
        <f t="shared" si="28"/>
        <v>GUARDIAN</v>
      </c>
    </row>
    <row r="1946" spans="1:10" x14ac:dyDescent="0.3">
      <c r="A1946" t="str">
        <f>""</f>
        <v/>
      </c>
      <c r="G1946" t="str">
        <f>""</f>
        <v/>
      </c>
      <c r="H1946" t="str">
        <f>""</f>
        <v/>
      </c>
      <c r="J1946" t="str">
        <f t="shared" si="28"/>
        <v>GUARDIAN</v>
      </c>
    </row>
    <row r="1947" spans="1:10" x14ac:dyDescent="0.3">
      <c r="A1947" t="str">
        <f>""</f>
        <v/>
      </c>
      <c r="G1947" t="str">
        <f>""</f>
        <v/>
      </c>
      <c r="H1947" t="str">
        <f>""</f>
        <v/>
      </c>
      <c r="J1947" t="str">
        <f t="shared" si="28"/>
        <v>GUARDIAN</v>
      </c>
    </row>
    <row r="1948" spans="1:10" x14ac:dyDescent="0.3">
      <c r="A1948" t="str">
        <f>""</f>
        <v/>
      </c>
      <c r="G1948" t="str">
        <f>""</f>
        <v/>
      </c>
      <c r="H1948" t="str">
        <f>""</f>
        <v/>
      </c>
      <c r="J1948" t="str">
        <f t="shared" si="28"/>
        <v>GUARDIAN</v>
      </c>
    </row>
    <row r="1949" spans="1:10" x14ac:dyDescent="0.3">
      <c r="A1949" t="str">
        <f>""</f>
        <v/>
      </c>
      <c r="G1949" t="str">
        <f>""</f>
        <v/>
      </c>
      <c r="H1949" t="str">
        <f>""</f>
        <v/>
      </c>
      <c r="J1949" t="str">
        <f t="shared" si="28"/>
        <v>GUARDIAN</v>
      </c>
    </row>
    <row r="1950" spans="1:10" x14ac:dyDescent="0.3">
      <c r="A1950" t="str">
        <f>""</f>
        <v/>
      </c>
      <c r="G1950" t="str">
        <f>""</f>
        <v/>
      </c>
      <c r="H1950" t="str">
        <f>""</f>
        <v/>
      </c>
      <c r="J1950" t="str">
        <f t="shared" si="28"/>
        <v>GUARDIAN</v>
      </c>
    </row>
    <row r="1951" spans="1:10" x14ac:dyDescent="0.3">
      <c r="A1951" t="str">
        <f>""</f>
        <v/>
      </c>
      <c r="G1951" t="str">
        <f>""</f>
        <v/>
      </c>
      <c r="H1951" t="str">
        <f>""</f>
        <v/>
      </c>
      <c r="J1951" t="str">
        <f t="shared" si="28"/>
        <v>GUARDIAN</v>
      </c>
    </row>
    <row r="1952" spans="1:10" x14ac:dyDescent="0.3">
      <c r="A1952" t="str">
        <f>""</f>
        <v/>
      </c>
      <c r="G1952" t="str">
        <f>""</f>
        <v/>
      </c>
      <c r="H1952" t="str">
        <f>""</f>
        <v/>
      </c>
      <c r="J1952" t="str">
        <f t="shared" si="28"/>
        <v>GUARDIAN</v>
      </c>
    </row>
    <row r="1953" spans="1:10" x14ac:dyDescent="0.3">
      <c r="A1953" t="str">
        <f>""</f>
        <v/>
      </c>
      <c r="G1953" t="str">
        <f>""</f>
        <v/>
      </c>
      <c r="H1953" t="str">
        <f>""</f>
        <v/>
      </c>
      <c r="J1953" t="str">
        <f t="shared" si="28"/>
        <v>GUARDIAN</v>
      </c>
    </row>
    <row r="1954" spans="1:10" x14ac:dyDescent="0.3">
      <c r="A1954" t="str">
        <f>""</f>
        <v/>
      </c>
      <c r="G1954" t="str">
        <f>""</f>
        <v/>
      </c>
      <c r="H1954" t="str">
        <f>""</f>
        <v/>
      </c>
      <c r="J1954" t="str">
        <f t="shared" si="28"/>
        <v>GUARDIAN</v>
      </c>
    </row>
    <row r="1955" spans="1:10" x14ac:dyDescent="0.3">
      <c r="A1955" t="str">
        <f>""</f>
        <v/>
      </c>
      <c r="G1955" t="str">
        <f>""</f>
        <v/>
      </c>
      <c r="H1955" t="str">
        <f>""</f>
        <v/>
      </c>
      <c r="J1955" t="str">
        <f t="shared" si="28"/>
        <v>GUARDIAN</v>
      </c>
    </row>
    <row r="1956" spans="1:10" x14ac:dyDescent="0.3">
      <c r="A1956" t="str">
        <f>""</f>
        <v/>
      </c>
      <c r="G1956" t="str">
        <f>""</f>
        <v/>
      </c>
      <c r="H1956" t="str">
        <f>""</f>
        <v/>
      </c>
      <c r="J1956" t="str">
        <f t="shared" si="28"/>
        <v>GUARDIAN</v>
      </c>
    </row>
    <row r="1957" spans="1:10" x14ac:dyDescent="0.3">
      <c r="A1957" t="str">
        <f>""</f>
        <v/>
      </c>
      <c r="G1957" t="str">
        <f>""</f>
        <v/>
      </c>
      <c r="H1957" t="str">
        <f>""</f>
        <v/>
      </c>
      <c r="J1957" t="str">
        <f t="shared" si="28"/>
        <v>GUARDIAN</v>
      </c>
    </row>
    <row r="1958" spans="1:10" x14ac:dyDescent="0.3">
      <c r="A1958" t="str">
        <f>""</f>
        <v/>
      </c>
      <c r="G1958" t="str">
        <f>""</f>
        <v/>
      </c>
      <c r="H1958" t="str">
        <f>""</f>
        <v/>
      </c>
      <c r="J1958" t="str">
        <f t="shared" si="28"/>
        <v>GUARDIAN</v>
      </c>
    </row>
    <row r="1959" spans="1:10" x14ac:dyDescent="0.3">
      <c r="A1959" t="str">
        <f>""</f>
        <v/>
      </c>
      <c r="G1959" t="str">
        <f>""</f>
        <v/>
      </c>
      <c r="H1959" t="str">
        <f>""</f>
        <v/>
      </c>
      <c r="J1959" t="str">
        <f t="shared" si="28"/>
        <v>GUARDIAN</v>
      </c>
    </row>
    <row r="1960" spans="1:10" x14ac:dyDescent="0.3">
      <c r="A1960" t="str">
        <f>""</f>
        <v/>
      </c>
      <c r="G1960" t="str">
        <f>""</f>
        <v/>
      </c>
      <c r="H1960" t="str">
        <f>""</f>
        <v/>
      </c>
      <c r="J1960" t="str">
        <f t="shared" si="28"/>
        <v>GUARDIAN</v>
      </c>
    </row>
    <row r="1961" spans="1:10" x14ac:dyDescent="0.3">
      <c r="A1961" t="str">
        <f>""</f>
        <v/>
      </c>
      <c r="G1961" t="str">
        <f>""</f>
        <v/>
      </c>
      <c r="H1961" t="str">
        <f>""</f>
        <v/>
      </c>
      <c r="J1961" t="str">
        <f t="shared" si="28"/>
        <v>GUARDIAN</v>
      </c>
    </row>
    <row r="1962" spans="1:10" x14ac:dyDescent="0.3">
      <c r="A1962" t="str">
        <f>""</f>
        <v/>
      </c>
      <c r="G1962" t="str">
        <f>""</f>
        <v/>
      </c>
      <c r="H1962" t="str">
        <f>""</f>
        <v/>
      </c>
      <c r="J1962" t="str">
        <f t="shared" si="28"/>
        <v>GUARDIAN</v>
      </c>
    </row>
    <row r="1963" spans="1:10" x14ac:dyDescent="0.3">
      <c r="A1963" t="str">
        <f>""</f>
        <v/>
      </c>
      <c r="G1963" t="str">
        <f>""</f>
        <v/>
      </c>
      <c r="H1963" t="str">
        <f>""</f>
        <v/>
      </c>
      <c r="J1963" t="str">
        <f t="shared" si="28"/>
        <v>GUARDIAN</v>
      </c>
    </row>
    <row r="1964" spans="1:10" x14ac:dyDescent="0.3">
      <c r="A1964" t="str">
        <f>""</f>
        <v/>
      </c>
      <c r="G1964" t="str">
        <f>""</f>
        <v/>
      </c>
      <c r="H1964" t="str">
        <f>""</f>
        <v/>
      </c>
      <c r="J1964" t="str">
        <f t="shared" si="28"/>
        <v>GUARDIAN</v>
      </c>
    </row>
    <row r="1965" spans="1:10" x14ac:dyDescent="0.3">
      <c r="A1965" t="str">
        <f>""</f>
        <v/>
      </c>
      <c r="G1965" t="str">
        <f>""</f>
        <v/>
      </c>
      <c r="H1965" t="str">
        <f>""</f>
        <v/>
      </c>
      <c r="J1965" t="str">
        <f t="shared" si="28"/>
        <v>GUARDIAN</v>
      </c>
    </row>
    <row r="1966" spans="1:10" x14ac:dyDescent="0.3">
      <c r="A1966" t="str">
        <f>""</f>
        <v/>
      </c>
      <c r="G1966" t="str">
        <f>""</f>
        <v/>
      </c>
      <c r="H1966" t="str">
        <f>""</f>
        <v/>
      </c>
      <c r="J1966" t="str">
        <f t="shared" si="28"/>
        <v>GUARDIAN</v>
      </c>
    </row>
    <row r="1967" spans="1:10" x14ac:dyDescent="0.3">
      <c r="A1967" t="str">
        <f>""</f>
        <v/>
      </c>
      <c r="G1967" t="str">
        <f>""</f>
        <v/>
      </c>
      <c r="H1967" t="str">
        <f>""</f>
        <v/>
      </c>
      <c r="J1967" t="str">
        <f t="shared" si="28"/>
        <v>GUARDIAN</v>
      </c>
    </row>
    <row r="1968" spans="1:10" x14ac:dyDescent="0.3">
      <c r="A1968" t="str">
        <f>""</f>
        <v/>
      </c>
      <c r="G1968" t="str">
        <f>""</f>
        <v/>
      </c>
      <c r="H1968" t="str">
        <f>""</f>
        <v/>
      </c>
      <c r="J1968" t="str">
        <f t="shared" si="28"/>
        <v>GUARDIAN</v>
      </c>
    </row>
    <row r="1969" spans="1:10" x14ac:dyDescent="0.3">
      <c r="A1969" t="str">
        <f>""</f>
        <v/>
      </c>
      <c r="G1969" t="str">
        <f>""</f>
        <v/>
      </c>
      <c r="H1969" t="str">
        <f>""</f>
        <v/>
      </c>
      <c r="J1969" t="str">
        <f t="shared" si="28"/>
        <v>GUARDIAN</v>
      </c>
    </row>
    <row r="1970" spans="1:10" x14ac:dyDescent="0.3">
      <c r="A1970" t="str">
        <f>""</f>
        <v/>
      </c>
      <c r="G1970" t="str">
        <f>""</f>
        <v/>
      </c>
      <c r="H1970" t="str">
        <f>""</f>
        <v/>
      </c>
      <c r="J1970" t="str">
        <f t="shared" si="28"/>
        <v>GUARDIAN</v>
      </c>
    </row>
    <row r="1971" spans="1:10" x14ac:dyDescent="0.3">
      <c r="A1971" t="str">
        <f>""</f>
        <v/>
      </c>
      <c r="G1971" t="str">
        <f>""</f>
        <v/>
      </c>
      <c r="H1971" t="str">
        <f>""</f>
        <v/>
      </c>
      <c r="J1971" t="str">
        <f t="shared" si="28"/>
        <v>GUARDIAN</v>
      </c>
    </row>
    <row r="1972" spans="1:10" x14ac:dyDescent="0.3">
      <c r="A1972" t="str">
        <f>""</f>
        <v/>
      </c>
      <c r="G1972" t="str">
        <f>""</f>
        <v/>
      </c>
      <c r="H1972" t="str">
        <f>""</f>
        <v/>
      </c>
      <c r="J1972" t="str">
        <f t="shared" si="28"/>
        <v>GUARDIAN</v>
      </c>
    </row>
    <row r="1973" spans="1:10" x14ac:dyDescent="0.3">
      <c r="A1973" t="str">
        <f>""</f>
        <v/>
      </c>
      <c r="G1973" t="str">
        <f>""</f>
        <v/>
      </c>
      <c r="H1973" t="str">
        <f>""</f>
        <v/>
      </c>
      <c r="J1973" t="str">
        <f t="shared" si="28"/>
        <v>GUARDIAN</v>
      </c>
    </row>
    <row r="1974" spans="1:10" x14ac:dyDescent="0.3">
      <c r="A1974" t="str">
        <f>""</f>
        <v/>
      </c>
      <c r="G1974" t="str">
        <f>""</f>
        <v/>
      </c>
      <c r="H1974" t="str">
        <f>""</f>
        <v/>
      </c>
      <c r="J1974" t="str">
        <f t="shared" ref="J1974:J2005" si="29">"GUARDIAN"</f>
        <v>GUARDIAN</v>
      </c>
    </row>
    <row r="1975" spans="1:10" x14ac:dyDescent="0.3">
      <c r="A1975" t="str">
        <f>""</f>
        <v/>
      </c>
      <c r="G1975" t="str">
        <f>""</f>
        <v/>
      </c>
      <c r="H1975" t="str">
        <f>""</f>
        <v/>
      </c>
      <c r="J1975" t="str">
        <f t="shared" si="29"/>
        <v>GUARDIAN</v>
      </c>
    </row>
    <row r="1976" spans="1:10" x14ac:dyDescent="0.3">
      <c r="A1976" t="str">
        <f>""</f>
        <v/>
      </c>
      <c r="G1976" t="str">
        <f>""</f>
        <v/>
      </c>
      <c r="H1976" t="str">
        <f>""</f>
        <v/>
      </c>
      <c r="J1976" t="str">
        <f t="shared" si="29"/>
        <v>GUARDIAN</v>
      </c>
    </row>
    <row r="1977" spans="1:10" x14ac:dyDescent="0.3">
      <c r="A1977" t="str">
        <f>""</f>
        <v/>
      </c>
      <c r="G1977" t="str">
        <f>"LIE201707123600"</f>
        <v>LIE201707123600</v>
      </c>
      <c r="H1977" t="str">
        <f>"GUARDIAN"</f>
        <v>GUARDIAN</v>
      </c>
      <c r="I1977" s="2">
        <v>134.1</v>
      </c>
      <c r="J1977" t="str">
        <f t="shared" si="29"/>
        <v>GUARDIAN</v>
      </c>
    </row>
    <row r="1978" spans="1:10" x14ac:dyDescent="0.3">
      <c r="A1978" t="str">
        <f>""</f>
        <v/>
      </c>
      <c r="G1978" t="str">
        <f>""</f>
        <v/>
      </c>
      <c r="H1978" t="str">
        <f>""</f>
        <v/>
      </c>
      <c r="J1978" t="str">
        <f t="shared" si="29"/>
        <v>GUARDIAN</v>
      </c>
    </row>
    <row r="1979" spans="1:10" x14ac:dyDescent="0.3">
      <c r="A1979" t="str">
        <f>""</f>
        <v/>
      </c>
      <c r="G1979" t="str">
        <f>"LIE201707263863"</f>
        <v>LIE201707263863</v>
      </c>
      <c r="H1979" t="str">
        <f>"GUARDIAN"</f>
        <v>GUARDIAN</v>
      </c>
      <c r="I1979" s="2">
        <v>3093.6</v>
      </c>
      <c r="J1979" t="str">
        <f t="shared" si="29"/>
        <v>GUARDIAN</v>
      </c>
    </row>
    <row r="1980" spans="1:10" x14ac:dyDescent="0.3">
      <c r="A1980" t="str">
        <f>""</f>
        <v/>
      </c>
      <c r="G1980" t="str">
        <f>""</f>
        <v/>
      </c>
      <c r="H1980" t="str">
        <f>""</f>
        <v/>
      </c>
      <c r="J1980" t="str">
        <f t="shared" si="29"/>
        <v>GUARDIAN</v>
      </c>
    </row>
    <row r="1981" spans="1:10" x14ac:dyDescent="0.3">
      <c r="A1981" t="str">
        <f>""</f>
        <v/>
      </c>
      <c r="G1981" t="str">
        <f>""</f>
        <v/>
      </c>
      <c r="H1981" t="str">
        <f>""</f>
        <v/>
      </c>
      <c r="J1981" t="str">
        <f t="shared" si="29"/>
        <v>GUARDIAN</v>
      </c>
    </row>
    <row r="1982" spans="1:10" x14ac:dyDescent="0.3">
      <c r="A1982" t="str">
        <f>""</f>
        <v/>
      </c>
      <c r="G1982" t="str">
        <f>""</f>
        <v/>
      </c>
      <c r="H1982" t="str">
        <f>""</f>
        <v/>
      </c>
      <c r="J1982" t="str">
        <f t="shared" si="29"/>
        <v>GUARDIAN</v>
      </c>
    </row>
    <row r="1983" spans="1:10" x14ac:dyDescent="0.3">
      <c r="A1983" t="str">
        <f>""</f>
        <v/>
      </c>
      <c r="G1983" t="str">
        <f>""</f>
        <v/>
      </c>
      <c r="H1983" t="str">
        <f>""</f>
        <v/>
      </c>
      <c r="J1983" t="str">
        <f t="shared" si="29"/>
        <v>GUARDIAN</v>
      </c>
    </row>
    <row r="1984" spans="1:10" x14ac:dyDescent="0.3">
      <c r="A1984" t="str">
        <f>""</f>
        <v/>
      </c>
      <c r="G1984" t="str">
        <f>""</f>
        <v/>
      </c>
      <c r="H1984" t="str">
        <f>""</f>
        <v/>
      </c>
      <c r="J1984" t="str">
        <f t="shared" si="29"/>
        <v>GUARDIAN</v>
      </c>
    </row>
    <row r="1985" spans="1:10" x14ac:dyDescent="0.3">
      <c r="A1985" t="str">
        <f>""</f>
        <v/>
      </c>
      <c r="G1985" t="str">
        <f>""</f>
        <v/>
      </c>
      <c r="H1985" t="str">
        <f>""</f>
        <v/>
      </c>
      <c r="J1985" t="str">
        <f t="shared" si="29"/>
        <v>GUARDIAN</v>
      </c>
    </row>
    <row r="1986" spans="1:10" x14ac:dyDescent="0.3">
      <c r="A1986" t="str">
        <f>""</f>
        <v/>
      </c>
      <c r="G1986" t="str">
        <f>""</f>
        <v/>
      </c>
      <c r="H1986" t="str">
        <f>""</f>
        <v/>
      </c>
      <c r="J1986" t="str">
        <f t="shared" si="29"/>
        <v>GUARDIAN</v>
      </c>
    </row>
    <row r="1987" spans="1:10" x14ac:dyDescent="0.3">
      <c r="A1987" t="str">
        <f>""</f>
        <v/>
      </c>
      <c r="G1987" t="str">
        <f>""</f>
        <v/>
      </c>
      <c r="H1987" t="str">
        <f>""</f>
        <v/>
      </c>
      <c r="J1987" t="str">
        <f t="shared" si="29"/>
        <v>GUARDIAN</v>
      </c>
    </row>
    <row r="1988" spans="1:10" x14ac:dyDescent="0.3">
      <c r="A1988" t="str">
        <f>""</f>
        <v/>
      </c>
      <c r="G1988" t="str">
        <f>""</f>
        <v/>
      </c>
      <c r="H1988" t="str">
        <f>""</f>
        <v/>
      </c>
      <c r="J1988" t="str">
        <f t="shared" si="29"/>
        <v>GUARDIAN</v>
      </c>
    </row>
    <row r="1989" spans="1:10" x14ac:dyDescent="0.3">
      <c r="A1989" t="str">
        <f>""</f>
        <v/>
      </c>
      <c r="G1989" t="str">
        <f>""</f>
        <v/>
      </c>
      <c r="H1989" t="str">
        <f>""</f>
        <v/>
      </c>
      <c r="J1989" t="str">
        <f t="shared" si="29"/>
        <v>GUARDIAN</v>
      </c>
    </row>
    <row r="1990" spans="1:10" x14ac:dyDescent="0.3">
      <c r="A1990" t="str">
        <f>""</f>
        <v/>
      </c>
      <c r="G1990" t="str">
        <f>""</f>
        <v/>
      </c>
      <c r="H1990" t="str">
        <f>""</f>
        <v/>
      </c>
      <c r="J1990" t="str">
        <f t="shared" si="29"/>
        <v>GUARDIAN</v>
      </c>
    </row>
    <row r="1991" spans="1:10" x14ac:dyDescent="0.3">
      <c r="A1991" t="str">
        <f>""</f>
        <v/>
      </c>
      <c r="G1991" t="str">
        <f>""</f>
        <v/>
      </c>
      <c r="H1991" t="str">
        <f>""</f>
        <v/>
      </c>
      <c r="J1991" t="str">
        <f t="shared" si="29"/>
        <v>GUARDIAN</v>
      </c>
    </row>
    <row r="1992" spans="1:10" x14ac:dyDescent="0.3">
      <c r="A1992" t="str">
        <f>""</f>
        <v/>
      </c>
      <c r="G1992" t="str">
        <f>""</f>
        <v/>
      </c>
      <c r="H1992" t="str">
        <f>""</f>
        <v/>
      </c>
      <c r="J1992" t="str">
        <f t="shared" si="29"/>
        <v>GUARDIAN</v>
      </c>
    </row>
    <row r="1993" spans="1:10" x14ac:dyDescent="0.3">
      <c r="A1993" t="str">
        <f>""</f>
        <v/>
      </c>
      <c r="G1993" t="str">
        <f>""</f>
        <v/>
      </c>
      <c r="H1993" t="str">
        <f>""</f>
        <v/>
      </c>
      <c r="J1993" t="str">
        <f t="shared" si="29"/>
        <v>GUARDIAN</v>
      </c>
    </row>
    <row r="1994" spans="1:10" x14ac:dyDescent="0.3">
      <c r="A1994" t="str">
        <f>""</f>
        <v/>
      </c>
      <c r="G1994" t="str">
        <f>""</f>
        <v/>
      </c>
      <c r="H1994" t="str">
        <f>""</f>
        <v/>
      </c>
      <c r="J1994" t="str">
        <f t="shared" si="29"/>
        <v>GUARDIAN</v>
      </c>
    </row>
    <row r="1995" spans="1:10" x14ac:dyDescent="0.3">
      <c r="A1995" t="str">
        <f>""</f>
        <v/>
      </c>
      <c r="G1995" t="str">
        <f>""</f>
        <v/>
      </c>
      <c r="H1995" t="str">
        <f>""</f>
        <v/>
      </c>
      <c r="J1995" t="str">
        <f t="shared" si="29"/>
        <v>GUARDIAN</v>
      </c>
    </row>
    <row r="1996" spans="1:10" x14ac:dyDescent="0.3">
      <c r="A1996" t="str">
        <f>""</f>
        <v/>
      </c>
      <c r="G1996" t="str">
        <f>""</f>
        <v/>
      </c>
      <c r="H1996" t="str">
        <f>""</f>
        <v/>
      </c>
      <c r="J1996" t="str">
        <f t="shared" si="29"/>
        <v>GUARDIAN</v>
      </c>
    </row>
    <row r="1997" spans="1:10" x14ac:dyDescent="0.3">
      <c r="A1997" t="str">
        <f>""</f>
        <v/>
      </c>
      <c r="G1997" t="str">
        <f>""</f>
        <v/>
      </c>
      <c r="H1997" t="str">
        <f>""</f>
        <v/>
      </c>
      <c r="J1997" t="str">
        <f t="shared" si="29"/>
        <v>GUARDIAN</v>
      </c>
    </row>
    <row r="1998" spans="1:10" x14ac:dyDescent="0.3">
      <c r="A1998" t="str">
        <f>""</f>
        <v/>
      </c>
      <c r="G1998" t="str">
        <f>""</f>
        <v/>
      </c>
      <c r="H1998" t="str">
        <f>""</f>
        <v/>
      </c>
      <c r="J1998" t="str">
        <f t="shared" si="29"/>
        <v>GUARDIAN</v>
      </c>
    </row>
    <row r="1999" spans="1:10" x14ac:dyDescent="0.3">
      <c r="A1999" t="str">
        <f>""</f>
        <v/>
      </c>
      <c r="G1999" t="str">
        <f>""</f>
        <v/>
      </c>
      <c r="H1999" t="str">
        <f>""</f>
        <v/>
      </c>
      <c r="J1999" t="str">
        <f t="shared" si="29"/>
        <v>GUARDIAN</v>
      </c>
    </row>
    <row r="2000" spans="1:10" x14ac:dyDescent="0.3">
      <c r="A2000" t="str">
        <f>""</f>
        <v/>
      </c>
      <c r="G2000" t="str">
        <f>""</f>
        <v/>
      </c>
      <c r="H2000" t="str">
        <f>""</f>
        <v/>
      </c>
      <c r="J2000" t="str">
        <f t="shared" si="29"/>
        <v>GUARDIAN</v>
      </c>
    </row>
    <row r="2001" spans="1:10" x14ac:dyDescent="0.3">
      <c r="A2001" t="str">
        <f>""</f>
        <v/>
      </c>
      <c r="G2001" t="str">
        <f>""</f>
        <v/>
      </c>
      <c r="H2001" t="str">
        <f>""</f>
        <v/>
      </c>
      <c r="J2001" t="str">
        <f t="shared" si="29"/>
        <v>GUARDIAN</v>
      </c>
    </row>
    <row r="2002" spans="1:10" x14ac:dyDescent="0.3">
      <c r="A2002" t="str">
        <f>""</f>
        <v/>
      </c>
      <c r="G2002" t="str">
        <f>""</f>
        <v/>
      </c>
      <c r="H2002" t="str">
        <f>""</f>
        <v/>
      </c>
      <c r="J2002" t="str">
        <f t="shared" si="29"/>
        <v>GUARDIAN</v>
      </c>
    </row>
    <row r="2003" spans="1:10" x14ac:dyDescent="0.3">
      <c r="A2003" t="str">
        <f>""</f>
        <v/>
      </c>
      <c r="G2003" t="str">
        <f>""</f>
        <v/>
      </c>
      <c r="H2003" t="str">
        <f>""</f>
        <v/>
      </c>
      <c r="J2003" t="str">
        <f t="shared" si="29"/>
        <v>GUARDIAN</v>
      </c>
    </row>
    <row r="2004" spans="1:10" x14ac:dyDescent="0.3">
      <c r="A2004" t="str">
        <f>""</f>
        <v/>
      </c>
      <c r="G2004" t="str">
        <f>""</f>
        <v/>
      </c>
      <c r="H2004" t="str">
        <f>""</f>
        <v/>
      </c>
      <c r="J2004" t="str">
        <f t="shared" si="29"/>
        <v>GUARDIAN</v>
      </c>
    </row>
    <row r="2005" spans="1:10" x14ac:dyDescent="0.3">
      <c r="A2005" t="str">
        <f>""</f>
        <v/>
      </c>
      <c r="G2005" t="str">
        <f>""</f>
        <v/>
      </c>
      <c r="H2005" t="str">
        <f>""</f>
        <v/>
      </c>
      <c r="J2005" t="str">
        <f t="shared" si="29"/>
        <v>GUARDIAN</v>
      </c>
    </row>
    <row r="2006" spans="1:10" x14ac:dyDescent="0.3">
      <c r="A2006" t="str">
        <f>""</f>
        <v/>
      </c>
      <c r="G2006" t="str">
        <f>""</f>
        <v/>
      </c>
      <c r="H2006" t="str">
        <f>""</f>
        <v/>
      </c>
      <c r="J2006" t="str">
        <f t="shared" ref="J2006:J2042" si="30">"GUARDIAN"</f>
        <v>GUARDIAN</v>
      </c>
    </row>
    <row r="2007" spans="1:10" x14ac:dyDescent="0.3">
      <c r="A2007" t="str">
        <f>""</f>
        <v/>
      </c>
      <c r="G2007" t="str">
        <f>""</f>
        <v/>
      </c>
      <c r="H2007" t="str">
        <f>""</f>
        <v/>
      </c>
      <c r="J2007" t="str">
        <f t="shared" si="30"/>
        <v>GUARDIAN</v>
      </c>
    </row>
    <row r="2008" spans="1:10" x14ac:dyDescent="0.3">
      <c r="A2008" t="str">
        <f>""</f>
        <v/>
      </c>
      <c r="G2008" t="str">
        <f>""</f>
        <v/>
      </c>
      <c r="H2008" t="str">
        <f>""</f>
        <v/>
      </c>
      <c r="J2008" t="str">
        <f t="shared" si="30"/>
        <v>GUARDIAN</v>
      </c>
    </row>
    <row r="2009" spans="1:10" x14ac:dyDescent="0.3">
      <c r="A2009" t="str">
        <f>""</f>
        <v/>
      </c>
      <c r="G2009" t="str">
        <f>""</f>
        <v/>
      </c>
      <c r="H2009" t="str">
        <f>""</f>
        <v/>
      </c>
      <c r="J2009" t="str">
        <f t="shared" si="30"/>
        <v>GUARDIAN</v>
      </c>
    </row>
    <row r="2010" spans="1:10" x14ac:dyDescent="0.3">
      <c r="A2010" t="str">
        <f>""</f>
        <v/>
      </c>
      <c r="G2010" t="str">
        <f>""</f>
        <v/>
      </c>
      <c r="H2010" t="str">
        <f>""</f>
        <v/>
      </c>
      <c r="J2010" t="str">
        <f t="shared" si="30"/>
        <v>GUARDIAN</v>
      </c>
    </row>
    <row r="2011" spans="1:10" x14ac:dyDescent="0.3">
      <c r="A2011" t="str">
        <f>""</f>
        <v/>
      </c>
      <c r="G2011" t="str">
        <f>""</f>
        <v/>
      </c>
      <c r="H2011" t="str">
        <f>""</f>
        <v/>
      </c>
      <c r="J2011" t="str">
        <f t="shared" si="30"/>
        <v>GUARDIAN</v>
      </c>
    </row>
    <row r="2012" spans="1:10" x14ac:dyDescent="0.3">
      <c r="A2012" t="str">
        <f>""</f>
        <v/>
      </c>
      <c r="G2012" t="str">
        <f>""</f>
        <v/>
      </c>
      <c r="H2012" t="str">
        <f>""</f>
        <v/>
      </c>
      <c r="J2012" t="str">
        <f t="shared" si="30"/>
        <v>GUARDIAN</v>
      </c>
    </row>
    <row r="2013" spans="1:10" x14ac:dyDescent="0.3">
      <c r="A2013" t="str">
        <f>""</f>
        <v/>
      </c>
      <c r="G2013" t="str">
        <f>""</f>
        <v/>
      </c>
      <c r="H2013" t="str">
        <f>""</f>
        <v/>
      </c>
      <c r="J2013" t="str">
        <f t="shared" si="30"/>
        <v>GUARDIAN</v>
      </c>
    </row>
    <row r="2014" spans="1:10" x14ac:dyDescent="0.3">
      <c r="A2014" t="str">
        <f>""</f>
        <v/>
      </c>
      <c r="G2014" t="str">
        <f>""</f>
        <v/>
      </c>
      <c r="H2014" t="str">
        <f>""</f>
        <v/>
      </c>
      <c r="J2014" t="str">
        <f t="shared" si="30"/>
        <v>GUARDIAN</v>
      </c>
    </row>
    <row r="2015" spans="1:10" x14ac:dyDescent="0.3">
      <c r="A2015" t="str">
        <f>""</f>
        <v/>
      </c>
      <c r="G2015" t="str">
        <f>""</f>
        <v/>
      </c>
      <c r="H2015" t="str">
        <f>""</f>
        <v/>
      </c>
      <c r="J2015" t="str">
        <f t="shared" si="30"/>
        <v>GUARDIAN</v>
      </c>
    </row>
    <row r="2016" spans="1:10" x14ac:dyDescent="0.3">
      <c r="A2016" t="str">
        <f>""</f>
        <v/>
      </c>
      <c r="G2016" t="str">
        <f>""</f>
        <v/>
      </c>
      <c r="H2016" t="str">
        <f>""</f>
        <v/>
      </c>
      <c r="J2016" t="str">
        <f t="shared" si="30"/>
        <v>GUARDIAN</v>
      </c>
    </row>
    <row r="2017" spans="1:10" x14ac:dyDescent="0.3">
      <c r="A2017" t="str">
        <f>""</f>
        <v/>
      </c>
      <c r="G2017" t="str">
        <f>""</f>
        <v/>
      </c>
      <c r="H2017" t="str">
        <f>""</f>
        <v/>
      </c>
      <c r="J2017" t="str">
        <f t="shared" si="30"/>
        <v>GUARDIAN</v>
      </c>
    </row>
    <row r="2018" spans="1:10" x14ac:dyDescent="0.3">
      <c r="A2018" t="str">
        <f>""</f>
        <v/>
      </c>
      <c r="G2018" t="str">
        <f>""</f>
        <v/>
      </c>
      <c r="H2018" t="str">
        <f>""</f>
        <v/>
      </c>
      <c r="J2018" t="str">
        <f t="shared" si="30"/>
        <v>GUARDIAN</v>
      </c>
    </row>
    <row r="2019" spans="1:10" x14ac:dyDescent="0.3">
      <c r="A2019" t="str">
        <f>""</f>
        <v/>
      </c>
      <c r="G2019" t="str">
        <f>""</f>
        <v/>
      </c>
      <c r="H2019" t="str">
        <f>""</f>
        <v/>
      </c>
      <c r="J2019" t="str">
        <f t="shared" si="30"/>
        <v>GUARDIAN</v>
      </c>
    </row>
    <row r="2020" spans="1:10" x14ac:dyDescent="0.3">
      <c r="A2020" t="str">
        <f>""</f>
        <v/>
      </c>
      <c r="G2020" t="str">
        <f>""</f>
        <v/>
      </c>
      <c r="H2020" t="str">
        <f>""</f>
        <v/>
      </c>
      <c r="J2020" t="str">
        <f t="shared" si="30"/>
        <v>GUARDIAN</v>
      </c>
    </row>
    <row r="2021" spans="1:10" x14ac:dyDescent="0.3">
      <c r="A2021" t="str">
        <f>""</f>
        <v/>
      </c>
      <c r="G2021" t="str">
        <f>""</f>
        <v/>
      </c>
      <c r="H2021" t="str">
        <f>""</f>
        <v/>
      </c>
      <c r="J2021" t="str">
        <f t="shared" si="30"/>
        <v>GUARDIAN</v>
      </c>
    </row>
    <row r="2022" spans="1:10" x14ac:dyDescent="0.3">
      <c r="A2022" t="str">
        <f>""</f>
        <v/>
      </c>
      <c r="G2022" t="str">
        <f>""</f>
        <v/>
      </c>
      <c r="H2022" t="str">
        <f>""</f>
        <v/>
      </c>
      <c r="J2022" t="str">
        <f t="shared" si="30"/>
        <v>GUARDIAN</v>
      </c>
    </row>
    <row r="2023" spans="1:10" x14ac:dyDescent="0.3">
      <c r="A2023" t="str">
        <f>""</f>
        <v/>
      </c>
      <c r="G2023" t="str">
        <f>""</f>
        <v/>
      </c>
      <c r="H2023" t="str">
        <f>""</f>
        <v/>
      </c>
      <c r="J2023" t="str">
        <f t="shared" si="30"/>
        <v>GUARDIAN</v>
      </c>
    </row>
    <row r="2024" spans="1:10" x14ac:dyDescent="0.3">
      <c r="A2024" t="str">
        <f>""</f>
        <v/>
      </c>
      <c r="G2024" t="str">
        <f>""</f>
        <v/>
      </c>
      <c r="H2024" t="str">
        <f>""</f>
        <v/>
      </c>
      <c r="J2024" t="str">
        <f t="shared" si="30"/>
        <v>GUARDIAN</v>
      </c>
    </row>
    <row r="2025" spans="1:10" x14ac:dyDescent="0.3">
      <c r="A2025" t="str">
        <f>""</f>
        <v/>
      </c>
      <c r="G2025" t="str">
        <f>""</f>
        <v/>
      </c>
      <c r="H2025" t="str">
        <f>""</f>
        <v/>
      </c>
      <c r="J2025" t="str">
        <f t="shared" si="30"/>
        <v>GUARDIAN</v>
      </c>
    </row>
    <row r="2026" spans="1:10" x14ac:dyDescent="0.3">
      <c r="A2026" t="str">
        <f>""</f>
        <v/>
      </c>
      <c r="G2026" t="str">
        <f>""</f>
        <v/>
      </c>
      <c r="H2026" t="str">
        <f>""</f>
        <v/>
      </c>
      <c r="J2026" t="str">
        <f t="shared" si="30"/>
        <v>GUARDIAN</v>
      </c>
    </row>
    <row r="2027" spans="1:10" x14ac:dyDescent="0.3">
      <c r="A2027" t="str">
        <f>""</f>
        <v/>
      </c>
      <c r="G2027" t="str">
        <f>""</f>
        <v/>
      </c>
      <c r="H2027" t="str">
        <f>""</f>
        <v/>
      </c>
      <c r="J2027" t="str">
        <f t="shared" si="30"/>
        <v>GUARDIAN</v>
      </c>
    </row>
    <row r="2028" spans="1:10" x14ac:dyDescent="0.3">
      <c r="A2028" t="str">
        <f>""</f>
        <v/>
      </c>
      <c r="G2028" t="str">
        <f>""</f>
        <v/>
      </c>
      <c r="H2028" t="str">
        <f>""</f>
        <v/>
      </c>
      <c r="J2028" t="str">
        <f t="shared" si="30"/>
        <v>GUARDIAN</v>
      </c>
    </row>
    <row r="2029" spans="1:10" x14ac:dyDescent="0.3">
      <c r="A2029" t="str">
        <f>""</f>
        <v/>
      </c>
      <c r="G2029" t="str">
        <f>"LIE201707263864"</f>
        <v>LIE201707263864</v>
      </c>
      <c r="H2029" t="str">
        <f>"GUARDIAN"</f>
        <v>GUARDIAN</v>
      </c>
      <c r="I2029" s="2">
        <v>134.1</v>
      </c>
      <c r="J2029" t="str">
        <f t="shared" si="30"/>
        <v>GUARDIAN</v>
      </c>
    </row>
    <row r="2030" spans="1:10" x14ac:dyDescent="0.3">
      <c r="A2030" t="str">
        <f>""</f>
        <v/>
      </c>
      <c r="G2030" t="str">
        <f>""</f>
        <v/>
      </c>
      <c r="H2030" t="str">
        <f>""</f>
        <v/>
      </c>
      <c r="J2030" t="str">
        <f t="shared" si="30"/>
        <v>GUARDIAN</v>
      </c>
    </row>
    <row r="2031" spans="1:10" x14ac:dyDescent="0.3">
      <c r="A2031" t="str">
        <f>""</f>
        <v/>
      </c>
      <c r="G2031" t="str">
        <f>"LIS201707123599"</f>
        <v>LIS201707123599</v>
      </c>
      <c r="H2031" t="str">
        <f t="shared" ref="H2031:H2042" si="31">"GUARDIAN"</f>
        <v>GUARDIAN</v>
      </c>
      <c r="I2031" s="2">
        <v>411.57</v>
      </c>
      <c r="J2031" t="str">
        <f t="shared" si="30"/>
        <v>GUARDIAN</v>
      </c>
    </row>
    <row r="2032" spans="1:10" x14ac:dyDescent="0.3">
      <c r="A2032" t="str">
        <f>""</f>
        <v/>
      </c>
      <c r="G2032" t="str">
        <f>"LIS201707123600"</f>
        <v>LIS201707123600</v>
      </c>
      <c r="H2032" t="str">
        <f t="shared" si="31"/>
        <v>GUARDIAN</v>
      </c>
      <c r="I2032" s="2">
        <v>33.33</v>
      </c>
      <c r="J2032" t="str">
        <f t="shared" si="30"/>
        <v>GUARDIAN</v>
      </c>
    </row>
    <row r="2033" spans="1:10" x14ac:dyDescent="0.3">
      <c r="A2033" t="str">
        <f>""</f>
        <v/>
      </c>
      <c r="G2033" t="str">
        <f>"LIS201707263863"</f>
        <v>LIS201707263863</v>
      </c>
      <c r="H2033" t="str">
        <f t="shared" si="31"/>
        <v>GUARDIAN</v>
      </c>
      <c r="I2033" s="2">
        <v>411.57</v>
      </c>
      <c r="J2033" t="str">
        <f t="shared" si="30"/>
        <v>GUARDIAN</v>
      </c>
    </row>
    <row r="2034" spans="1:10" x14ac:dyDescent="0.3">
      <c r="A2034" t="str">
        <f>""</f>
        <v/>
      </c>
      <c r="G2034" t="str">
        <f>"LIS201707263864"</f>
        <v>LIS201707263864</v>
      </c>
      <c r="H2034" t="str">
        <f t="shared" si="31"/>
        <v>GUARDIAN</v>
      </c>
      <c r="I2034" s="2">
        <v>33.33</v>
      </c>
      <c r="J2034" t="str">
        <f t="shared" si="30"/>
        <v>GUARDIAN</v>
      </c>
    </row>
    <row r="2035" spans="1:10" x14ac:dyDescent="0.3">
      <c r="A2035" t="str">
        <f>""</f>
        <v/>
      </c>
      <c r="G2035" t="str">
        <f>"LTD201707123599"</f>
        <v>LTD201707123599</v>
      </c>
      <c r="H2035" t="str">
        <f t="shared" si="31"/>
        <v>GUARDIAN</v>
      </c>
      <c r="I2035" s="2">
        <v>759.09</v>
      </c>
      <c r="J2035" t="str">
        <f t="shared" si="30"/>
        <v>GUARDIAN</v>
      </c>
    </row>
    <row r="2036" spans="1:10" x14ac:dyDescent="0.3">
      <c r="A2036" t="str">
        <f>""</f>
        <v/>
      </c>
      <c r="G2036" t="str">
        <f>"LTD201707123600"</f>
        <v>LTD201707123600</v>
      </c>
      <c r="H2036" t="str">
        <f t="shared" si="31"/>
        <v>GUARDIAN</v>
      </c>
      <c r="I2036" s="2">
        <v>62.54</v>
      </c>
      <c r="J2036" t="str">
        <f t="shared" si="30"/>
        <v>GUARDIAN</v>
      </c>
    </row>
    <row r="2037" spans="1:10" x14ac:dyDescent="0.3">
      <c r="A2037" t="str">
        <f>""</f>
        <v/>
      </c>
      <c r="G2037" t="str">
        <f>"LTD201707263863"</f>
        <v>LTD201707263863</v>
      </c>
      <c r="H2037" t="str">
        <f t="shared" si="31"/>
        <v>GUARDIAN</v>
      </c>
      <c r="I2037" s="2">
        <v>759.09</v>
      </c>
      <c r="J2037" t="str">
        <f t="shared" si="30"/>
        <v>GUARDIAN</v>
      </c>
    </row>
    <row r="2038" spans="1:10" x14ac:dyDescent="0.3">
      <c r="A2038" t="str">
        <f>""</f>
        <v/>
      </c>
      <c r="G2038" t="str">
        <f>"LTD201707263864"</f>
        <v>LTD201707263864</v>
      </c>
      <c r="H2038" t="str">
        <f t="shared" si="31"/>
        <v>GUARDIAN</v>
      </c>
      <c r="I2038" s="2">
        <v>62.54</v>
      </c>
      <c r="J2038" t="str">
        <f t="shared" si="30"/>
        <v>GUARDIAN</v>
      </c>
    </row>
    <row r="2039" spans="1:10" x14ac:dyDescent="0.3">
      <c r="A2039" t="str">
        <f>"GUARDI"</f>
        <v>GUARDI</v>
      </c>
      <c r="B2039" t="s">
        <v>482</v>
      </c>
      <c r="C2039">
        <v>0</v>
      </c>
      <c r="D2039" s="2">
        <v>126.32</v>
      </c>
      <c r="E2039" s="1">
        <v>42947</v>
      </c>
      <c r="F2039" t="s">
        <v>35</v>
      </c>
      <c r="G2039" t="str">
        <f>"AEG201707123599"</f>
        <v>AEG201707123599</v>
      </c>
      <c r="H2039" t="str">
        <f t="shared" si="31"/>
        <v>GUARDIAN</v>
      </c>
      <c r="I2039" s="2">
        <v>9.51</v>
      </c>
      <c r="J2039" t="str">
        <f t="shared" si="30"/>
        <v>GUARDIAN</v>
      </c>
    </row>
    <row r="2040" spans="1:10" x14ac:dyDescent="0.3">
      <c r="A2040" t="str">
        <f>""</f>
        <v/>
      </c>
      <c r="G2040" t="str">
        <f>"AEG201707263863"</f>
        <v>AEG201707263863</v>
      </c>
      <c r="H2040" t="str">
        <f t="shared" si="31"/>
        <v>GUARDIAN</v>
      </c>
      <c r="I2040" s="2">
        <v>9.51</v>
      </c>
      <c r="J2040" t="str">
        <f t="shared" si="30"/>
        <v>GUARDIAN</v>
      </c>
    </row>
    <row r="2041" spans="1:10" x14ac:dyDescent="0.3">
      <c r="A2041" t="str">
        <f>""</f>
        <v/>
      </c>
      <c r="G2041" t="str">
        <f>"AFG201707123599"</f>
        <v>AFG201707123599</v>
      </c>
      <c r="H2041" t="str">
        <f t="shared" si="31"/>
        <v>GUARDIAN</v>
      </c>
      <c r="I2041" s="2">
        <v>53.65</v>
      </c>
      <c r="J2041" t="str">
        <f t="shared" si="30"/>
        <v>GUARDIAN</v>
      </c>
    </row>
    <row r="2042" spans="1:10" x14ac:dyDescent="0.3">
      <c r="A2042" t="str">
        <f>""</f>
        <v/>
      </c>
      <c r="G2042" t="str">
        <f>"AFG201707263863"</f>
        <v>AFG201707263863</v>
      </c>
      <c r="H2042" t="str">
        <f t="shared" si="31"/>
        <v>GUARDIAN</v>
      </c>
      <c r="I2042" s="2">
        <v>53.65</v>
      </c>
      <c r="J2042" t="str">
        <f t="shared" si="30"/>
        <v>GUARDIAN</v>
      </c>
    </row>
    <row r="2043" spans="1:10" x14ac:dyDescent="0.3">
      <c r="A2043" t="str">
        <f>"IRSACS"</f>
        <v>IRSACS</v>
      </c>
      <c r="B2043" t="s">
        <v>483</v>
      </c>
      <c r="C2043">
        <v>45720</v>
      </c>
      <c r="D2043" s="2">
        <v>238.43</v>
      </c>
      <c r="E2043" s="1">
        <v>42930</v>
      </c>
      <c r="F2043" t="s">
        <v>11</v>
      </c>
      <c r="G2043" t="str">
        <f>"IJ2201707123599"</f>
        <v>IJ2201707123599</v>
      </c>
      <c r="H2043" t="str">
        <f>"LISA JACKSON 2 IRS LEVY"</f>
        <v>LISA JACKSON 2 IRS LEVY</v>
      </c>
      <c r="I2043" s="2">
        <v>238.43</v>
      </c>
      <c r="J2043" t="str">
        <f>"LISA JACKSON 2 IRS LEVY"</f>
        <v>LISA JACKSON 2 IRS LEVY</v>
      </c>
    </row>
    <row r="2044" spans="1:10" x14ac:dyDescent="0.3">
      <c r="A2044" t="str">
        <f>"IRSACS"</f>
        <v>IRSACS</v>
      </c>
      <c r="B2044" t="s">
        <v>483</v>
      </c>
      <c r="C2044">
        <v>45746</v>
      </c>
      <c r="D2044" s="2">
        <v>238.43</v>
      </c>
      <c r="E2044" s="1">
        <v>42944</v>
      </c>
      <c r="F2044" t="s">
        <v>11</v>
      </c>
      <c r="G2044" t="str">
        <f>"IJ2201707263863"</f>
        <v>IJ2201707263863</v>
      </c>
      <c r="H2044" t="str">
        <f>"LISA JACKSON 2 IRS LEVY"</f>
        <v>LISA JACKSON 2 IRS LEVY</v>
      </c>
      <c r="I2044" s="2">
        <v>238.43</v>
      </c>
      <c r="J2044" t="str">
        <f>"LISA JACKSON 2 IRS LEVY"</f>
        <v>LISA JACKSON 2 IRS LEVY</v>
      </c>
    </row>
    <row r="2045" spans="1:10" x14ac:dyDescent="0.3">
      <c r="A2045" t="str">
        <f>"IRSPY"</f>
        <v>IRSPY</v>
      </c>
      <c r="B2045" t="s">
        <v>484</v>
      </c>
      <c r="C2045">
        <v>0</v>
      </c>
      <c r="D2045" s="2">
        <v>216646.22</v>
      </c>
      <c r="E2045" s="1">
        <v>42930</v>
      </c>
      <c r="F2045" t="s">
        <v>35</v>
      </c>
      <c r="G2045" t="str">
        <f>"T1 201707123599"</f>
        <v>T1 201707123599</v>
      </c>
      <c r="H2045" t="str">
        <f>"FEDERAL WITHHOLDING"</f>
        <v>FEDERAL WITHHOLDING</v>
      </c>
      <c r="I2045" s="2">
        <v>77596.09</v>
      </c>
      <c r="J2045" t="str">
        <f>"FEDERAL WITHHOLDING"</f>
        <v>FEDERAL WITHHOLDING</v>
      </c>
    </row>
    <row r="2046" spans="1:10" x14ac:dyDescent="0.3">
      <c r="A2046" t="str">
        <f>""</f>
        <v/>
      </c>
      <c r="G2046" t="str">
        <f>"T1 201707123600"</f>
        <v>T1 201707123600</v>
      </c>
      <c r="H2046" t="str">
        <f>"FEDERAL WITHHOLDING"</f>
        <v>FEDERAL WITHHOLDING</v>
      </c>
      <c r="I2046" s="2">
        <v>3410.6</v>
      </c>
      <c r="J2046" t="str">
        <f>"FEDERAL WITHHOLDING"</f>
        <v>FEDERAL WITHHOLDING</v>
      </c>
    </row>
    <row r="2047" spans="1:10" x14ac:dyDescent="0.3">
      <c r="A2047" t="str">
        <f>""</f>
        <v/>
      </c>
      <c r="G2047" t="str">
        <f>"T1 201707123601"</f>
        <v>T1 201707123601</v>
      </c>
      <c r="H2047" t="str">
        <f>"FEDERAL WITHHOLDING"</f>
        <v>FEDERAL WITHHOLDING</v>
      </c>
      <c r="I2047" s="2">
        <v>4422.79</v>
      </c>
      <c r="J2047" t="str">
        <f>"FEDERAL WITHHOLDING"</f>
        <v>FEDERAL WITHHOLDING</v>
      </c>
    </row>
    <row r="2048" spans="1:10" x14ac:dyDescent="0.3">
      <c r="A2048" t="str">
        <f>""</f>
        <v/>
      </c>
      <c r="G2048" t="str">
        <f>"T3 201707123599"</f>
        <v>T3 201707123599</v>
      </c>
      <c r="H2048" t="str">
        <f>"SOCIAL SECURITY TAXES"</f>
        <v>SOCIAL SECURITY TAXES</v>
      </c>
      <c r="I2048" s="2">
        <v>96045.78</v>
      </c>
      <c r="J2048" t="str">
        <f t="shared" ref="J2048:J2079" si="32">"SOCIAL SECURITY TAXES"</f>
        <v>SOCIAL SECURITY TAXES</v>
      </c>
    </row>
    <row r="2049" spans="1:10" x14ac:dyDescent="0.3">
      <c r="A2049" t="str">
        <f>""</f>
        <v/>
      </c>
      <c r="G2049" t="str">
        <f>""</f>
        <v/>
      </c>
      <c r="H2049" t="str">
        <f>""</f>
        <v/>
      </c>
      <c r="J2049" t="str">
        <f t="shared" si="32"/>
        <v>SOCIAL SECURITY TAXES</v>
      </c>
    </row>
    <row r="2050" spans="1:10" x14ac:dyDescent="0.3">
      <c r="A2050" t="str">
        <f>""</f>
        <v/>
      </c>
      <c r="G2050" t="str">
        <f>""</f>
        <v/>
      </c>
      <c r="H2050" t="str">
        <f>""</f>
        <v/>
      </c>
      <c r="J2050" t="str">
        <f t="shared" si="32"/>
        <v>SOCIAL SECURITY TAXES</v>
      </c>
    </row>
    <row r="2051" spans="1:10" x14ac:dyDescent="0.3">
      <c r="A2051" t="str">
        <f>""</f>
        <v/>
      </c>
      <c r="G2051" t="str">
        <f>""</f>
        <v/>
      </c>
      <c r="H2051" t="str">
        <f>""</f>
        <v/>
      </c>
      <c r="J2051" t="str">
        <f t="shared" si="32"/>
        <v>SOCIAL SECURITY TAXES</v>
      </c>
    </row>
    <row r="2052" spans="1:10" x14ac:dyDescent="0.3">
      <c r="A2052" t="str">
        <f>""</f>
        <v/>
      </c>
      <c r="G2052" t="str">
        <f>""</f>
        <v/>
      </c>
      <c r="H2052" t="str">
        <f>""</f>
        <v/>
      </c>
      <c r="J2052" t="str">
        <f t="shared" si="32"/>
        <v>SOCIAL SECURITY TAXES</v>
      </c>
    </row>
    <row r="2053" spans="1:10" x14ac:dyDescent="0.3">
      <c r="A2053" t="str">
        <f>""</f>
        <v/>
      </c>
      <c r="G2053" t="str">
        <f>""</f>
        <v/>
      </c>
      <c r="H2053" t="str">
        <f>""</f>
        <v/>
      </c>
      <c r="J2053" t="str">
        <f t="shared" si="32"/>
        <v>SOCIAL SECURITY TAXES</v>
      </c>
    </row>
    <row r="2054" spans="1:10" x14ac:dyDescent="0.3">
      <c r="A2054" t="str">
        <f>""</f>
        <v/>
      </c>
      <c r="G2054" t="str">
        <f>""</f>
        <v/>
      </c>
      <c r="H2054" t="str">
        <f>""</f>
        <v/>
      </c>
      <c r="J2054" t="str">
        <f t="shared" si="32"/>
        <v>SOCIAL SECURITY TAXES</v>
      </c>
    </row>
    <row r="2055" spans="1:10" x14ac:dyDescent="0.3">
      <c r="A2055" t="str">
        <f>""</f>
        <v/>
      </c>
      <c r="G2055" t="str">
        <f>""</f>
        <v/>
      </c>
      <c r="H2055" t="str">
        <f>""</f>
        <v/>
      </c>
      <c r="J2055" t="str">
        <f t="shared" si="32"/>
        <v>SOCIAL SECURITY TAXES</v>
      </c>
    </row>
    <row r="2056" spans="1:10" x14ac:dyDescent="0.3">
      <c r="A2056" t="str">
        <f>""</f>
        <v/>
      </c>
      <c r="G2056" t="str">
        <f>""</f>
        <v/>
      </c>
      <c r="H2056" t="str">
        <f>""</f>
        <v/>
      </c>
      <c r="J2056" t="str">
        <f t="shared" si="32"/>
        <v>SOCIAL SECURITY TAXES</v>
      </c>
    </row>
    <row r="2057" spans="1:10" x14ac:dyDescent="0.3">
      <c r="A2057" t="str">
        <f>""</f>
        <v/>
      </c>
      <c r="G2057" t="str">
        <f>""</f>
        <v/>
      </c>
      <c r="H2057" t="str">
        <f>""</f>
        <v/>
      </c>
      <c r="J2057" t="str">
        <f t="shared" si="32"/>
        <v>SOCIAL SECURITY TAXES</v>
      </c>
    </row>
    <row r="2058" spans="1:10" x14ac:dyDescent="0.3">
      <c r="A2058" t="str">
        <f>""</f>
        <v/>
      </c>
      <c r="G2058" t="str">
        <f>""</f>
        <v/>
      </c>
      <c r="H2058" t="str">
        <f>""</f>
        <v/>
      </c>
      <c r="J2058" t="str">
        <f t="shared" si="32"/>
        <v>SOCIAL SECURITY TAXES</v>
      </c>
    </row>
    <row r="2059" spans="1:10" x14ac:dyDescent="0.3">
      <c r="A2059" t="str">
        <f>""</f>
        <v/>
      </c>
      <c r="G2059" t="str">
        <f>""</f>
        <v/>
      </c>
      <c r="H2059" t="str">
        <f>""</f>
        <v/>
      </c>
      <c r="J2059" t="str">
        <f t="shared" si="32"/>
        <v>SOCIAL SECURITY TAXES</v>
      </c>
    </row>
    <row r="2060" spans="1:10" x14ac:dyDescent="0.3">
      <c r="A2060" t="str">
        <f>""</f>
        <v/>
      </c>
      <c r="G2060" t="str">
        <f>""</f>
        <v/>
      </c>
      <c r="H2060" t="str">
        <f>""</f>
        <v/>
      </c>
      <c r="J2060" t="str">
        <f t="shared" si="32"/>
        <v>SOCIAL SECURITY TAXES</v>
      </c>
    </row>
    <row r="2061" spans="1:10" x14ac:dyDescent="0.3">
      <c r="A2061" t="str">
        <f>""</f>
        <v/>
      </c>
      <c r="G2061" t="str">
        <f>""</f>
        <v/>
      </c>
      <c r="H2061" t="str">
        <f>""</f>
        <v/>
      </c>
      <c r="J2061" t="str">
        <f t="shared" si="32"/>
        <v>SOCIAL SECURITY TAXES</v>
      </c>
    </row>
    <row r="2062" spans="1:10" x14ac:dyDescent="0.3">
      <c r="A2062" t="str">
        <f>""</f>
        <v/>
      </c>
      <c r="G2062" t="str">
        <f>""</f>
        <v/>
      </c>
      <c r="H2062" t="str">
        <f>""</f>
        <v/>
      </c>
      <c r="J2062" t="str">
        <f t="shared" si="32"/>
        <v>SOCIAL SECURITY TAXES</v>
      </c>
    </row>
    <row r="2063" spans="1:10" x14ac:dyDescent="0.3">
      <c r="A2063" t="str">
        <f>""</f>
        <v/>
      </c>
      <c r="G2063" t="str">
        <f>""</f>
        <v/>
      </c>
      <c r="H2063" t="str">
        <f>""</f>
        <v/>
      </c>
      <c r="J2063" t="str">
        <f t="shared" si="32"/>
        <v>SOCIAL SECURITY TAXES</v>
      </c>
    </row>
    <row r="2064" spans="1:10" x14ac:dyDescent="0.3">
      <c r="A2064" t="str">
        <f>""</f>
        <v/>
      </c>
      <c r="G2064" t="str">
        <f>""</f>
        <v/>
      </c>
      <c r="H2064" t="str">
        <f>""</f>
        <v/>
      </c>
      <c r="J2064" t="str">
        <f t="shared" si="32"/>
        <v>SOCIAL SECURITY TAXES</v>
      </c>
    </row>
    <row r="2065" spans="1:10" x14ac:dyDescent="0.3">
      <c r="A2065" t="str">
        <f>""</f>
        <v/>
      </c>
      <c r="G2065" t="str">
        <f>""</f>
        <v/>
      </c>
      <c r="H2065" t="str">
        <f>""</f>
        <v/>
      </c>
      <c r="J2065" t="str">
        <f t="shared" si="32"/>
        <v>SOCIAL SECURITY TAXES</v>
      </c>
    </row>
    <row r="2066" spans="1:10" x14ac:dyDescent="0.3">
      <c r="A2066" t="str">
        <f>""</f>
        <v/>
      </c>
      <c r="G2066" t="str">
        <f>""</f>
        <v/>
      </c>
      <c r="H2066" t="str">
        <f>""</f>
        <v/>
      </c>
      <c r="J2066" t="str">
        <f t="shared" si="32"/>
        <v>SOCIAL SECURITY TAXES</v>
      </c>
    </row>
    <row r="2067" spans="1:10" x14ac:dyDescent="0.3">
      <c r="A2067" t="str">
        <f>""</f>
        <v/>
      </c>
      <c r="G2067" t="str">
        <f>""</f>
        <v/>
      </c>
      <c r="H2067" t="str">
        <f>""</f>
        <v/>
      </c>
      <c r="J2067" t="str">
        <f t="shared" si="32"/>
        <v>SOCIAL SECURITY TAXES</v>
      </c>
    </row>
    <row r="2068" spans="1:10" x14ac:dyDescent="0.3">
      <c r="A2068" t="str">
        <f>""</f>
        <v/>
      </c>
      <c r="G2068" t="str">
        <f>""</f>
        <v/>
      </c>
      <c r="H2068" t="str">
        <f>""</f>
        <v/>
      </c>
      <c r="J2068" t="str">
        <f t="shared" si="32"/>
        <v>SOCIAL SECURITY TAXES</v>
      </c>
    </row>
    <row r="2069" spans="1:10" x14ac:dyDescent="0.3">
      <c r="A2069" t="str">
        <f>""</f>
        <v/>
      </c>
      <c r="G2069" t="str">
        <f>""</f>
        <v/>
      </c>
      <c r="H2069" t="str">
        <f>""</f>
        <v/>
      </c>
      <c r="J2069" t="str">
        <f t="shared" si="32"/>
        <v>SOCIAL SECURITY TAXES</v>
      </c>
    </row>
    <row r="2070" spans="1:10" x14ac:dyDescent="0.3">
      <c r="A2070" t="str">
        <f>""</f>
        <v/>
      </c>
      <c r="G2070" t="str">
        <f>""</f>
        <v/>
      </c>
      <c r="H2070" t="str">
        <f>""</f>
        <v/>
      </c>
      <c r="J2070" t="str">
        <f t="shared" si="32"/>
        <v>SOCIAL SECURITY TAXES</v>
      </c>
    </row>
    <row r="2071" spans="1:10" x14ac:dyDescent="0.3">
      <c r="A2071" t="str">
        <f>""</f>
        <v/>
      </c>
      <c r="G2071" t="str">
        <f>""</f>
        <v/>
      </c>
      <c r="H2071" t="str">
        <f>""</f>
        <v/>
      </c>
      <c r="J2071" t="str">
        <f t="shared" si="32"/>
        <v>SOCIAL SECURITY TAXES</v>
      </c>
    </row>
    <row r="2072" spans="1:10" x14ac:dyDescent="0.3">
      <c r="A2072" t="str">
        <f>""</f>
        <v/>
      </c>
      <c r="G2072" t="str">
        <f>""</f>
        <v/>
      </c>
      <c r="H2072" t="str">
        <f>""</f>
        <v/>
      </c>
      <c r="J2072" t="str">
        <f t="shared" si="32"/>
        <v>SOCIAL SECURITY TAXES</v>
      </c>
    </row>
    <row r="2073" spans="1:10" x14ac:dyDescent="0.3">
      <c r="A2073" t="str">
        <f>""</f>
        <v/>
      </c>
      <c r="G2073" t="str">
        <f>""</f>
        <v/>
      </c>
      <c r="H2073" t="str">
        <f>""</f>
        <v/>
      </c>
      <c r="J2073" t="str">
        <f t="shared" si="32"/>
        <v>SOCIAL SECURITY TAXES</v>
      </c>
    </row>
    <row r="2074" spans="1:10" x14ac:dyDescent="0.3">
      <c r="A2074" t="str">
        <f>""</f>
        <v/>
      </c>
      <c r="G2074" t="str">
        <f>""</f>
        <v/>
      </c>
      <c r="H2074" t="str">
        <f>""</f>
        <v/>
      </c>
      <c r="J2074" t="str">
        <f t="shared" si="32"/>
        <v>SOCIAL SECURITY TAXES</v>
      </c>
    </row>
    <row r="2075" spans="1:10" x14ac:dyDescent="0.3">
      <c r="A2075" t="str">
        <f>""</f>
        <v/>
      </c>
      <c r="G2075" t="str">
        <f>""</f>
        <v/>
      </c>
      <c r="H2075" t="str">
        <f>""</f>
        <v/>
      </c>
      <c r="J2075" t="str">
        <f t="shared" si="32"/>
        <v>SOCIAL SECURITY TAXES</v>
      </c>
    </row>
    <row r="2076" spans="1:10" x14ac:dyDescent="0.3">
      <c r="A2076" t="str">
        <f>""</f>
        <v/>
      </c>
      <c r="G2076" t="str">
        <f>""</f>
        <v/>
      </c>
      <c r="H2076" t="str">
        <f>""</f>
        <v/>
      </c>
      <c r="J2076" t="str">
        <f t="shared" si="32"/>
        <v>SOCIAL SECURITY TAXES</v>
      </c>
    </row>
    <row r="2077" spans="1:10" x14ac:dyDescent="0.3">
      <c r="A2077" t="str">
        <f>""</f>
        <v/>
      </c>
      <c r="G2077" t="str">
        <f>""</f>
        <v/>
      </c>
      <c r="H2077" t="str">
        <f>""</f>
        <v/>
      </c>
      <c r="J2077" t="str">
        <f t="shared" si="32"/>
        <v>SOCIAL SECURITY TAXES</v>
      </c>
    </row>
    <row r="2078" spans="1:10" x14ac:dyDescent="0.3">
      <c r="A2078" t="str">
        <f>""</f>
        <v/>
      </c>
      <c r="G2078" t="str">
        <f>""</f>
        <v/>
      </c>
      <c r="H2078" t="str">
        <f>""</f>
        <v/>
      </c>
      <c r="J2078" t="str">
        <f t="shared" si="32"/>
        <v>SOCIAL SECURITY TAXES</v>
      </c>
    </row>
    <row r="2079" spans="1:10" x14ac:dyDescent="0.3">
      <c r="A2079" t="str">
        <f>""</f>
        <v/>
      </c>
      <c r="G2079" t="str">
        <f>""</f>
        <v/>
      </c>
      <c r="H2079" t="str">
        <f>""</f>
        <v/>
      </c>
      <c r="J2079" t="str">
        <f t="shared" si="32"/>
        <v>SOCIAL SECURITY TAXES</v>
      </c>
    </row>
    <row r="2080" spans="1:10" x14ac:dyDescent="0.3">
      <c r="A2080" t="str">
        <f>""</f>
        <v/>
      </c>
      <c r="G2080" t="str">
        <f>""</f>
        <v/>
      </c>
      <c r="H2080" t="str">
        <f>""</f>
        <v/>
      </c>
      <c r="J2080" t="str">
        <f t="shared" ref="J2080:J2105" si="33">"SOCIAL SECURITY TAXES"</f>
        <v>SOCIAL SECURITY TAXES</v>
      </c>
    </row>
    <row r="2081" spans="1:10" x14ac:dyDescent="0.3">
      <c r="A2081" t="str">
        <f>""</f>
        <v/>
      </c>
      <c r="G2081" t="str">
        <f>""</f>
        <v/>
      </c>
      <c r="H2081" t="str">
        <f>""</f>
        <v/>
      </c>
      <c r="J2081" t="str">
        <f t="shared" si="33"/>
        <v>SOCIAL SECURITY TAXES</v>
      </c>
    </row>
    <row r="2082" spans="1:10" x14ac:dyDescent="0.3">
      <c r="A2082" t="str">
        <f>""</f>
        <v/>
      </c>
      <c r="G2082" t="str">
        <f>""</f>
        <v/>
      </c>
      <c r="H2082" t="str">
        <f>""</f>
        <v/>
      </c>
      <c r="J2082" t="str">
        <f t="shared" si="33"/>
        <v>SOCIAL SECURITY TAXES</v>
      </c>
    </row>
    <row r="2083" spans="1:10" x14ac:dyDescent="0.3">
      <c r="A2083" t="str">
        <f>""</f>
        <v/>
      </c>
      <c r="G2083" t="str">
        <f>""</f>
        <v/>
      </c>
      <c r="H2083" t="str">
        <f>""</f>
        <v/>
      </c>
      <c r="J2083" t="str">
        <f t="shared" si="33"/>
        <v>SOCIAL SECURITY TAXES</v>
      </c>
    </row>
    <row r="2084" spans="1:10" x14ac:dyDescent="0.3">
      <c r="A2084" t="str">
        <f>""</f>
        <v/>
      </c>
      <c r="G2084" t="str">
        <f>""</f>
        <v/>
      </c>
      <c r="H2084" t="str">
        <f>""</f>
        <v/>
      </c>
      <c r="J2084" t="str">
        <f t="shared" si="33"/>
        <v>SOCIAL SECURITY TAXES</v>
      </c>
    </row>
    <row r="2085" spans="1:10" x14ac:dyDescent="0.3">
      <c r="A2085" t="str">
        <f>""</f>
        <v/>
      </c>
      <c r="G2085" t="str">
        <f>""</f>
        <v/>
      </c>
      <c r="H2085" t="str">
        <f>""</f>
        <v/>
      </c>
      <c r="J2085" t="str">
        <f t="shared" si="33"/>
        <v>SOCIAL SECURITY TAXES</v>
      </c>
    </row>
    <row r="2086" spans="1:10" x14ac:dyDescent="0.3">
      <c r="A2086" t="str">
        <f>""</f>
        <v/>
      </c>
      <c r="G2086" t="str">
        <f>""</f>
        <v/>
      </c>
      <c r="H2086" t="str">
        <f>""</f>
        <v/>
      </c>
      <c r="J2086" t="str">
        <f t="shared" si="33"/>
        <v>SOCIAL SECURITY TAXES</v>
      </c>
    </row>
    <row r="2087" spans="1:10" x14ac:dyDescent="0.3">
      <c r="A2087" t="str">
        <f>""</f>
        <v/>
      </c>
      <c r="G2087" t="str">
        <f>""</f>
        <v/>
      </c>
      <c r="H2087" t="str">
        <f>""</f>
        <v/>
      </c>
      <c r="J2087" t="str">
        <f t="shared" si="33"/>
        <v>SOCIAL SECURITY TAXES</v>
      </c>
    </row>
    <row r="2088" spans="1:10" x14ac:dyDescent="0.3">
      <c r="A2088" t="str">
        <f>""</f>
        <v/>
      </c>
      <c r="G2088" t="str">
        <f>""</f>
        <v/>
      </c>
      <c r="H2088" t="str">
        <f>""</f>
        <v/>
      </c>
      <c r="J2088" t="str">
        <f t="shared" si="33"/>
        <v>SOCIAL SECURITY TAXES</v>
      </c>
    </row>
    <row r="2089" spans="1:10" x14ac:dyDescent="0.3">
      <c r="A2089" t="str">
        <f>""</f>
        <v/>
      </c>
      <c r="G2089" t="str">
        <f>""</f>
        <v/>
      </c>
      <c r="H2089" t="str">
        <f>""</f>
        <v/>
      </c>
      <c r="J2089" t="str">
        <f t="shared" si="33"/>
        <v>SOCIAL SECURITY TAXES</v>
      </c>
    </row>
    <row r="2090" spans="1:10" x14ac:dyDescent="0.3">
      <c r="A2090" t="str">
        <f>""</f>
        <v/>
      </c>
      <c r="G2090" t="str">
        <f>""</f>
        <v/>
      </c>
      <c r="H2090" t="str">
        <f>""</f>
        <v/>
      </c>
      <c r="J2090" t="str">
        <f t="shared" si="33"/>
        <v>SOCIAL SECURITY TAXES</v>
      </c>
    </row>
    <row r="2091" spans="1:10" x14ac:dyDescent="0.3">
      <c r="A2091" t="str">
        <f>""</f>
        <v/>
      </c>
      <c r="G2091" t="str">
        <f>""</f>
        <v/>
      </c>
      <c r="H2091" t="str">
        <f>""</f>
        <v/>
      </c>
      <c r="J2091" t="str">
        <f t="shared" si="33"/>
        <v>SOCIAL SECURITY TAXES</v>
      </c>
    </row>
    <row r="2092" spans="1:10" x14ac:dyDescent="0.3">
      <c r="A2092" t="str">
        <f>""</f>
        <v/>
      </c>
      <c r="G2092" t="str">
        <f>""</f>
        <v/>
      </c>
      <c r="H2092" t="str">
        <f>""</f>
        <v/>
      </c>
      <c r="J2092" t="str">
        <f t="shared" si="33"/>
        <v>SOCIAL SECURITY TAXES</v>
      </c>
    </row>
    <row r="2093" spans="1:10" x14ac:dyDescent="0.3">
      <c r="A2093" t="str">
        <f>""</f>
        <v/>
      </c>
      <c r="G2093" t="str">
        <f>""</f>
        <v/>
      </c>
      <c r="H2093" t="str">
        <f>""</f>
        <v/>
      </c>
      <c r="J2093" t="str">
        <f t="shared" si="33"/>
        <v>SOCIAL SECURITY TAXES</v>
      </c>
    </row>
    <row r="2094" spans="1:10" x14ac:dyDescent="0.3">
      <c r="A2094" t="str">
        <f>""</f>
        <v/>
      </c>
      <c r="G2094" t="str">
        <f>""</f>
        <v/>
      </c>
      <c r="H2094" t="str">
        <f>""</f>
        <v/>
      </c>
      <c r="J2094" t="str">
        <f t="shared" si="33"/>
        <v>SOCIAL SECURITY TAXES</v>
      </c>
    </row>
    <row r="2095" spans="1:10" x14ac:dyDescent="0.3">
      <c r="A2095" t="str">
        <f>""</f>
        <v/>
      </c>
      <c r="G2095" t="str">
        <f>""</f>
        <v/>
      </c>
      <c r="H2095" t="str">
        <f>""</f>
        <v/>
      </c>
      <c r="J2095" t="str">
        <f t="shared" si="33"/>
        <v>SOCIAL SECURITY TAXES</v>
      </c>
    </row>
    <row r="2096" spans="1:10" x14ac:dyDescent="0.3">
      <c r="A2096" t="str">
        <f>""</f>
        <v/>
      </c>
      <c r="G2096" t="str">
        <f>""</f>
        <v/>
      </c>
      <c r="H2096" t="str">
        <f>""</f>
        <v/>
      </c>
      <c r="J2096" t="str">
        <f t="shared" si="33"/>
        <v>SOCIAL SECURITY TAXES</v>
      </c>
    </row>
    <row r="2097" spans="1:10" x14ac:dyDescent="0.3">
      <c r="A2097" t="str">
        <f>""</f>
        <v/>
      </c>
      <c r="G2097" t="str">
        <f>""</f>
        <v/>
      </c>
      <c r="H2097" t="str">
        <f>""</f>
        <v/>
      </c>
      <c r="J2097" t="str">
        <f t="shared" si="33"/>
        <v>SOCIAL SECURITY TAXES</v>
      </c>
    </row>
    <row r="2098" spans="1:10" x14ac:dyDescent="0.3">
      <c r="A2098" t="str">
        <f>""</f>
        <v/>
      </c>
      <c r="G2098" t="str">
        <f>""</f>
        <v/>
      </c>
      <c r="H2098" t="str">
        <f>""</f>
        <v/>
      </c>
      <c r="J2098" t="str">
        <f t="shared" si="33"/>
        <v>SOCIAL SECURITY TAXES</v>
      </c>
    </row>
    <row r="2099" spans="1:10" x14ac:dyDescent="0.3">
      <c r="A2099" t="str">
        <f>""</f>
        <v/>
      </c>
      <c r="G2099" t="str">
        <f>""</f>
        <v/>
      </c>
      <c r="H2099" t="str">
        <f>""</f>
        <v/>
      </c>
      <c r="J2099" t="str">
        <f t="shared" si="33"/>
        <v>SOCIAL SECURITY TAXES</v>
      </c>
    </row>
    <row r="2100" spans="1:10" x14ac:dyDescent="0.3">
      <c r="A2100" t="str">
        <f>""</f>
        <v/>
      </c>
      <c r="G2100" t="str">
        <f>"T3 201707123600"</f>
        <v>T3 201707123600</v>
      </c>
      <c r="H2100" t="str">
        <f>"SOCIAL SECURITY TAXES"</f>
        <v>SOCIAL SECURITY TAXES</v>
      </c>
      <c r="I2100" s="2">
        <v>3884.92</v>
      </c>
      <c r="J2100" t="str">
        <f t="shared" si="33"/>
        <v>SOCIAL SECURITY TAXES</v>
      </c>
    </row>
    <row r="2101" spans="1:10" x14ac:dyDescent="0.3">
      <c r="A2101" t="str">
        <f>""</f>
        <v/>
      </c>
      <c r="G2101" t="str">
        <f>""</f>
        <v/>
      </c>
      <c r="H2101" t="str">
        <f>""</f>
        <v/>
      </c>
      <c r="J2101" t="str">
        <f t="shared" si="33"/>
        <v>SOCIAL SECURITY TAXES</v>
      </c>
    </row>
    <row r="2102" spans="1:10" x14ac:dyDescent="0.3">
      <c r="A2102" t="str">
        <f>""</f>
        <v/>
      </c>
      <c r="G2102" t="str">
        <f>"T3 201707123601"</f>
        <v>T3 201707123601</v>
      </c>
      <c r="H2102" t="str">
        <f>"SOCIAL SECURITY TAXES"</f>
        <v>SOCIAL SECURITY TAXES</v>
      </c>
      <c r="I2102" s="2">
        <v>5451.68</v>
      </c>
      <c r="J2102" t="str">
        <f t="shared" si="33"/>
        <v>SOCIAL SECURITY TAXES</v>
      </c>
    </row>
    <row r="2103" spans="1:10" x14ac:dyDescent="0.3">
      <c r="A2103" t="str">
        <f>""</f>
        <v/>
      </c>
      <c r="G2103" t="str">
        <f>""</f>
        <v/>
      </c>
      <c r="H2103" t="str">
        <f>""</f>
        <v/>
      </c>
      <c r="J2103" t="str">
        <f t="shared" si="33"/>
        <v>SOCIAL SECURITY TAXES</v>
      </c>
    </row>
    <row r="2104" spans="1:10" x14ac:dyDescent="0.3">
      <c r="A2104" t="str">
        <f>""</f>
        <v/>
      </c>
      <c r="G2104" t="str">
        <f>"T3 201707123606"</f>
        <v>T3 201707123606</v>
      </c>
      <c r="H2104" t="str">
        <f>"SOCIAL SECURITY TAXES"</f>
        <v>SOCIAL SECURITY TAXES</v>
      </c>
      <c r="I2104" s="2">
        <v>963.18</v>
      </c>
      <c r="J2104" t="str">
        <f t="shared" si="33"/>
        <v>SOCIAL SECURITY TAXES</v>
      </c>
    </row>
    <row r="2105" spans="1:10" x14ac:dyDescent="0.3">
      <c r="A2105" t="str">
        <f>""</f>
        <v/>
      </c>
      <c r="G2105" t="str">
        <f>""</f>
        <v/>
      </c>
      <c r="H2105" t="str">
        <f>""</f>
        <v/>
      </c>
      <c r="J2105" t="str">
        <f t="shared" si="33"/>
        <v>SOCIAL SECURITY TAXES</v>
      </c>
    </row>
    <row r="2106" spans="1:10" x14ac:dyDescent="0.3">
      <c r="A2106" t="str">
        <f>""</f>
        <v/>
      </c>
      <c r="G2106" t="str">
        <f>"T4 201707123599"</f>
        <v>T4 201707123599</v>
      </c>
      <c r="H2106" t="str">
        <f>"MEDICARE TAXES"</f>
        <v>MEDICARE TAXES</v>
      </c>
      <c r="I2106" s="2">
        <v>22462.36</v>
      </c>
      <c r="J2106" t="str">
        <f t="shared" ref="J2106:J2137" si="34">"MEDICARE TAXES"</f>
        <v>MEDICARE TAXES</v>
      </c>
    </row>
    <row r="2107" spans="1:10" x14ac:dyDescent="0.3">
      <c r="A2107" t="str">
        <f>""</f>
        <v/>
      </c>
      <c r="G2107" t="str">
        <f>""</f>
        <v/>
      </c>
      <c r="H2107" t="str">
        <f>""</f>
        <v/>
      </c>
      <c r="J2107" t="str">
        <f t="shared" si="34"/>
        <v>MEDICARE TAXES</v>
      </c>
    </row>
    <row r="2108" spans="1:10" x14ac:dyDescent="0.3">
      <c r="A2108" t="str">
        <f>""</f>
        <v/>
      </c>
      <c r="G2108" t="str">
        <f>""</f>
        <v/>
      </c>
      <c r="H2108" t="str">
        <f>""</f>
        <v/>
      </c>
      <c r="J2108" t="str">
        <f t="shared" si="34"/>
        <v>MEDICARE TAXES</v>
      </c>
    </row>
    <row r="2109" spans="1:10" x14ac:dyDescent="0.3">
      <c r="A2109" t="str">
        <f>""</f>
        <v/>
      </c>
      <c r="G2109" t="str">
        <f>""</f>
        <v/>
      </c>
      <c r="H2109" t="str">
        <f>""</f>
        <v/>
      </c>
      <c r="J2109" t="str">
        <f t="shared" si="34"/>
        <v>MEDICARE TAXES</v>
      </c>
    </row>
    <row r="2110" spans="1:10" x14ac:dyDescent="0.3">
      <c r="A2110" t="str">
        <f>""</f>
        <v/>
      </c>
      <c r="G2110" t="str">
        <f>""</f>
        <v/>
      </c>
      <c r="H2110" t="str">
        <f>""</f>
        <v/>
      </c>
      <c r="J2110" t="str">
        <f t="shared" si="34"/>
        <v>MEDICARE TAXES</v>
      </c>
    </row>
    <row r="2111" spans="1:10" x14ac:dyDescent="0.3">
      <c r="A2111" t="str">
        <f>""</f>
        <v/>
      </c>
      <c r="G2111" t="str">
        <f>""</f>
        <v/>
      </c>
      <c r="H2111" t="str">
        <f>""</f>
        <v/>
      </c>
      <c r="J2111" t="str">
        <f t="shared" si="34"/>
        <v>MEDICARE TAXES</v>
      </c>
    </row>
    <row r="2112" spans="1:10" x14ac:dyDescent="0.3">
      <c r="A2112" t="str">
        <f>""</f>
        <v/>
      </c>
      <c r="G2112" t="str">
        <f>""</f>
        <v/>
      </c>
      <c r="H2112" t="str">
        <f>""</f>
        <v/>
      </c>
      <c r="J2112" t="str">
        <f t="shared" si="34"/>
        <v>MEDICARE TAXES</v>
      </c>
    </row>
    <row r="2113" spans="1:10" x14ac:dyDescent="0.3">
      <c r="A2113" t="str">
        <f>""</f>
        <v/>
      </c>
      <c r="G2113" t="str">
        <f>""</f>
        <v/>
      </c>
      <c r="H2113" t="str">
        <f>""</f>
        <v/>
      </c>
      <c r="J2113" t="str">
        <f t="shared" si="34"/>
        <v>MEDICARE TAXES</v>
      </c>
    </row>
    <row r="2114" spans="1:10" x14ac:dyDescent="0.3">
      <c r="A2114" t="str">
        <f>""</f>
        <v/>
      </c>
      <c r="G2114" t="str">
        <f>""</f>
        <v/>
      </c>
      <c r="H2114" t="str">
        <f>""</f>
        <v/>
      </c>
      <c r="J2114" t="str">
        <f t="shared" si="34"/>
        <v>MEDICARE TAXES</v>
      </c>
    </row>
    <row r="2115" spans="1:10" x14ac:dyDescent="0.3">
      <c r="A2115" t="str">
        <f>""</f>
        <v/>
      </c>
      <c r="G2115" t="str">
        <f>""</f>
        <v/>
      </c>
      <c r="H2115" t="str">
        <f>""</f>
        <v/>
      </c>
      <c r="J2115" t="str">
        <f t="shared" si="34"/>
        <v>MEDICARE TAXES</v>
      </c>
    </row>
    <row r="2116" spans="1:10" x14ac:dyDescent="0.3">
      <c r="A2116" t="str">
        <f>""</f>
        <v/>
      </c>
      <c r="G2116" t="str">
        <f>""</f>
        <v/>
      </c>
      <c r="H2116" t="str">
        <f>""</f>
        <v/>
      </c>
      <c r="J2116" t="str">
        <f t="shared" si="34"/>
        <v>MEDICARE TAXES</v>
      </c>
    </row>
    <row r="2117" spans="1:10" x14ac:dyDescent="0.3">
      <c r="A2117" t="str">
        <f>""</f>
        <v/>
      </c>
      <c r="G2117" t="str">
        <f>""</f>
        <v/>
      </c>
      <c r="H2117" t="str">
        <f>""</f>
        <v/>
      </c>
      <c r="J2117" t="str">
        <f t="shared" si="34"/>
        <v>MEDICARE TAXES</v>
      </c>
    </row>
    <row r="2118" spans="1:10" x14ac:dyDescent="0.3">
      <c r="A2118" t="str">
        <f>""</f>
        <v/>
      </c>
      <c r="G2118" t="str">
        <f>""</f>
        <v/>
      </c>
      <c r="H2118" t="str">
        <f>""</f>
        <v/>
      </c>
      <c r="J2118" t="str">
        <f t="shared" si="34"/>
        <v>MEDICARE TAXES</v>
      </c>
    </row>
    <row r="2119" spans="1:10" x14ac:dyDescent="0.3">
      <c r="A2119" t="str">
        <f>""</f>
        <v/>
      </c>
      <c r="G2119" t="str">
        <f>""</f>
        <v/>
      </c>
      <c r="H2119" t="str">
        <f>""</f>
        <v/>
      </c>
      <c r="J2119" t="str">
        <f t="shared" si="34"/>
        <v>MEDICARE TAXES</v>
      </c>
    </row>
    <row r="2120" spans="1:10" x14ac:dyDescent="0.3">
      <c r="A2120" t="str">
        <f>""</f>
        <v/>
      </c>
      <c r="G2120" t="str">
        <f>""</f>
        <v/>
      </c>
      <c r="H2120" t="str">
        <f>""</f>
        <v/>
      </c>
      <c r="J2120" t="str">
        <f t="shared" si="34"/>
        <v>MEDICARE TAXES</v>
      </c>
    </row>
    <row r="2121" spans="1:10" x14ac:dyDescent="0.3">
      <c r="A2121" t="str">
        <f>""</f>
        <v/>
      </c>
      <c r="G2121" t="str">
        <f>""</f>
        <v/>
      </c>
      <c r="H2121" t="str">
        <f>""</f>
        <v/>
      </c>
      <c r="J2121" t="str">
        <f t="shared" si="34"/>
        <v>MEDICARE TAXES</v>
      </c>
    </row>
    <row r="2122" spans="1:10" x14ac:dyDescent="0.3">
      <c r="A2122" t="str">
        <f>""</f>
        <v/>
      </c>
      <c r="G2122" t="str">
        <f>""</f>
        <v/>
      </c>
      <c r="H2122" t="str">
        <f>""</f>
        <v/>
      </c>
      <c r="J2122" t="str">
        <f t="shared" si="34"/>
        <v>MEDICARE TAXES</v>
      </c>
    </row>
    <row r="2123" spans="1:10" x14ac:dyDescent="0.3">
      <c r="A2123" t="str">
        <f>""</f>
        <v/>
      </c>
      <c r="G2123" t="str">
        <f>""</f>
        <v/>
      </c>
      <c r="H2123" t="str">
        <f>""</f>
        <v/>
      </c>
      <c r="J2123" t="str">
        <f t="shared" si="34"/>
        <v>MEDICARE TAXES</v>
      </c>
    </row>
    <row r="2124" spans="1:10" x14ac:dyDescent="0.3">
      <c r="A2124" t="str">
        <f>""</f>
        <v/>
      </c>
      <c r="G2124" t="str">
        <f>""</f>
        <v/>
      </c>
      <c r="H2124" t="str">
        <f>""</f>
        <v/>
      </c>
      <c r="J2124" t="str">
        <f t="shared" si="34"/>
        <v>MEDICARE TAXES</v>
      </c>
    </row>
    <row r="2125" spans="1:10" x14ac:dyDescent="0.3">
      <c r="A2125" t="str">
        <f>""</f>
        <v/>
      </c>
      <c r="G2125" t="str">
        <f>""</f>
        <v/>
      </c>
      <c r="H2125" t="str">
        <f>""</f>
        <v/>
      </c>
      <c r="J2125" t="str">
        <f t="shared" si="34"/>
        <v>MEDICARE TAXES</v>
      </c>
    </row>
    <row r="2126" spans="1:10" x14ac:dyDescent="0.3">
      <c r="A2126" t="str">
        <f>""</f>
        <v/>
      </c>
      <c r="G2126" t="str">
        <f>""</f>
        <v/>
      </c>
      <c r="H2126" t="str">
        <f>""</f>
        <v/>
      </c>
      <c r="J2126" t="str">
        <f t="shared" si="34"/>
        <v>MEDICARE TAXES</v>
      </c>
    </row>
    <row r="2127" spans="1:10" x14ac:dyDescent="0.3">
      <c r="A2127" t="str">
        <f>""</f>
        <v/>
      </c>
      <c r="G2127" t="str">
        <f>""</f>
        <v/>
      </c>
      <c r="H2127" t="str">
        <f>""</f>
        <v/>
      </c>
      <c r="J2127" t="str">
        <f t="shared" si="34"/>
        <v>MEDICARE TAXES</v>
      </c>
    </row>
    <row r="2128" spans="1:10" x14ac:dyDescent="0.3">
      <c r="A2128" t="str">
        <f>""</f>
        <v/>
      </c>
      <c r="G2128" t="str">
        <f>""</f>
        <v/>
      </c>
      <c r="H2128" t="str">
        <f>""</f>
        <v/>
      </c>
      <c r="J2128" t="str">
        <f t="shared" si="34"/>
        <v>MEDICARE TAXES</v>
      </c>
    </row>
    <row r="2129" spans="1:10" x14ac:dyDescent="0.3">
      <c r="A2129" t="str">
        <f>""</f>
        <v/>
      </c>
      <c r="G2129" t="str">
        <f>""</f>
        <v/>
      </c>
      <c r="H2129" t="str">
        <f>""</f>
        <v/>
      </c>
      <c r="J2129" t="str">
        <f t="shared" si="34"/>
        <v>MEDICARE TAXES</v>
      </c>
    </row>
    <row r="2130" spans="1:10" x14ac:dyDescent="0.3">
      <c r="A2130" t="str">
        <f>""</f>
        <v/>
      </c>
      <c r="G2130" t="str">
        <f>""</f>
        <v/>
      </c>
      <c r="H2130" t="str">
        <f>""</f>
        <v/>
      </c>
      <c r="J2130" t="str">
        <f t="shared" si="34"/>
        <v>MEDICARE TAXES</v>
      </c>
    </row>
    <row r="2131" spans="1:10" x14ac:dyDescent="0.3">
      <c r="A2131" t="str">
        <f>""</f>
        <v/>
      </c>
      <c r="G2131" t="str">
        <f>""</f>
        <v/>
      </c>
      <c r="H2131" t="str">
        <f>""</f>
        <v/>
      </c>
      <c r="J2131" t="str">
        <f t="shared" si="34"/>
        <v>MEDICARE TAXES</v>
      </c>
    </row>
    <row r="2132" spans="1:10" x14ac:dyDescent="0.3">
      <c r="A2132" t="str">
        <f>""</f>
        <v/>
      </c>
      <c r="G2132" t="str">
        <f>""</f>
        <v/>
      </c>
      <c r="H2132" t="str">
        <f>""</f>
        <v/>
      </c>
      <c r="J2132" t="str">
        <f t="shared" si="34"/>
        <v>MEDICARE TAXES</v>
      </c>
    </row>
    <row r="2133" spans="1:10" x14ac:dyDescent="0.3">
      <c r="A2133" t="str">
        <f>""</f>
        <v/>
      </c>
      <c r="G2133" t="str">
        <f>""</f>
        <v/>
      </c>
      <c r="H2133" t="str">
        <f>""</f>
        <v/>
      </c>
      <c r="J2133" t="str">
        <f t="shared" si="34"/>
        <v>MEDICARE TAXES</v>
      </c>
    </row>
    <row r="2134" spans="1:10" x14ac:dyDescent="0.3">
      <c r="A2134" t="str">
        <f>""</f>
        <v/>
      </c>
      <c r="G2134" t="str">
        <f>""</f>
        <v/>
      </c>
      <c r="H2134" t="str">
        <f>""</f>
        <v/>
      </c>
      <c r="J2134" t="str">
        <f t="shared" si="34"/>
        <v>MEDICARE TAXES</v>
      </c>
    </row>
    <row r="2135" spans="1:10" x14ac:dyDescent="0.3">
      <c r="A2135" t="str">
        <f>""</f>
        <v/>
      </c>
      <c r="G2135" t="str">
        <f>""</f>
        <v/>
      </c>
      <c r="H2135" t="str">
        <f>""</f>
        <v/>
      </c>
      <c r="J2135" t="str">
        <f t="shared" si="34"/>
        <v>MEDICARE TAXES</v>
      </c>
    </row>
    <row r="2136" spans="1:10" x14ac:dyDescent="0.3">
      <c r="A2136" t="str">
        <f>""</f>
        <v/>
      </c>
      <c r="G2136" t="str">
        <f>""</f>
        <v/>
      </c>
      <c r="H2136" t="str">
        <f>""</f>
        <v/>
      </c>
      <c r="J2136" t="str">
        <f t="shared" si="34"/>
        <v>MEDICARE TAXES</v>
      </c>
    </row>
    <row r="2137" spans="1:10" x14ac:dyDescent="0.3">
      <c r="A2137" t="str">
        <f>""</f>
        <v/>
      </c>
      <c r="G2137" t="str">
        <f>""</f>
        <v/>
      </c>
      <c r="H2137" t="str">
        <f>""</f>
        <v/>
      </c>
      <c r="J2137" t="str">
        <f t="shared" si="34"/>
        <v>MEDICARE TAXES</v>
      </c>
    </row>
    <row r="2138" spans="1:10" x14ac:dyDescent="0.3">
      <c r="A2138" t="str">
        <f>""</f>
        <v/>
      </c>
      <c r="G2138" t="str">
        <f>""</f>
        <v/>
      </c>
      <c r="H2138" t="str">
        <f>""</f>
        <v/>
      </c>
      <c r="J2138" t="str">
        <f t="shared" ref="J2138:J2163" si="35">"MEDICARE TAXES"</f>
        <v>MEDICARE TAXES</v>
      </c>
    </row>
    <row r="2139" spans="1:10" x14ac:dyDescent="0.3">
      <c r="A2139" t="str">
        <f>""</f>
        <v/>
      </c>
      <c r="G2139" t="str">
        <f>""</f>
        <v/>
      </c>
      <c r="H2139" t="str">
        <f>""</f>
        <v/>
      </c>
      <c r="J2139" t="str">
        <f t="shared" si="35"/>
        <v>MEDICARE TAXES</v>
      </c>
    </row>
    <row r="2140" spans="1:10" x14ac:dyDescent="0.3">
      <c r="A2140" t="str">
        <f>""</f>
        <v/>
      </c>
      <c r="G2140" t="str">
        <f>""</f>
        <v/>
      </c>
      <c r="H2140" t="str">
        <f>""</f>
        <v/>
      </c>
      <c r="J2140" t="str">
        <f t="shared" si="35"/>
        <v>MEDICARE TAXES</v>
      </c>
    </row>
    <row r="2141" spans="1:10" x14ac:dyDescent="0.3">
      <c r="A2141" t="str">
        <f>""</f>
        <v/>
      </c>
      <c r="G2141" t="str">
        <f>""</f>
        <v/>
      </c>
      <c r="H2141" t="str">
        <f>""</f>
        <v/>
      </c>
      <c r="J2141" t="str">
        <f t="shared" si="35"/>
        <v>MEDICARE TAXES</v>
      </c>
    </row>
    <row r="2142" spans="1:10" x14ac:dyDescent="0.3">
      <c r="A2142" t="str">
        <f>""</f>
        <v/>
      </c>
      <c r="G2142" t="str">
        <f>""</f>
        <v/>
      </c>
      <c r="H2142" t="str">
        <f>""</f>
        <v/>
      </c>
      <c r="J2142" t="str">
        <f t="shared" si="35"/>
        <v>MEDICARE TAXES</v>
      </c>
    </row>
    <row r="2143" spans="1:10" x14ac:dyDescent="0.3">
      <c r="A2143" t="str">
        <f>""</f>
        <v/>
      </c>
      <c r="G2143" t="str">
        <f>""</f>
        <v/>
      </c>
      <c r="H2143" t="str">
        <f>""</f>
        <v/>
      </c>
      <c r="J2143" t="str">
        <f t="shared" si="35"/>
        <v>MEDICARE TAXES</v>
      </c>
    </row>
    <row r="2144" spans="1:10" x14ac:dyDescent="0.3">
      <c r="A2144" t="str">
        <f>""</f>
        <v/>
      </c>
      <c r="G2144" t="str">
        <f>""</f>
        <v/>
      </c>
      <c r="H2144" t="str">
        <f>""</f>
        <v/>
      </c>
      <c r="J2144" t="str">
        <f t="shared" si="35"/>
        <v>MEDICARE TAXES</v>
      </c>
    </row>
    <row r="2145" spans="1:10" x14ac:dyDescent="0.3">
      <c r="A2145" t="str">
        <f>""</f>
        <v/>
      </c>
      <c r="G2145" t="str">
        <f>""</f>
        <v/>
      </c>
      <c r="H2145" t="str">
        <f>""</f>
        <v/>
      </c>
      <c r="J2145" t="str">
        <f t="shared" si="35"/>
        <v>MEDICARE TAXES</v>
      </c>
    </row>
    <row r="2146" spans="1:10" x14ac:dyDescent="0.3">
      <c r="A2146" t="str">
        <f>""</f>
        <v/>
      </c>
      <c r="G2146" t="str">
        <f>""</f>
        <v/>
      </c>
      <c r="H2146" t="str">
        <f>""</f>
        <v/>
      </c>
      <c r="J2146" t="str">
        <f t="shared" si="35"/>
        <v>MEDICARE TAXES</v>
      </c>
    </row>
    <row r="2147" spans="1:10" x14ac:dyDescent="0.3">
      <c r="A2147" t="str">
        <f>""</f>
        <v/>
      </c>
      <c r="G2147" t="str">
        <f>""</f>
        <v/>
      </c>
      <c r="H2147" t="str">
        <f>""</f>
        <v/>
      </c>
      <c r="J2147" t="str">
        <f t="shared" si="35"/>
        <v>MEDICARE TAXES</v>
      </c>
    </row>
    <row r="2148" spans="1:10" x14ac:dyDescent="0.3">
      <c r="A2148" t="str">
        <f>""</f>
        <v/>
      </c>
      <c r="G2148" t="str">
        <f>""</f>
        <v/>
      </c>
      <c r="H2148" t="str">
        <f>""</f>
        <v/>
      </c>
      <c r="J2148" t="str">
        <f t="shared" si="35"/>
        <v>MEDICARE TAXES</v>
      </c>
    </row>
    <row r="2149" spans="1:10" x14ac:dyDescent="0.3">
      <c r="A2149" t="str">
        <f>""</f>
        <v/>
      </c>
      <c r="G2149" t="str">
        <f>""</f>
        <v/>
      </c>
      <c r="H2149" t="str">
        <f>""</f>
        <v/>
      </c>
      <c r="J2149" t="str">
        <f t="shared" si="35"/>
        <v>MEDICARE TAXES</v>
      </c>
    </row>
    <row r="2150" spans="1:10" x14ac:dyDescent="0.3">
      <c r="A2150" t="str">
        <f>""</f>
        <v/>
      </c>
      <c r="G2150" t="str">
        <f>""</f>
        <v/>
      </c>
      <c r="H2150" t="str">
        <f>""</f>
        <v/>
      </c>
      <c r="J2150" t="str">
        <f t="shared" si="35"/>
        <v>MEDICARE TAXES</v>
      </c>
    </row>
    <row r="2151" spans="1:10" x14ac:dyDescent="0.3">
      <c r="A2151" t="str">
        <f>""</f>
        <v/>
      </c>
      <c r="G2151" t="str">
        <f>""</f>
        <v/>
      </c>
      <c r="H2151" t="str">
        <f>""</f>
        <v/>
      </c>
      <c r="J2151" t="str">
        <f t="shared" si="35"/>
        <v>MEDICARE TAXES</v>
      </c>
    </row>
    <row r="2152" spans="1:10" x14ac:dyDescent="0.3">
      <c r="A2152" t="str">
        <f>""</f>
        <v/>
      </c>
      <c r="G2152" t="str">
        <f>""</f>
        <v/>
      </c>
      <c r="H2152" t="str">
        <f>""</f>
        <v/>
      </c>
      <c r="J2152" t="str">
        <f t="shared" si="35"/>
        <v>MEDICARE TAXES</v>
      </c>
    </row>
    <row r="2153" spans="1:10" x14ac:dyDescent="0.3">
      <c r="A2153" t="str">
        <f>""</f>
        <v/>
      </c>
      <c r="G2153" t="str">
        <f>""</f>
        <v/>
      </c>
      <c r="H2153" t="str">
        <f>""</f>
        <v/>
      </c>
      <c r="J2153" t="str">
        <f t="shared" si="35"/>
        <v>MEDICARE TAXES</v>
      </c>
    </row>
    <row r="2154" spans="1:10" x14ac:dyDescent="0.3">
      <c r="A2154" t="str">
        <f>""</f>
        <v/>
      </c>
      <c r="G2154" t="str">
        <f>""</f>
        <v/>
      </c>
      <c r="H2154" t="str">
        <f>""</f>
        <v/>
      </c>
      <c r="J2154" t="str">
        <f t="shared" si="35"/>
        <v>MEDICARE TAXES</v>
      </c>
    </row>
    <row r="2155" spans="1:10" x14ac:dyDescent="0.3">
      <c r="A2155" t="str">
        <f>""</f>
        <v/>
      </c>
      <c r="G2155" t="str">
        <f>""</f>
        <v/>
      </c>
      <c r="H2155" t="str">
        <f>""</f>
        <v/>
      </c>
      <c r="J2155" t="str">
        <f t="shared" si="35"/>
        <v>MEDICARE TAXES</v>
      </c>
    </row>
    <row r="2156" spans="1:10" x14ac:dyDescent="0.3">
      <c r="A2156" t="str">
        <f>""</f>
        <v/>
      </c>
      <c r="G2156" t="str">
        <f>""</f>
        <v/>
      </c>
      <c r="H2156" t="str">
        <f>""</f>
        <v/>
      </c>
      <c r="J2156" t="str">
        <f t="shared" si="35"/>
        <v>MEDICARE TAXES</v>
      </c>
    </row>
    <row r="2157" spans="1:10" x14ac:dyDescent="0.3">
      <c r="A2157" t="str">
        <f>""</f>
        <v/>
      </c>
      <c r="G2157" t="str">
        <f>""</f>
        <v/>
      </c>
      <c r="H2157" t="str">
        <f>""</f>
        <v/>
      </c>
      <c r="J2157" t="str">
        <f t="shared" si="35"/>
        <v>MEDICARE TAXES</v>
      </c>
    </row>
    <row r="2158" spans="1:10" x14ac:dyDescent="0.3">
      <c r="A2158" t="str">
        <f>""</f>
        <v/>
      </c>
      <c r="G2158" t="str">
        <f>"T4 201707123600"</f>
        <v>T4 201707123600</v>
      </c>
      <c r="H2158" t="str">
        <f>"MEDICARE TAXES"</f>
        <v>MEDICARE TAXES</v>
      </c>
      <c r="I2158" s="2">
        <v>908.58</v>
      </c>
      <c r="J2158" t="str">
        <f t="shared" si="35"/>
        <v>MEDICARE TAXES</v>
      </c>
    </row>
    <row r="2159" spans="1:10" x14ac:dyDescent="0.3">
      <c r="A2159" t="str">
        <f>""</f>
        <v/>
      </c>
      <c r="G2159" t="str">
        <f>""</f>
        <v/>
      </c>
      <c r="H2159" t="str">
        <f>""</f>
        <v/>
      </c>
      <c r="J2159" t="str">
        <f t="shared" si="35"/>
        <v>MEDICARE TAXES</v>
      </c>
    </row>
    <row r="2160" spans="1:10" x14ac:dyDescent="0.3">
      <c r="A2160" t="str">
        <f>""</f>
        <v/>
      </c>
      <c r="G2160" t="str">
        <f>"T4 201707123601"</f>
        <v>T4 201707123601</v>
      </c>
      <c r="H2160" t="str">
        <f>"MEDICARE TAXES"</f>
        <v>MEDICARE TAXES</v>
      </c>
      <c r="I2160" s="2">
        <v>1274.98</v>
      </c>
      <c r="J2160" t="str">
        <f t="shared" si="35"/>
        <v>MEDICARE TAXES</v>
      </c>
    </row>
    <row r="2161" spans="1:10" x14ac:dyDescent="0.3">
      <c r="A2161" t="str">
        <f>""</f>
        <v/>
      </c>
      <c r="G2161" t="str">
        <f>""</f>
        <v/>
      </c>
      <c r="H2161" t="str">
        <f>""</f>
        <v/>
      </c>
      <c r="J2161" t="str">
        <f t="shared" si="35"/>
        <v>MEDICARE TAXES</v>
      </c>
    </row>
    <row r="2162" spans="1:10" x14ac:dyDescent="0.3">
      <c r="A2162" t="str">
        <f>""</f>
        <v/>
      </c>
      <c r="G2162" t="str">
        <f>"T4 201707123606"</f>
        <v>T4 201707123606</v>
      </c>
      <c r="H2162" t="str">
        <f>"MEDICARE TAXES"</f>
        <v>MEDICARE TAXES</v>
      </c>
      <c r="I2162" s="2">
        <v>225.26</v>
      </c>
      <c r="J2162" t="str">
        <f t="shared" si="35"/>
        <v>MEDICARE TAXES</v>
      </c>
    </row>
    <row r="2163" spans="1:10" x14ac:dyDescent="0.3">
      <c r="A2163" t="str">
        <f>""</f>
        <v/>
      </c>
      <c r="G2163" t="str">
        <f>""</f>
        <v/>
      </c>
      <c r="H2163" t="str">
        <f>""</f>
        <v/>
      </c>
      <c r="J2163" t="str">
        <f t="shared" si="35"/>
        <v>MEDICARE TAXES</v>
      </c>
    </row>
    <row r="2164" spans="1:10" x14ac:dyDescent="0.3">
      <c r="A2164" t="str">
        <f>"IRSPY"</f>
        <v>IRSPY</v>
      </c>
      <c r="B2164" t="s">
        <v>484</v>
      </c>
      <c r="C2164">
        <v>0</v>
      </c>
      <c r="D2164" s="2">
        <v>214391.14</v>
      </c>
      <c r="E2164" s="1">
        <v>42944</v>
      </c>
      <c r="F2164" t="s">
        <v>35</v>
      </c>
      <c r="G2164" t="str">
        <f>"T1 201707263863"</f>
        <v>T1 201707263863</v>
      </c>
      <c r="H2164" t="str">
        <f>"FEDERAL WITHHOLDING"</f>
        <v>FEDERAL WITHHOLDING</v>
      </c>
      <c r="I2164" s="2">
        <v>77061.2</v>
      </c>
      <c r="J2164" t="str">
        <f>"FEDERAL WITHHOLDING"</f>
        <v>FEDERAL WITHHOLDING</v>
      </c>
    </row>
    <row r="2165" spans="1:10" x14ac:dyDescent="0.3">
      <c r="A2165" t="str">
        <f>""</f>
        <v/>
      </c>
      <c r="G2165" t="str">
        <f>"T1 201707263864"</f>
        <v>T1 201707263864</v>
      </c>
      <c r="H2165" t="str">
        <f>"FEDERAL WITHHOLDING"</f>
        <v>FEDERAL WITHHOLDING</v>
      </c>
      <c r="I2165" s="2">
        <v>3396.46</v>
      </c>
      <c r="J2165" t="str">
        <f>"FEDERAL WITHHOLDING"</f>
        <v>FEDERAL WITHHOLDING</v>
      </c>
    </row>
    <row r="2166" spans="1:10" x14ac:dyDescent="0.3">
      <c r="A2166" t="str">
        <f>""</f>
        <v/>
      </c>
      <c r="G2166" t="str">
        <f>"T1 201707263865"</f>
        <v>T1 201707263865</v>
      </c>
      <c r="H2166" t="str">
        <f>"FEDERAL WITHHOLDING"</f>
        <v>FEDERAL WITHHOLDING</v>
      </c>
      <c r="I2166" s="2">
        <v>4636.3</v>
      </c>
      <c r="J2166" t="str">
        <f>"FEDERAL WITHHOLDING"</f>
        <v>FEDERAL WITHHOLDING</v>
      </c>
    </row>
    <row r="2167" spans="1:10" x14ac:dyDescent="0.3">
      <c r="A2167" t="str">
        <f>""</f>
        <v/>
      </c>
      <c r="G2167" t="str">
        <f>"T3 201707263863"</f>
        <v>T3 201707263863</v>
      </c>
      <c r="H2167" t="str">
        <f>"SOCIAL SECURITY TAXES"</f>
        <v>SOCIAL SECURITY TAXES</v>
      </c>
      <c r="I2167" s="2">
        <v>95406.76</v>
      </c>
      <c r="J2167" t="str">
        <f t="shared" ref="J2167:J2198" si="36">"SOCIAL SECURITY TAXES"</f>
        <v>SOCIAL SECURITY TAXES</v>
      </c>
    </row>
    <row r="2168" spans="1:10" x14ac:dyDescent="0.3">
      <c r="A2168" t="str">
        <f>""</f>
        <v/>
      </c>
      <c r="G2168" t="str">
        <f>""</f>
        <v/>
      </c>
      <c r="H2168" t="str">
        <f>""</f>
        <v/>
      </c>
      <c r="J2168" t="str">
        <f t="shared" si="36"/>
        <v>SOCIAL SECURITY TAXES</v>
      </c>
    </row>
    <row r="2169" spans="1:10" x14ac:dyDescent="0.3">
      <c r="A2169" t="str">
        <f>""</f>
        <v/>
      </c>
      <c r="G2169" t="str">
        <f>""</f>
        <v/>
      </c>
      <c r="H2169" t="str">
        <f>""</f>
        <v/>
      </c>
      <c r="J2169" t="str">
        <f t="shared" si="36"/>
        <v>SOCIAL SECURITY TAXES</v>
      </c>
    </row>
    <row r="2170" spans="1:10" x14ac:dyDescent="0.3">
      <c r="A2170" t="str">
        <f>""</f>
        <v/>
      </c>
      <c r="G2170" t="str">
        <f>""</f>
        <v/>
      </c>
      <c r="H2170" t="str">
        <f>""</f>
        <v/>
      </c>
      <c r="J2170" t="str">
        <f t="shared" si="36"/>
        <v>SOCIAL SECURITY TAXES</v>
      </c>
    </row>
    <row r="2171" spans="1:10" x14ac:dyDescent="0.3">
      <c r="A2171" t="str">
        <f>""</f>
        <v/>
      </c>
      <c r="G2171" t="str">
        <f>""</f>
        <v/>
      </c>
      <c r="H2171" t="str">
        <f>""</f>
        <v/>
      </c>
      <c r="J2171" t="str">
        <f t="shared" si="36"/>
        <v>SOCIAL SECURITY TAXES</v>
      </c>
    </row>
    <row r="2172" spans="1:10" x14ac:dyDescent="0.3">
      <c r="A2172" t="str">
        <f>""</f>
        <v/>
      </c>
      <c r="G2172" t="str">
        <f>""</f>
        <v/>
      </c>
      <c r="H2172" t="str">
        <f>""</f>
        <v/>
      </c>
      <c r="J2172" t="str">
        <f t="shared" si="36"/>
        <v>SOCIAL SECURITY TAXES</v>
      </c>
    </row>
    <row r="2173" spans="1:10" x14ac:dyDescent="0.3">
      <c r="A2173" t="str">
        <f>""</f>
        <v/>
      </c>
      <c r="G2173" t="str">
        <f>""</f>
        <v/>
      </c>
      <c r="H2173" t="str">
        <f>""</f>
        <v/>
      </c>
      <c r="J2173" t="str">
        <f t="shared" si="36"/>
        <v>SOCIAL SECURITY TAXES</v>
      </c>
    </row>
    <row r="2174" spans="1:10" x14ac:dyDescent="0.3">
      <c r="A2174" t="str">
        <f>""</f>
        <v/>
      </c>
      <c r="G2174" t="str">
        <f>""</f>
        <v/>
      </c>
      <c r="H2174" t="str">
        <f>""</f>
        <v/>
      </c>
      <c r="J2174" t="str">
        <f t="shared" si="36"/>
        <v>SOCIAL SECURITY TAXES</v>
      </c>
    </row>
    <row r="2175" spans="1:10" x14ac:dyDescent="0.3">
      <c r="A2175" t="str">
        <f>""</f>
        <v/>
      </c>
      <c r="G2175" t="str">
        <f>""</f>
        <v/>
      </c>
      <c r="H2175" t="str">
        <f>""</f>
        <v/>
      </c>
      <c r="J2175" t="str">
        <f t="shared" si="36"/>
        <v>SOCIAL SECURITY TAXES</v>
      </c>
    </row>
    <row r="2176" spans="1:10" x14ac:dyDescent="0.3">
      <c r="A2176" t="str">
        <f>""</f>
        <v/>
      </c>
      <c r="G2176" t="str">
        <f>""</f>
        <v/>
      </c>
      <c r="H2176" t="str">
        <f>""</f>
        <v/>
      </c>
      <c r="J2176" t="str">
        <f t="shared" si="36"/>
        <v>SOCIAL SECURITY TAXES</v>
      </c>
    </row>
    <row r="2177" spans="1:10" x14ac:dyDescent="0.3">
      <c r="A2177" t="str">
        <f>""</f>
        <v/>
      </c>
      <c r="G2177" t="str">
        <f>""</f>
        <v/>
      </c>
      <c r="H2177" t="str">
        <f>""</f>
        <v/>
      </c>
      <c r="J2177" t="str">
        <f t="shared" si="36"/>
        <v>SOCIAL SECURITY TAXES</v>
      </c>
    </row>
    <row r="2178" spans="1:10" x14ac:dyDescent="0.3">
      <c r="A2178" t="str">
        <f>""</f>
        <v/>
      </c>
      <c r="G2178" t="str">
        <f>""</f>
        <v/>
      </c>
      <c r="H2178" t="str">
        <f>""</f>
        <v/>
      </c>
      <c r="J2178" t="str">
        <f t="shared" si="36"/>
        <v>SOCIAL SECURITY TAXES</v>
      </c>
    </row>
    <row r="2179" spans="1:10" x14ac:dyDescent="0.3">
      <c r="A2179" t="str">
        <f>""</f>
        <v/>
      </c>
      <c r="G2179" t="str">
        <f>""</f>
        <v/>
      </c>
      <c r="H2179" t="str">
        <f>""</f>
        <v/>
      </c>
      <c r="J2179" t="str">
        <f t="shared" si="36"/>
        <v>SOCIAL SECURITY TAXES</v>
      </c>
    </row>
    <row r="2180" spans="1:10" x14ac:dyDescent="0.3">
      <c r="A2180" t="str">
        <f>""</f>
        <v/>
      </c>
      <c r="G2180" t="str">
        <f>""</f>
        <v/>
      </c>
      <c r="H2180" t="str">
        <f>""</f>
        <v/>
      </c>
      <c r="J2180" t="str">
        <f t="shared" si="36"/>
        <v>SOCIAL SECURITY TAXES</v>
      </c>
    </row>
    <row r="2181" spans="1:10" x14ac:dyDescent="0.3">
      <c r="A2181" t="str">
        <f>""</f>
        <v/>
      </c>
      <c r="G2181" t="str">
        <f>""</f>
        <v/>
      </c>
      <c r="H2181" t="str">
        <f>""</f>
        <v/>
      </c>
      <c r="J2181" t="str">
        <f t="shared" si="36"/>
        <v>SOCIAL SECURITY TAXES</v>
      </c>
    </row>
    <row r="2182" spans="1:10" x14ac:dyDescent="0.3">
      <c r="A2182" t="str">
        <f>""</f>
        <v/>
      </c>
      <c r="G2182" t="str">
        <f>""</f>
        <v/>
      </c>
      <c r="H2182" t="str">
        <f>""</f>
        <v/>
      </c>
      <c r="J2182" t="str">
        <f t="shared" si="36"/>
        <v>SOCIAL SECURITY TAXES</v>
      </c>
    </row>
    <row r="2183" spans="1:10" x14ac:dyDescent="0.3">
      <c r="A2183" t="str">
        <f>""</f>
        <v/>
      </c>
      <c r="G2183" t="str">
        <f>""</f>
        <v/>
      </c>
      <c r="H2183" t="str">
        <f>""</f>
        <v/>
      </c>
      <c r="J2183" t="str">
        <f t="shared" si="36"/>
        <v>SOCIAL SECURITY TAXES</v>
      </c>
    </row>
    <row r="2184" spans="1:10" x14ac:dyDescent="0.3">
      <c r="A2184" t="str">
        <f>""</f>
        <v/>
      </c>
      <c r="G2184" t="str">
        <f>""</f>
        <v/>
      </c>
      <c r="H2184" t="str">
        <f>""</f>
        <v/>
      </c>
      <c r="J2184" t="str">
        <f t="shared" si="36"/>
        <v>SOCIAL SECURITY TAXES</v>
      </c>
    </row>
    <row r="2185" spans="1:10" x14ac:dyDescent="0.3">
      <c r="A2185" t="str">
        <f>""</f>
        <v/>
      </c>
      <c r="G2185" t="str">
        <f>""</f>
        <v/>
      </c>
      <c r="H2185" t="str">
        <f>""</f>
        <v/>
      </c>
      <c r="J2185" t="str">
        <f t="shared" si="36"/>
        <v>SOCIAL SECURITY TAXES</v>
      </c>
    </row>
    <row r="2186" spans="1:10" x14ac:dyDescent="0.3">
      <c r="A2186" t="str">
        <f>""</f>
        <v/>
      </c>
      <c r="G2186" t="str">
        <f>""</f>
        <v/>
      </c>
      <c r="H2186" t="str">
        <f>""</f>
        <v/>
      </c>
      <c r="J2186" t="str">
        <f t="shared" si="36"/>
        <v>SOCIAL SECURITY TAXES</v>
      </c>
    </row>
    <row r="2187" spans="1:10" x14ac:dyDescent="0.3">
      <c r="A2187" t="str">
        <f>""</f>
        <v/>
      </c>
      <c r="G2187" t="str">
        <f>""</f>
        <v/>
      </c>
      <c r="H2187" t="str">
        <f>""</f>
        <v/>
      </c>
      <c r="J2187" t="str">
        <f t="shared" si="36"/>
        <v>SOCIAL SECURITY TAXES</v>
      </c>
    </row>
    <row r="2188" spans="1:10" x14ac:dyDescent="0.3">
      <c r="A2188" t="str">
        <f>""</f>
        <v/>
      </c>
      <c r="G2188" t="str">
        <f>""</f>
        <v/>
      </c>
      <c r="H2188" t="str">
        <f>""</f>
        <v/>
      </c>
      <c r="J2188" t="str">
        <f t="shared" si="36"/>
        <v>SOCIAL SECURITY TAXES</v>
      </c>
    </row>
    <row r="2189" spans="1:10" x14ac:dyDescent="0.3">
      <c r="A2189" t="str">
        <f>""</f>
        <v/>
      </c>
      <c r="G2189" t="str">
        <f>""</f>
        <v/>
      </c>
      <c r="H2189" t="str">
        <f>""</f>
        <v/>
      </c>
      <c r="J2189" t="str">
        <f t="shared" si="36"/>
        <v>SOCIAL SECURITY TAXES</v>
      </c>
    </row>
    <row r="2190" spans="1:10" x14ac:dyDescent="0.3">
      <c r="A2190" t="str">
        <f>""</f>
        <v/>
      </c>
      <c r="G2190" t="str">
        <f>""</f>
        <v/>
      </c>
      <c r="H2190" t="str">
        <f>""</f>
        <v/>
      </c>
      <c r="J2190" t="str">
        <f t="shared" si="36"/>
        <v>SOCIAL SECURITY TAXES</v>
      </c>
    </row>
    <row r="2191" spans="1:10" x14ac:dyDescent="0.3">
      <c r="A2191" t="str">
        <f>""</f>
        <v/>
      </c>
      <c r="G2191" t="str">
        <f>""</f>
        <v/>
      </c>
      <c r="H2191" t="str">
        <f>""</f>
        <v/>
      </c>
      <c r="J2191" t="str">
        <f t="shared" si="36"/>
        <v>SOCIAL SECURITY TAXES</v>
      </c>
    </row>
    <row r="2192" spans="1:10" x14ac:dyDescent="0.3">
      <c r="A2192" t="str">
        <f>""</f>
        <v/>
      </c>
      <c r="G2192" t="str">
        <f>""</f>
        <v/>
      </c>
      <c r="H2192" t="str">
        <f>""</f>
        <v/>
      </c>
      <c r="J2192" t="str">
        <f t="shared" si="36"/>
        <v>SOCIAL SECURITY TAXES</v>
      </c>
    </row>
    <row r="2193" spans="1:10" x14ac:dyDescent="0.3">
      <c r="A2193" t="str">
        <f>""</f>
        <v/>
      </c>
      <c r="G2193" t="str">
        <f>""</f>
        <v/>
      </c>
      <c r="H2193" t="str">
        <f>""</f>
        <v/>
      </c>
      <c r="J2193" t="str">
        <f t="shared" si="36"/>
        <v>SOCIAL SECURITY TAXES</v>
      </c>
    </row>
    <row r="2194" spans="1:10" x14ac:dyDescent="0.3">
      <c r="A2194" t="str">
        <f>""</f>
        <v/>
      </c>
      <c r="G2194" t="str">
        <f>""</f>
        <v/>
      </c>
      <c r="H2194" t="str">
        <f>""</f>
        <v/>
      </c>
      <c r="J2194" t="str">
        <f t="shared" si="36"/>
        <v>SOCIAL SECURITY TAXES</v>
      </c>
    </row>
    <row r="2195" spans="1:10" x14ac:dyDescent="0.3">
      <c r="A2195" t="str">
        <f>""</f>
        <v/>
      </c>
      <c r="G2195" t="str">
        <f>""</f>
        <v/>
      </c>
      <c r="H2195" t="str">
        <f>""</f>
        <v/>
      </c>
      <c r="J2195" t="str">
        <f t="shared" si="36"/>
        <v>SOCIAL SECURITY TAXES</v>
      </c>
    </row>
    <row r="2196" spans="1:10" x14ac:dyDescent="0.3">
      <c r="A2196" t="str">
        <f>""</f>
        <v/>
      </c>
      <c r="G2196" t="str">
        <f>""</f>
        <v/>
      </c>
      <c r="H2196" t="str">
        <f>""</f>
        <v/>
      </c>
      <c r="J2196" t="str">
        <f t="shared" si="36"/>
        <v>SOCIAL SECURITY TAXES</v>
      </c>
    </row>
    <row r="2197" spans="1:10" x14ac:dyDescent="0.3">
      <c r="A2197" t="str">
        <f>""</f>
        <v/>
      </c>
      <c r="G2197" t="str">
        <f>""</f>
        <v/>
      </c>
      <c r="H2197" t="str">
        <f>""</f>
        <v/>
      </c>
      <c r="J2197" t="str">
        <f t="shared" si="36"/>
        <v>SOCIAL SECURITY TAXES</v>
      </c>
    </row>
    <row r="2198" spans="1:10" x14ac:dyDescent="0.3">
      <c r="A2198" t="str">
        <f>""</f>
        <v/>
      </c>
      <c r="G2198" t="str">
        <f>""</f>
        <v/>
      </c>
      <c r="H2198" t="str">
        <f>""</f>
        <v/>
      </c>
      <c r="J2198" t="str">
        <f t="shared" si="36"/>
        <v>SOCIAL SECURITY TAXES</v>
      </c>
    </row>
    <row r="2199" spans="1:10" x14ac:dyDescent="0.3">
      <c r="A2199" t="str">
        <f>""</f>
        <v/>
      </c>
      <c r="G2199" t="str">
        <f>""</f>
        <v/>
      </c>
      <c r="H2199" t="str">
        <f>""</f>
        <v/>
      </c>
      <c r="J2199" t="str">
        <f t="shared" ref="J2199:J2222" si="37">"SOCIAL SECURITY TAXES"</f>
        <v>SOCIAL SECURITY TAXES</v>
      </c>
    </row>
    <row r="2200" spans="1:10" x14ac:dyDescent="0.3">
      <c r="A2200" t="str">
        <f>""</f>
        <v/>
      </c>
      <c r="G2200" t="str">
        <f>""</f>
        <v/>
      </c>
      <c r="H2200" t="str">
        <f>""</f>
        <v/>
      </c>
      <c r="J2200" t="str">
        <f t="shared" si="37"/>
        <v>SOCIAL SECURITY TAXES</v>
      </c>
    </row>
    <row r="2201" spans="1:10" x14ac:dyDescent="0.3">
      <c r="A2201" t="str">
        <f>""</f>
        <v/>
      </c>
      <c r="G2201" t="str">
        <f>""</f>
        <v/>
      </c>
      <c r="H2201" t="str">
        <f>""</f>
        <v/>
      </c>
      <c r="J2201" t="str">
        <f t="shared" si="37"/>
        <v>SOCIAL SECURITY TAXES</v>
      </c>
    </row>
    <row r="2202" spans="1:10" x14ac:dyDescent="0.3">
      <c r="A2202" t="str">
        <f>""</f>
        <v/>
      </c>
      <c r="G2202" t="str">
        <f>""</f>
        <v/>
      </c>
      <c r="H2202" t="str">
        <f>""</f>
        <v/>
      </c>
      <c r="J2202" t="str">
        <f t="shared" si="37"/>
        <v>SOCIAL SECURITY TAXES</v>
      </c>
    </row>
    <row r="2203" spans="1:10" x14ac:dyDescent="0.3">
      <c r="A2203" t="str">
        <f>""</f>
        <v/>
      </c>
      <c r="G2203" t="str">
        <f>""</f>
        <v/>
      </c>
      <c r="H2203" t="str">
        <f>""</f>
        <v/>
      </c>
      <c r="J2203" t="str">
        <f t="shared" si="37"/>
        <v>SOCIAL SECURITY TAXES</v>
      </c>
    </row>
    <row r="2204" spans="1:10" x14ac:dyDescent="0.3">
      <c r="A2204" t="str">
        <f>""</f>
        <v/>
      </c>
      <c r="G2204" t="str">
        <f>""</f>
        <v/>
      </c>
      <c r="H2204" t="str">
        <f>""</f>
        <v/>
      </c>
      <c r="J2204" t="str">
        <f t="shared" si="37"/>
        <v>SOCIAL SECURITY TAXES</v>
      </c>
    </row>
    <row r="2205" spans="1:10" x14ac:dyDescent="0.3">
      <c r="A2205" t="str">
        <f>""</f>
        <v/>
      </c>
      <c r="G2205" t="str">
        <f>""</f>
        <v/>
      </c>
      <c r="H2205" t="str">
        <f>""</f>
        <v/>
      </c>
      <c r="J2205" t="str">
        <f t="shared" si="37"/>
        <v>SOCIAL SECURITY TAXES</v>
      </c>
    </row>
    <row r="2206" spans="1:10" x14ac:dyDescent="0.3">
      <c r="A2206" t="str">
        <f>""</f>
        <v/>
      </c>
      <c r="G2206" t="str">
        <f>""</f>
        <v/>
      </c>
      <c r="H2206" t="str">
        <f>""</f>
        <v/>
      </c>
      <c r="J2206" t="str">
        <f t="shared" si="37"/>
        <v>SOCIAL SECURITY TAXES</v>
      </c>
    </row>
    <row r="2207" spans="1:10" x14ac:dyDescent="0.3">
      <c r="A2207" t="str">
        <f>""</f>
        <v/>
      </c>
      <c r="G2207" t="str">
        <f>""</f>
        <v/>
      </c>
      <c r="H2207" t="str">
        <f>""</f>
        <v/>
      </c>
      <c r="J2207" t="str">
        <f t="shared" si="37"/>
        <v>SOCIAL SECURITY TAXES</v>
      </c>
    </row>
    <row r="2208" spans="1:10" x14ac:dyDescent="0.3">
      <c r="A2208" t="str">
        <f>""</f>
        <v/>
      </c>
      <c r="G2208" t="str">
        <f>""</f>
        <v/>
      </c>
      <c r="H2208" t="str">
        <f>""</f>
        <v/>
      </c>
      <c r="J2208" t="str">
        <f t="shared" si="37"/>
        <v>SOCIAL SECURITY TAXES</v>
      </c>
    </row>
    <row r="2209" spans="1:10" x14ac:dyDescent="0.3">
      <c r="A2209" t="str">
        <f>""</f>
        <v/>
      </c>
      <c r="G2209" t="str">
        <f>""</f>
        <v/>
      </c>
      <c r="H2209" t="str">
        <f>""</f>
        <v/>
      </c>
      <c r="J2209" t="str">
        <f t="shared" si="37"/>
        <v>SOCIAL SECURITY TAXES</v>
      </c>
    </row>
    <row r="2210" spans="1:10" x14ac:dyDescent="0.3">
      <c r="A2210" t="str">
        <f>""</f>
        <v/>
      </c>
      <c r="G2210" t="str">
        <f>""</f>
        <v/>
      </c>
      <c r="H2210" t="str">
        <f>""</f>
        <v/>
      </c>
      <c r="J2210" t="str">
        <f t="shared" si="37"/>
        <v>SOCIAL SECURITY TAXES</v>
      </c>
    </row>
    <row r="2211" spans="1:10" x14ac:dyDescent="0.3">
      <c r="A2211" t="str">
        <f>""</f>
        <v/>
      </c>
      <c r="G2211" t="str">
        <f>""</f>
        <v/>
      </c>
      <c r="H2211" t="str">
        <f>""</f>
        <v/>
      </c>
      <c r="J2211" t="str">
        <f t="shared" si="37"/>
        <v>SOCIAL SECURITY TAXES</v>
      </c>
    </row>
    <row r="2212" spans="1:10" x14ac:dyDescent="0.3">
      <c r="A2212" t="str">
        <f>""</f>
        <v/>
      </c>
      <c r="G2212" t="str">
        <f>""</f>
        <v/>
      </c>
      <c r="H2212" t="str">
        <f>""</f>
        <v/>
      </c>
      <c r="J2212" t="str">
        <f t="shared" si="37"/>
        <v>SOCIAL SECURITY TAXES</v>
      </c>
    </row>
    <row r="2213" spans="1:10" x14ac:dyDescent="0.3">
      <c r="A2213" t="str">
        <f>""</f>
        <v/>
      </c>
      <c r="G2213" t="str">
        <f>""</f>
        <v/>
      </c>
      <c r="H2213" t="str">
        <f>""</f>
        <v/>
      </c>
      <c r="J2213" t="str">
        <f t="shared" si="37"/>
        <v>SOCIAL SECURITY TAXES</v>
      </c>
    </row>
    <row r="2214" spans="1:10" x14ac:dyDescent="0.3">
      <c r="A2214" t="str">
        <f>""</f>
        <v/>
      </c>
      <c r="G2214" t="str">
        <f>""</f>
        <v/>
      </c>
      <c r="H2214" t="str">
        <f>""</f>
        <v/>
      </c>
      <c r="J2214" t="str">
        <f t="shared" si="37"/>
        <v>SOCIAL SECURITY TAXES</v>
      </c>
    </row>
    <row r="2215" spans="1:10" x14ac:dyDescent="0.3">
      <c r="A2215" t="str">
        <f>""</f>
        <v/>
      </c>
      <c r="G2215" t="str">
        <f>""</f>
        <v/>
      </c>
      <c r="H2215" t="str">
        <f>""</f>
        <v/>
      </c>
      <c r="J2215" t="str">
        <f t="shared" si="37"/>
        <v>SOCIAL SECURITY TAXES</v>
      </c>
    </row>
    <row r="2216" spans="1:10" x14ac:dyDescent="0.3">
      <c r="A2216" t="str">
        <f>""</f>
        <v/>
      </c>
      <c r="G2216" t="str">
        <f>""</f>
        <v/>
      </c>
      <c r="H2216" t="str">
        <f>""</f>
        <v/>
      </c>
      <c r="J2216" t="str">
        <f t="shared" si="37"/>
        <v>SOCIAL SECURITY TAXES</v>
      </c>
    </row>
    <row r="2217" spans="1:10" x14ac:dyDescent="0.3">
      <c r="A2217" t="str">
        <f>""</f>
        <v/>
      </c>
      <c r="G2217" t="str">
        <f>""</f>
        <v/>
      </c>
      <c r="H2217" t="str">
        <f>""</f>
        <v/>
      </c>
      <c r="J2217" t="str">
        <f t="shared" si="37"/>
        <v>SOCIAL SECURITY TAXES</v>
      </c>
    </row>
    <row r="2218" spans="1:10" x14ac:dyDescent="0.3">
      <c r="A2218" t="str">
        <f>""</f>
        <v/>
      </c>
      <c r="G2218" t="str">
        <f>""</f>
        <v/>
      </c>
      <c r="H2218" t="str">
        <f>""</f>
        <v/>
      </c>
      <c r="J2218" t="str">
        <f t="shared" si="37"/>
        <v>SOCIAL SECURITY TAXES</v>
      </c>
    </row>
    <row r="2219" spans="1:10" x14ac:dyDescent="0.3">
      <c r="A2219" t="str">
        <f>""</f>
        <v/>
      </c>
      <c r="G2219" t="str">
        <f>"T3 201707263864"</f>
        <v>T3 201707263864</v>
      </c>
      <c r="H2219" t="str">
        <f>"SOCIAL SECURITY TAXES"</f>
        <v>SOCIAL SECURITY TAXES</v>
      </c>
      <c r="I2219" s="2">
        <v>3874.42</v>
      </c>
      <c r="J2219" t="str">
        <f t="shared" si="37"/>
        <v>SOCIAL SECURITY TAXES</v>
      </c>
    </row>
    <row r="2220" spans="1:10" x14ac:dyDescent="0.3">
      <c r="A2220" t="str">
        <f>""</f>
        <v/>
      </c>
      <c r="G2220" t="str">
        <f>""</f>
        <v/>
      </c>
      <c r="H2220" t="str">
        <f>""</f>
        <v/>
      </c>
      <c r="J2220" t="str">
        <f t="shared" si="37"/>
        <v>SOCIAL SECURITY TAXES</v>
      </c>
    </row>
    <row r="2221" spans="1:10" x14ac:dyDescent="0.3">
      <c r="A2221" t="str">
        <f>""</f>
        <v/>
      </c>
      <c r="G2221" t="str">
        <f>"T3 201707263865"</f>
        <v>T3 201707263865</v>
      </c>
      <c r="H2221" t="str">
        <f>"SOCIAL SECURITY TAXES"</f>
        <v>SOCIAL SECURITY TAXES</v>
      </c>
      <c r="I2221" s="2">
        <v>5508.56</v>
      </c>
      <c r="J2221" t="str">
        <f t="shared" si="37"/>
        <v>SOCIAL SECURITY TAXES</v>
      </c>
    </row>
    <row r="2222" spans="1:10" x14ac:dyDescent="0.3">
      <c r="A2222" t="str">
        <f>""</f>
        <v/>
      </c>
      <c r="G2222" t="str">
        <f>""</f>
        <v/>
      </c>
      <c r="H2222" t="str">
        <f>""</f>
        <v/>
      </c>
      <c r="J2222" t="str">
        <f t="shared" si="37"/>
        <v>SOCIAL SECURITY TAXES</v>
      </c>
    </row>
    <row r="2223" spans="1:10" x14ac:dyDescent="0.3">
      <c r="A2223" t="str">
        <f>""</f>
        <v/>
      </c>
      <c r="G2223" t="str">
        <f>"T4 201707263863"</f>
        <v>T4 201707263863</v>
      </c>
      <c r="H2223" t="str">
        <f>"MEDICARE TAXES"</f>
        <v>MEDICARE TAXES</v>
      </c>
      <c r="I2223" s="2">
        <v>22313</v>
      </c>
      <c r="J2223" t="str">
        <f t="shared" ref="J2223:J2254" si="38">"MEDICARE TAXES"</f>
        <v>MEDICARE TAXES</v>
      </c>
    </row>
    <row r="2224" spans="1:10" x14ac:dyDescent="0.3">
      <c r="A2224" t="str">
        <f>""</f>
        <v/>
      </c>
      <c r="G2224" t="str">
        <f>""</f>
        <v/>
      </c>
      <c r="H2224" t="str">
        <f>""</f>
        <v/>
      </c>
      <c r="J2224" t="str">
        <f t="shared" si="38"/>
        <v>MEDICARE TAXES</v>
      </c>
    </row>
    <row r="2225" spans="1:10" x14ac:dyDescent="0.3">
      <c r="A2225" t="str">
        <f>""</f>
        <v/>
      </c>
      <c r="G2225" t="str">
        <f>""</f>
        <v/>
      </c>
      <c r="H2225" t="str">
        <f>""</f>
        <v/>
      </c>
      <c r="J2225" t="str">
        <f t="shared" si="38"/>
        <v>MEDICARE TAXES</v>
      </c>
    </row>
    <row r="2226" spans="1:10" x14ac:dyDescent="0.3">
      <c r="A2226" t="str">
        <f>""</f>
        <v/>
      </c>
      <c r="G2226" t="str">
        <f>""</f>
        <v/>
      </c>
      <c r="H2226" t="str">
        <f>""</f>
        <v/>
      </c>
      <c r="J2226" t="str">
        <f t="shared" si="38"/>
        <v>MEDICARE TAXES</v>
      </c>
    </row>
    <row r="2227" spans="1:10" x14ac:dyDescent="0.3">
      <c r="A2227" t="str">
        <f>""</f>
        <v/>
      </c>
      <c r="G2227" t="str">
        <f>""</f>
        <v/>
      </c>
      <c r="H2227" t="str">
        <f>""</f>
        <v/>
      </c>
      <c r="J2227" t="str">
        <f t="shared" si="38"/>
        <v>MEDICARE TAXES</v>
      </c>
    </row>
    <row r="2228" spans="1:10" x14ac:dyDescent="0.3">
      <c r="A2228" t="str">
        <f>""</f>
        <v/>
      </c>
      <c r="G2228" t="str">
        <f>""</f>
        <v/>
      </c>
      <c r="H2228" t="str">
        <f>""</f>
        <v/>
      </c>
      <c r="J2228" t="str">
        <f t="shared" si="38"/>
        <v>MEDICARE TAXES</v>
      </c>
    </row>
    <row r="2229" spans="1:10" x14ac:dyDescent="0.3">
      <c r="A2229" t="str">
        <f>""</f>
        <v/>
      </c>
      <c r="G2229" t="str">
        <f>""</f>
        <v/>
      </c>
      <c r="H2229" t="str">
        <f>""</f>
        <v/>
      </c>
      <c r="J2229" t="str">
        <f t="shared" si="38"/>
        <v>MEDICARE TAXES</v>
      </c>
    </row>
    <row r="2230" spans="1:10" x14ac:dyDescent="0.3">
      <c r="A2230" t="str">
        <f>""</f>
        <v/>
      </c>
      <c r="G2230" t="str">
        <f>""</f>
        <v/>
      </c>
      <c r="H2230" t="str">
        <f>""</f>
        <v/>
      </c>
      <c r="J2230" t="str">
        <f t="shared" si="38"/>
        <v>MEDICARE TAXES</v>
      </c>
    </row>
    <row r="2231" spans="1:10" x14ac:dyDescent="0.3">
      <c r="A2231" t="str">
        <f>""</f>
        <v/>
      </c>
      <c r="G2231" t="str">
        <f>""</f>
        <v/>
      </c>
      <c r="H2231" t="str">
        <f>""</f>
        <v/>
      </c>
      <c r="J2231" t="str">
        <f t="shared" si="38"/>
        <v>MEDICARE TAXES</v>
      </c>
    </row>
    <row r="2232" spans="1:10" x14ac:dyDescent="0.3">
      <c r="A2232" t="str">
        <f>""</f>
        <v/>
      </c>
      <c r="G2232" t="str">
        <f>""</f>
        <v/>
      </c>
      <c r="H2232" t="str">
        <f>""</f>
        <v/>
      </c>
      <c r="J2232" t="str">
        <f t="shared" si="38"/>
        <v>MEDICARE TAXES</v>
      </c>
    </row>
    <row r="2233" spans="1:10" x14ac:dyDescent="0.3">
      <c r="A2233" t="str">
        <f>""</f>
        <v/>
      </c>
      <c r="G2233" t="str">
        <f>""</f>
        <v/>
      </c>
      <c r="H2233" t="str">
        <f>""</f>
        <v/>
      </c>
      <c r="J2233" t="str">
        <f t="shared" si="38"/>
        <v>MEDICARE TAXES</v>
      </c>
    </row>
    <row r="2234" spans="1:10" x14ac:dyDescent="0.3">
      <c r="A2234" t="str">
        <f>""</f>
        <v/>
      </c>
      <c r="G2234" t="str">
        <f>""</f>
        <v/>
      </c>
      <c r="H2234" t="str">
        <f>""</f>
        <v/>
      </c>
      <c r="J2234" t="str">
        <f t="shared" si="38"/>
        <v>MEDICARE TAXES</v>
      </c>
    </row>
    <row r="2235" spans="1:10" x14ac:dyDescent="0.3">
      <c r="A2235" t="str">
        <f>""</f>
        <v/>
      </c>
      <c r="G2235" t="str">
        <f>""</f>
        <v/>
      </c>
      <c r="H2235" t="str">
        <f>""</f>
        <v/>
      </c>
      <c r="J2235" t="str">
        <f t="shared" si="38"/>
        <v>MEDICARE TAXES</v>
      </c>
    </row>
    <row r="2236" spans="1:10" x14ac:dyDescent="0.3">
      <c r="A2236" t="str">
        <f>""</f>
        <v/>
      </c>
      <c r="G2236" t="str">
        <f>""</f>
        <v/>
      </c>
      <c r="H2236" t="str">
        <f>""</f>
        <v/>
      </c>
      <c r="J2236" t="str">
        <f t="shared" si="38"/>
        <v>MEDICARE TAXES</v>
      </c>
    </row>
    <row r="2237" spans="1:10" x14ac:dyDescent="0.3">
      <c r="A2237" t="str">
        <f>""</f>
        <v/>
      </c>
      <c r="G2237" t="str">
        <f>""</f>
        <v/>
      </c>
      <c r="H2237" t="str">
        <f>""</f>
        <v/>
      </c>
      <c r="J2237" t="str">
        <f t="shared" si="38"/>
        <v>MEDICARE TAXES</v>
      </c>
    </row>
    <row r="2238" spans="1:10" x14ac:dyDescent="0.3">
      <c r="A2238" t="str">
        <f>""</f>
        <v/>
      </c>
      <c r="G2238" t="str">
        <f>""</f>
        <v/>
      </c>
      <c r="H2238" t="str">
        <f>""</f>
        <v/>
      </c>
      <c r="J2238" t="str">
        <f t="shared" si="38"/>
        <v>MEDICARE TAXES</v>
      </c>
    </row>
    <row r="2239" spans="1:10" x14ac:dyDescent="0.3">
      <c r="A2239" t="str">
        <f>""</f>
        <v/>
      </c>
      <c r="G2239" t="str">
        <f>""</f>
        <v/>
      </c>
      <c r="H2239" t="str">
        <f>""</f>
        <v/>
      </c>
      <c r="J2239" t="str">
        <f t="shared" si="38"/>
        <v>MEDICARE TAXES</v>
      </c>
    </row>
    <row r="2240" spans="1:10" x14ac:dyDescent="0.3">
      <c r="A2240" t="str">
        <f>""</f>
        <v/>
      </c>
      <c r="G2240" t="str">
        <f>""</f>
        <v/>
      </c>
      <c r="H2240" t="str">
        <f>""</f>
        <v/>
      </c>
      <c r="J2240" t="str">
        <f t="shared" si="38"/>
        <v>MEDICARE TAXES</v>
      </c>
    </row>
    <row r="2241" spans="1:10" x14ac:dyDescent="0.3">
      <c r="A2241" t="str">
        <f>""</f>
        <v/>
      </c>
      <c r="G2241" t="str">
        <f>""</f>
        <v/>
      </c>
      <c r="H2241" t="str">
        <f>""</f>
        <v/>
      </c>
      <c r="J2241" t="str">
        <f t="shared" si="38"/>
        <v>MEDICARE TAXES</v>
      </c>
    </row>
    <row r="2242" spans="1:10" x14ac:dyDescent="0.3">
      <c r="A2242" t="str">
        <f>""</f>
        <v/>
      </c>
      <c r="G2242" t="str">
        <f>""</f>
        <v/>
      </c>
      <c r="H2242" t="str">
        <f>""</f>
        <v/>
      </c>
      <c r="J2242" t="str">
        <f t="shared" si="38"/>
        <v>MEDICARE TAXES</v>
      </c>
    </row>
    <row r="2243" spans="1:10" x14ac:dyDescent="0.3">
      <c r="A2243" t="str">
        <f>""</f>
        <v/>
      </c>
      <c r="G2243" t="str">
        <f>""</f>
        <v/>
      </c>
      <c r="H2243" t="str">
        <f>""</f>
        <v/>
      </c>
      <c r="J2243" t="str">
        <f t="shared" si="38"/>
        <v>MEDICARE TAXES</v>
      </c>
    </row>
    <row r="2244" spans="1:10" x14ac:dyDescent="0.3">
      <c r="A2244" t="str">
        <f>""</f>
        <v/>
      </c>
      <c r="G2244" t="str">
        <f>""</f>
        <v/>
      </c>
      <c r="H2244" t="str">
        <f>""</f>
        <v/>
      </c>
      <c r="J2244" t="str">
        <f t="shared" si="38"/>
        <v>MEDICARE TAXES</v>
      </c>
    </row>
    <row r="2245" spans="1:10" x14ac:dyDescent="0.3">
      <c r="A2245" t="str">
        <f>""</f>
        <v/>
      </c>
      <c r="G2245" t="str">
        <f>""</f>
        <v/>
      </c>
      <c r="H2245" t="str">
        <f>""</f>
        <v/>
      </c>
      <c r="J2245" t="str">
        <f t="shared" si="38"/>
        <v>MEDICARE TAXES</v>
      </c>
    </row>
    <row r="2246" spans="1:10" x14ac:dyDescent="0.3">
      <c r="A2246" t="str">
        <f>""</f>
        <v/>
      </c>
      <c r="G2246" t="str">
        <f>""</f>
        <v/>
      </c>
      <c r="H2246" t="str">
        <f>""</f>
        <v/>
      </c>
      <c r="J2246" t="str">
        <f t="shared" si="38"/>
        <v>MEDICARE TAXES</v>
      </c>
    </row>
    <row r="2247" spans="1:10" x14ac:dyDescent="0.3">
      <c r="A2247" t="str">
        <f>""</f>
        <v/>
      </c>
      <c r="G2247" t="str">
        <f>""</f>
        <v/>
      </c>
      <c r="H2247" t="str">
        <f>""</f>
        <v/>
      </c>
      <c r="J2247" t="str">
        <f t="shared" si="38"/>
        <v>MEDICARE TAXES</v>
      </c>
    </row>
    <row r="2248" spans="1:10" x14ac:dyDescent="0.3">
      <c r="A2248" t="str">
        <f>""</f>
        <v/>
      </c>
      <c r="G2248" t="str">
        <f>""</f>
        <v/>
      </c>
      <c r="H2248" t="str">
        <f>""</f>
        <v/>
      </c>
      <c r="J2248" t="str">
        <f t="shared" si="38"/>
        <v>MEDICARE TAXES</v>
      </c>
    </row>
    <row r="2249" spans="1:10" x14ac:dyDescent="0.3">
      <c r="A2249" t="str">
        <f>""</f>
        <v/>
      </c>
      <c r="G2249" t="str">
        <f>""</f>
        <v/>
      </c>
      <c r="H2249" t="str">
        <f>""</f>
        <v/>
      </c>
      <c r="J2249" t="str">
        <f t="shared" si="38"/>
        <v>MEDICARE TAXES</v>
      </c>
    </row>
    <row r="2250" spans="1:10" x14ac:dyDescent="0.3">
      <c r="A2250" t="str">
        <f>""</f>
        <v/>
      </c>
      <c r="G2250" t="str">
        <f>""</f>
        <v/>
      </c>
      <c r="H2250" t="str">
        <f>""</f>
        <v/>
      </c>
      <c r="J2250" t="str">
        <f t="shared" si="38"/>
        <v>MEDICARE TAXES</v>
      </c>
    </row>
    <row r="2251" spans="1:10" x14ac:dyDescent="0.3">
      <c r="A2251" t="str">
        <f>""</f>
        <v/>
      </c>
      <c r="G2251" t="str">
        <f>""</f>
        <v/>
      </c>
      <c r="H2251" t="str">
        <f>""</f>
        <v/>
      </c>
      <c r="J2251" t="str">
        <f t="shared" si="38"/>
        <v>MEDICARE TAXES</v>
      </c>
    </row>
    <row r="2252" spans="1:10" x14ac:dyDescent="0.3">
      <c r="A2252" t="str">
        <f>""</f>
        <v/>
      </c>
      <c r="G2252" t="str">
        <f>""</f>
        <v/>
      </c>
      <c r="H2252" t="str">
        <f>""</f>
        <v/>
      </c>
      <c r="J2252" t="str">
        <f t="shared" si="38"/>
        <v>MEDICARE TAXES</v>
      </c>
    </row>
    <row r="2253" spans="1:10" x14ac:dyDescent="0.3">
      <c r="A2253" t="str">
        <f>""</f>
        <v/>
      </c>
      <c r="G2253" t="str">
        <f>""</f>
        <v/>
      </c>
      <c r="H2253" t="str">
        <f>""</f>
        <v/>
      </c>
      <c r="J2253" t="str">
        <f t="shared" si="38"/>
        <v>MEDICARE TAXES</v>
      </c>
    </row>
    <row r="2254" spans="1:10" x14ac:dyDescent="0.3">
      <c r="A2254" t="str">
        <f>""</f>
        <v/>
      </c>
      <c r="G2254" t="str">
        <f>""</f>
        <v/>
      </c>
      <c r="H2254" t="str">
        <f>""</f>
        <v/>
      </c>
      <c r="J2254" t="str">
        <f t="shared" si="38"/>
        <v>MEDICARE TAXES</v>
      </c>
    </row>
    <row r="2255" spans="1:10" x14ac:dyDescent="0.3">
      <c r="A2255" t="str">
        <f>""</f>
        <v/>
      </c>
      <c r="G2255" t="str">
        <f>""</f>
        <v/>
      </c>
      <c r="H2255" t="str">
        <f>""</f>
        <v/>
      </c>
      <c r="J2255" t="str">
        <f t="shared" ref="J2255:J2278" si="39">"MEDICARE TAXES"</f>
        <v>MEDICARE TAXES</v>
      </c>
    </row>
    <row r="2256" spans="1:10" x14ac:dyDescent="0.3">
      <c r="A2256" t="str">
        <f>""</f>
        <v/>
      </c>
      <c r="G2256" t="str">
        <f>""</f>
        <v/>
      </c>
      <c r="H2256" t="str">
        <f>""</f>
        <v/>
      </c>
      <c r="J2256" t="str">
        <f t="shared" si="39"/>
        <v>MEDICARE TAXES</v>
      </c>
    </row>
    <row r="2257" spans="1:10" x14ac:dyDescent="0.3">
      <c r="A2257" t="str">
        <f>""</f>
        <v/>
      </c>
      <c r="G2257" t="str">
        <f>""</f>
        <v/>
      </c>
      <c r="H2257" t="str">
        <f>""</f>
        <v/>
      </c>
      <c r="J2257" t="str">
        <f t="shared" si="39"/>
        <v>MEDICARE TAXES</v>
      </c>
    </row>
    <row r="2258" spans="1:10" x14ac:dyDescent="0.3">
      <c r="A2258" t="str">
        <f>""</f>
        <v/>
      </c>
      <c r="G2258" t="str">
        <f>""</f>
        <v/>
      </c>
      <c r="H2258" t="str">
        <f>""</f>
        <v/>
      </c>
      <c r="J2258" t="str">
        <f t="shared" si="39"/>
        <v>MEDICARE TAXES</v>
      </c>
    </row>
    <row r="2259" spans="1:10" x14ac:dyDescent="0.3">
      <c r="A2259" t="str">
        <f>""</f>
        <v/>
      </c>
      <c r="G2259" t="str">
        <f>""</f>
        <v/>
      </c>
      <c r="H2259" t="str">
        <f>""</f>
        <v/>
      </c>
      <c r="J2259" t="str">
        <f t="shared" si="39"/>
        <v>MEDICARE TAXES</v>
      </c>
    </row>
    <row r="2260" spans="1:10" x14ac:dyDescent="0.3">
      <c r="A2260" t="str">
        <f>""</f>
        <v/>
      </c>
      <c r="G2260" t="str">
        <f>""</f>
        <v/>
      </c>
      <c r="H2260" t="str">
        <f>""</f>
        <v/>
      </c>
      <c r="J2260" t="str">
        <f t="shared" si="39"/>
        <v>MEDICARE TAXES</v>
      </c>
    </row>
    <row r="2261" spans="1:10" x14ac:dyDescent="0.3">
      <c r="A2261" t="str">
        <f>""</f>
        <v/>
      </c>
      <c r="G2261" t="str">
        <f>""</f>
        <v/>
      </c>
      <c r="H2261" t="str">
        <f>""</f>
        <v/>
      </c>
      <c r="J2261" t="str">
        <f t="shared" si="39"/>
        <v>MEDICARE TAXES</v>
      </c>
    </row>
    <row r="2262" spans="1:10" x14ac:dyDescent="0.3">
      <c r="A2262" t="str">
        <f>""</f>
        <v/>
      </c>
      <c r="G2262" t="str">
        <f>""</f>
        <v/>
      </c>
      <c r="H2262" t="str">
        <f>""</f>
        <v/>
      </c>
      <c r="J2262" t="str">
        <f t="shared" si="39"/>
        <v>MEDICARE TAXES</v>
      </c>
    </row>
    <row r="2263" spans="1:10" x14ac:dyDescent="0.3">
      <c r="A2263" t="str">
        <f>""</f>
        <v/>
      </c>
      <c r="G2263" t="str">
        <f>""</f>
        <v/>
      </c>
      <c r="H2263" t="str">
        <f>""</f>
        <v/>
      </c>
      <c r="J2263" t="str">
        <f t="shared" si="39"/>
        <v>MEDICARE TAXES</v>
      </c>
    </row>
    <row r="2264" spans="1:10" x14ac:dyDescent="0.3">
      <c r="A2264" t="str">
        <f>""</f>
        <v/>
      </c>
      <c r="G2264" t="str">
        <f>""</f>
        <v/>
      </c>
      <c r="H2264" t="str">
        <f>""</f>
        <v/>
      </c>
      <c r="J2264" t="str">
        <f t="shared" si="39"/>
        <v>MEDICARE TAXES</v>
      </c>
    </row>
    <row r="2265" spans="1:10" x14ac:dyDescent="0.3">
      <c r="A2265" t="str">
        <f>""</f>
        <v/>
      </c>
      <c r="G2265" t="str">
        <f>""</f>
        <v/>
      </c>
      <c r="H2265" t="str">
        <f>""</f>
        <v/>
      </c>
      <c r="J2265" t="str">
        <f t="shared" si="39"/>
        <v>MEDICARE TAXES</v>
      </c>
    </row>
    <row r="2266" spans="1:10" x14ac:dyDescent="0.3">
      <c r="A2266" t="str">
        <f>""</f>
        <v/>
      </c>
      <c r="G2266" t="str">
        <f>""</f>
        <v/>
      </c>
      <c r="H2266" t="str">
        <f>""</f>
        <v/>
      </c>
      <c r="J2266" t="str">
        <f t="shared" si="39"/>
        <v>MEDICARE TAXES</v>
      </c>
    </row>
    <row r="2267" spans="1:10" x14ac:dyDescent="0.3">
      <c r="A2267" t="str">
        <f>""</f>
        <v/>
      </c>
      <c r="G2267" t="str">
        <f>""</f>
        <v/>
      </c>
      <c r="H2267" t="str">
        <f>""</f>
        <v/>
      </c>
      <c r="J2267" t="str">
        <f t="shared" si="39"/>
        <v>MEDICARE TAXES</v>
      </c>
    </row>
    <row r="2268" spans="1:10" x14ac:dyDescent="0.3">
      <c r="A2268" t="str">
        <f>""</f>
        <v/>
      </c>
      <c r="G2268" t="str">
        <f>""</f>
        <v/>
      </c>
      <c r="H2268" t="str">
        <f>""</f>
        <v/>
      </c>
      <c r="J2268" t="str">
        <f t="shared" si="39"/>
        <v>MEDICARE TAXES</v>
      </c>
    </row>
    <row r="2269" spans="1:10" x14ac:dyDescent="0.3">
      <c r="A2269" t="str">
        <f>""</f>
        <v/>
      </c>
      <c r="G2269" t="str">
        <f>""</f>
        <v/>
      </c>
      <c r="H2269" t="str">
        <f>""</f>
        <v/>
      </c>
      <c r="J2269" t="str">
        <f t="shared" si="39"/>
        <v>MEDICARE TAXES</v>
      </c>
    </row>
    <row r="2270" spans="1:10" x14ac:dyDescent="0.3">
      <c r="A2270" t="str">
        <f>""</f>
        <v/>
      </c>
      <c r="G2270" t="str">
        <f>""</f>
        <v/>
      </c>
      <c r="H2270" t="str">
        <f>""</f>
        <v/>
      </c>
      <c r="J2270" t="str">
        <f t="shared" si="39"/>
        <v>MEDICARE TAXES</v>
      </c>
    </row>
    <row r="2271" spans="1:10" x14ac:dyDescent="0.3">
      <c r="A2271" t="str">
        <f>""</f>
        <v/>
      </c>
      <c r="G2271" t="str">
        <f>""</f>
        <v/>
      </c>
      <c r="H2271" t="str">
        <f>""</f>
        <v/>
      </c>
      <c r="J2271" t="str">
        <f t="shared" si="39"/>
        <v>MEDICARE TAXES</v>
      </c>
    </row>
    <row r="2272" spans="1:10" x14ac:dyDescent="0.3">
      <c r="A2272" t="str">
        <f>""</f>
        <v/>
      </c>
      <c r="G2272" t="str">
        <f>""</f>
        <v/>
      </c>
      <c r="H2272" t="str">
        <f>""</f>
        <v/>
      </c>
      <c r="J2272" t="str">
        <f t="shared" si="39"/>
        <v>MEDICARE TAXES</v>
      </c>
    </row>
    <row r="2273" spans="1:10" x14ac:dyDescent="0.3">
      <c r="A2273" t="str">
        <f>""</f>
        <v/>
      </c>
      <c r="G2273" t="str">
        <f>""</f>
        <v/>
      </c>
      <c r="H2273" t="str">
        <f>""</f>
        <v/>
      </c>
      <c r="J2273" t="str">
        <f t="shared" si="39"/>
        <v>MEDICARE TAXES</v>
      </c>
    </row>
    <row r="2274" spans="1:10" x14ac:dyDescent="0.3">
      <c r="A2274" t="str">
        <f>""</f>
        <v/>
      </c>
      <c r="G2274" t="str">
        <f>""</f>
        <v/>
      </c>
      <c r="H2274" t="str">
        <f>""</f>
        <v/>
      </c>
      <c r="J2274" t="str">
        <f t="shared" si="39"/>
        <v>MEDICARE TAXES</v>
      </c>
    </row>
    <row r="2275" spans="1:10" x14ac:dyDescent="0.3">
      <c r="A2275" t="str">
        <f>""</f>
        <v/>
      </c>
      <c r="G2275" t="str">
        <f>"T4 201707263864"</f>
        <v>T4 201707263864</v>
      </c>
      <c r="H2275" t="str">
        <f>"MEDICARE TAXES"</f>
        <v>MEDICARE TAXES</v>
      </c>
      <c r="I2275" s="2">
        <v>906.14</v>
      </c>
      <c r="J2275" t="str">
        <f t="shared" si="39"/>
        <v>MEDICARE TAXES</v>
      </c>
    </row>
    <row r="2276" spans="1:10" x14ac:dyDescent="0.3">
      <c r="A2276" t="str">
        <f>""</f>
        <v/>
      </c>
      <c r="G2276" t="str">
        <f>""</f>
        <v/>
      </c>
      <c r="H2276" t="str">
        <f>""</f>
        <v/>
      </c>
      <c r="J2276" t="str">
        <f t="shared" si="39"/>
        <v>MEDICARE TAXES</v>
      </c>
    </row>
    <row r="2277" spans="1:10" x14ac:dyDescent="0.3">
      <c r="A2277" t="str">
        <f>""</f>
        <v/>
      </c>
      <c r="G2277" t="str">
        <f>"T4 201707263865"</f>
        <v>T4 201707263865</v>
      </c>
      <c r="H2277" t="str">
        <f>"MEDICARE TAXES"</f>
        <v>MEDICARE TAXES</v>
      </c>
      <c r="I2277" s="2">
        <v>1288.3</v>
      </c>
      <c r="J2277" t="str">
        <f t="shared" si="39"/>
        <v>MEDICARE TAXES</v>
      </c>
    </row>
    <row r="2278" spans="1:10" x14ac:dyDescent="0.3">
      <c r="A2278" t="str">
        <f>""</f>
        <v/>
      </c>
      <c r="G2278" t="str">
        <f>""</f>
        <v/>
      </c>
      <c r="H2278" t="str">
        <f>""</f>
        <v/>
      </c>
      <c r="J2278" t="str">
        <f t="shared" si="39"/>
        <v>MEDICARE TAXES</v>
      </c>
    </row>
    <row r="2279" spans="1:10" x14ac:dyDescent="0.3">
      <c r="A2279" t="str">
        <f>"004638"</f>
        <v>004638</v>
      </c>
      <c r="B2279" t="s">
        <v>485</v>
      </c>
      <c r="C2279">
        <v>45719</v>
      </c>
      <c r="D2279" s="2">
        <v>72.41</v>
      </c>
      <c r="E2279" s="1">
        <v>42930</v>
      </c>
      <c r="F2279" t="s">
        <v>11</v>
      </c>
      <c r="G2279" t="str">
        <f>"C64201707123599"</f>
        <v>C64201707123599</v>
      </c>
      <c r="H2279" t="str">
        <f>"CASE #912745322"</f>
        <v>CASE #912745322</v>
      </c>
      <c r="I2279" s="2">
        <v>72.41</v>
      </c>
      <c r="J2279" t="str">
        <f>"CASE #912745322"</f>
        <v>CASE #912745322</v>
      </c>
    </row>
    <row r="2280" spans="1:10" x14ac:dyDescent="0.3">
      <c r="A2280" t="str">
        <f>"004638"</f>
        <v>004638</v>
      </c>
      <c r="B2280" t="s">
        <v>485</v>
      </c>
      <c r="C2280">
        <v>45745</v>
      </c>
      <c r="D2280" s="2">
        <v>72.41</v>
      </c>
      <c r="E2280" s="1">
        <v>42944</v>
      </c>
      <c r="F2280" t="s">
        <v>11</v>
      </c>
      <c r="G2280" t="str">
        <f>"C64201707263863"</f>
        <v>C64201707263863</v>
      </c>
      <c r="H2280" t="str">
        <f>"CASE #912745322"</f>
        <v>CASE #912745322</v>
      </c>
      <c r="I2280" s="2">
        <v>72.41</v>
      </c>
      <c r="J2280" t="str">
        <f>"CASE #912745322"</f>
        <v>CASE #912745322</v>
      </c>
    </row>
    <row r="2281" spans="1:10" x14ac:dyDescent="0.3">
      <c r="A2281" t="str">
        <f>"001507"</f>
        <v>001507</v>
      </c>
      <c r="B2281" t="s">
        <v>486</v>
      </c>
      <c r="C2281">
        <v>0</v>
      </c>
      <c r="D2281" s="2">
        <v>26924.98</v>
      </c>
      <c r="E2281" s="1">
        <v>42947</v>
      </c>
      <c r="F2281" t="s">
        <v>35</v>
      </c>
      <c r="G2281" t="str">
        <f>"201707313947"</f>
        <v>201707313947</v>
      </c>
      <c r="H2281" t="str">
        <f>"MONUMENTAL LIFE INS CO"</f>
        <v>MONUMENTAL LIFE INS CO</v>
      </c>
      <c r="I2281" s="2">
        <v>26924.98</v>
      </c>
      <c r="J2281" t="str">
        <f>"MONUMENTAL LIFE INS CO"</f>
        <v>MONUMENTAL LIFE INS CO</v>
      </c>
    </row>
    <row r="2282" spans="1:10" x14ac:dyDescent="0.3">
      <c r="A2282" t="str">
        <f>"002456"</f>
        <v>002456</v>
      </c>
      <c r="B2282" t="s">
        <v>487</v>
      </c>
      <c r="C2282">
        <v>0</v>
      </c>
      <c r="D2282" s="2">
        <v>796.52</v>
      </c>
      <c r="E2282" s="1">
        <v>42947</v>
      </c>
      <c r="F2282" t="s">
        <v>35</v>
      </c>
      <c r="G2282" t="str">
        <f>"LIX201707123599"</f>
        <v>LIX201707123599</v>
      </c>
      <c r="H2282" t="str">
        <f>"TEXAS LIFE/OLIVO GROUP"</f>
        <v>TEXAS LIFE/OLIVO GROUP</v>
      </c>
      <c r="I2282" s="2">
        <v>365.51</v>
      </c>
      <c r="J2282" t="str">
        <f>"TEXAS LIFE/OLIVO GROUP"</f>
        <v>TEXAS LIFE/OLIVO GROUP</v>
      </c>
    </row>
    <row r="2283" spans="1:10" x14ac:dyDescent="0.3">
      <c r="A2283" t="str">
        <f>""</f>
        <v/>
      </c>
      <c r="G2283" t="str">
        <f>"LIX201707123606"</f>
        <v>LIX201707123606</v>
      </c>
      <c r="H2283" t="str">
        <f>"TEXAS LIFE/OLIVO GROUP"</f>
        <v>TEXAS LIFE/OLIVO GROUP</v>
      </c>
      <c r="I2283" s="2">
        <v>65.5</v>
      </c>
      <c r="J2283" t="str">
        <f>"TEXAS LIFE/OLIVO GROUP"</f>
        <v>TEXAS LIFE/OLIVO GROUP</v>
      </c>
    </row>
    <row r="2284" spans="1:10" x14ac:dyDescent="0.3">
      <c r="A2284" t="str">
        <f>""</f>
        <v/>
      </c>
      <c r="G2284" t="str">
        <f>"LIX201707263863"</f>
        <v>LIX201707263863</v>
      </c>
      <c r="H2284" t="str">
        <f>"TEXAS LIFE/OLIVO GROUP"</f>
        <v>TEXAS LIFE/OLIVO GROUP</v>
      </c>
      <c r="I2284" s="2">
        <v>365.51</v>
      </c>
      <c r="J2284" t="str">
        <f>"TEXAS LIFE/OLIVO GROUP"</f>
        <v>TEXAS LIFE/OLIVO GROUP</v>
      </c>
    </row>
    <row r="2285" spans="1:10" x14ac:dyDescent="0.3">
      <c r="A2285" t="str">
        <f>"TACHEB"</f>
        <v>TACHEB</v>
      </c>
      <c r="B2285" t="s">
        <v>488</v>
      </c>
      <c r="C2285">
        <v>0</v>
      </c>
      <c r="D2285" s="2">
        <v>621.96</v>
      </c>
      <c r="E2285" s="1">
        <v>42947</v>
      </c>
      <c r="F2285" t="s">
        <v>35</v>
      </c>
      <c r="G2285" t="str">
        <f>"201707313949"</f>
        <v>201707313949</v>
      </c>
      <c r="H2285" t="str">
        <f>"COBRA"</f>
        <v>COBRA</v>
      </c>
      <c r="I2285" s="2">
        <v>621.96</v>
      </c>
      <c r="J2285" t="str">
        <f>"COBRA"</f>
        <v>COBRA</v>
      </c>
    </row>
    <row r="2286" spans="1:10" x14ac:dyDescent="0.3">
      <c r="A2286" t="str">
        <f>"TACHEB"</f>
        <v>TACHEB</v>
      </c>
      <c r="B2286" t="s">
        <v>488</v>
      </c>
      <c r="C2286">
        <v>45750</v>
      </c>
      <c r="D2286" s="2">
        <v>321262.08000000002</v>
      </c>
      <c r="E2286" s="1">
        <v>42947</v>
      </c>
      <c r="F2286" t="s">
        <v>11</v>
      </c>
      <c r="G2286" t="str">
        <f>"201707313948"</f>
        <v>201707313948</v>
      </c>
      <c r="H2286" t="str">
        <f>"Retiree July 2017"</f>
        <v>Retiree July 2017</v>
      </c>
      <c r="I2286" s="2">
        <v>15640.26</v>
      </c>
      <c r="J2286" t="str">
        <f>"TAC HEALTH BENEFITS POOL"</f>
        <v>TAC HEALTH BENEFITS POOL</v>
      </c>
    </row>
    <row r="2287" spans="1:10" x14ac:dyDescent="0.3">
      <c r="A2287" t="str">
        <f>""</f>
        <v/>
      </c>
      <c r="G2287" t="str">
        <f>"2EC201707123599"</f>
        <v>2EC201707123599</v>
      </c>
      <c r="H2287" t="str">
        <f>"BCBS PAYABLE"</f>
        <v>BCBS PAYABLE</v>
      </c>
      <c r="I2287" s="2">
        <v>42665.94</v>
      </c>
      <c r="J2287" t="str">
        <f t="shared" ref="J2287:J2318" si="40">"BCBS PAYABLE"</f>
        <v>BCBS PAYABLE</v>
      </c>
    </row>
    <row r="2288" spans="1:10" x14ac:dyDescent="0.3">
      <c r="A2288" t="str">
        <f>""</f>
        <v/>
      </c>
      <c r="G2288" t="str">
        <f>""</f>
        <v/>
      </c>
      <c r="H2288" t="str">
        <f>""</f>
        <v/>
      </c>
      <c r="J2288" t="str">
        <f t="shared" si="40"/>
        <v>BCBS PAYABLE</v>
      </c>
    </row>
    <row r="2289" spans="1:10" x14ac:dyDescent="0.3">
      <c r="A2289" t="str">
        <f>""</f>
        <v/>
      </c>
      <c r="G2289" t="str">
        <f>""</f>
        <v/>
      </c>
      <c r="H2289" t="str">
        <f>""</f>
        <v/>
      </c>
      <c r="J2289" t="str">
        <f t="shared" si="40"/>
        <v>BCBS PAYABLE</v>
      </c>
    </row>
    <row r="2290" spans="1:10" x14ac:dyDescent="0.3">
      <c r="A2290" t="str">
        <f>""</f>
        <v/>
      </c>
      <c r="G2290" t="str">
        <f>""</f>
        <v/>
      </c>
      <c r="H2290" t="str">
        <f>""</f>
        <v/>
      </c>
      <c r="J2290" t="str">
        <f t="shared" si="40"/>
        <v>BCBS PAYABLE</v>
      </c>
    </row>
    <row r="2291" spans="1:10" x14ac:dyDescent="0.3">
      <c r="A2291" t="str">
        <f>""</f>
        <v/>
      </c>
      <c r="G2291" t="str">
        <f>""</f>
        <v/>
      </c>
      <c r="H2291" t="str">
        <f>""</f>
        <v/>
      </c>
      <c r="J2291" t="str">
        <f t="shared" si="40"/>
        <v>BCBS PAYABLE</v>
      </c>
    </row>
    <row r="2292" spans="1:10" x14ac:dyDescent="0.3">
      <c r="A2292" t="str">
        <f>""</f>
        <v/>
      </c>
      <c r="G2292" t="str">
        <f>""</f>
        <v/>
      </c>
      <c r="H2292" t="str">
        <f>""</f>
        <v/>
      </c>
      <c r="J2292" t="str">
        <f t="shared" si="40"/>
        <v>BCBS PAYABLE</v>
      </c>
    </row>
    <row r="2293" spans="1:10" x14ac:dyDescent="0.3">
      <c r="A2293" t="str">
        <f>""</f>
        <v/>
      </c>
      <c r="G2293" t="str">
        <f>""</f>
        <v/>
      </c>
      <c r="H2293" t="str">
        <f>""</f>
        <v/>
      </c>
      <c r="J2293" t="str">
        <f t="shared" si="40"/>
        <v>BCBS PAYABLE</v>
      </c>
    </row>
    <row r="2294" spans="1:10" x14ac:dyDescent="0.3">
      <c r="A2294" t="str">
        <f>""</f>
        <v/>
      </c>
      <c r="G2294" t="str">
        <f>""</f>
        <v/>
      </c>
      <c r="H2294" t="str">
        <f>""</f>
        <v/>
      </c>
      <c r="J2294" t="str">
        <f t="shared" si="40"/>
        <v>BCBS PAYABLE</v>
      </c>
    </row>
    <row r="2295" spans="1:10" x14ac:dyDescent="0.3">
      <c r="A2295" t="str">
        <f>""</f>
        <v/>
      </c>
      <c r="G2295" t="str">
        <f>""</f>
        <v/>
      </c>
      <c r="H2295" t="str">
        <f>""</f>
        <v/>
      </c>
      <c r="J2295" t="str">
        <f t="shared" si="40"/>
        <v>BCBS PAYABLE</v>
      </c>
    </row>
    <row r="2296" spans="1:10" x14ac:dyDescent="0.3">
      <c r="A2296" t="str">
        <f>""</f>
        <v/>
      </c>
      <c r="G2296" t="str">
        <f>""</f>
        <v/>
      </c>
      <c r="H2296" t="str">
        <f>""</f>
        <v/>
      </c>
      <c r="J2296" t="str">
        <f t="shared" si="40"/>
        <v>BCBS PAYABLE</v>
      </c>
    </row>
    <row r="2297" spans="1:10" x14ac:dyDescent="0.3">
      <c r="A2297" t="str">
        <f>""</f>
        <v/>
      </c>
      <c r="G2297" t="str">
        <f>""</f>
        <v/>
      </c>
      <c r="H2297" t="str">
        <f>""</f>
        <v/>
      </c>
      <c r="J2297" t="str">
        <f t="shared" si="40"/>
        <v>BCBS PAYABLE</v>
      </c>
    </row>
    <row r="2298" spans="1:10" x14ac:dyDescent="0.3">
      <c r="A2298" t="str">
        <f>""</f>
        <v/>
      </c>
      <c r="G2298" t="str">
        <f>""</f>
        <v/>
      </c>
      <c r="H2298" t="str">
        <f>""</f>
        <v/>
      </c>
      <c r="J2298" t="str">
        <f t="shared" si="40"/>
        <v>BCBS PAYABLE</v>
      </c>
    </row>
    <row r="2299" spans="1:10" x14ac:dyDescent="0.3">
      <c r="A2299" t="str">
        <f>""</f>
        <v/>
      </c>
      <c r="G2299" t="str">
        <f>""</f>
        <v/>
      </c>
      <c r="H2299" t="str">
        <f>""</f>
        <v/>
      </c>
      <c r="J2299" t="str">
        <f t="shared" si="40"/>
        <v>BCBS PAYABLE</v>
      </c>
    </row>
    <row r="2300" spans="1:10" x14ac:dyDescent="0.3">
      <c r="A2300" t="str">
        <f>""</f>
        <v/>
      </c>
      <c r="G2300" t="str">
        <f>""</f>
        <v/>
      </c>
      <c r="H2300" t="str">
        <f>""</f>
        <v/>
      </c>
      <c r="J2300" t="str">
        <f t="shared" si="40"/>
        <v>BCBS PAYABLE</v>
      </c>
    </row>
    <row r="2301" spans="1:10" x14ac:dyDescent="0.3">
      <c r="A2301" t="str">
        <f>""</f>
        <v/>
      </c>
      <c r="G2301" t="str">
        <f>""</f>
        <v/>
      </c>
      <c r="H2301" t="str">
        <f>""</f>
        <v/>
      </c>
      <c r="J2301" t="str">
        <f t="shared" si="40"/>
        <v>BCBS PAYABLE</v>
      </c>
    </row>
    <row r="2302" spans="1:10" x14ac:dyDescent="0.3">
      <c r="A2302" t="str">
        <f>""</f>
        <v/>
      </c>
      <c r="G2302" t="str">
        <f>""</f>
        <v/>
      </c>
      <c r="H2302" t="str">
        <f>""</f>
        <v/>
      </c>
      <c r="J2302" t="str">
        <f t="shared" si="40"/>
        <v>BCBS PAYABLE</v>
      </c>
    </row>
    <row r="2303" spans="1:10" x14ac:dyDescent="0.3">
      <c r="A2303" t="str">
        <f>""</f>
        <v/>
      </c>
      <c r="G2303" t="str">
        <f>""</f>
        <v/>
      </c>
      <c r="H2303" t="str">
        <f>""</f>
        <v/>
      </c>
      <c r="J2303" t="str">
        <f t="shared" si="40"/>
        <v>BCBS PAYABLE</v>
      </c>
    </row>
    <row r="2304" spans="1:10" x14ac:dyDescent="0.3">
      <c r="A2304" t="str">
        <f>""</f>
        <v/>
      </c>
      <c r="G2304" t="str">
        <f>""</f>
        <v/>
      </c>
      <c r="H2304" t="str">
        <f>""</f>
        <v/>
      </c>
      <c r="J2304" t="str">
        <f t="shared" si="40"/>
        <v>BCBS PAYABLE</v>
      </c>
    </row>
    <row r="2305" spans="1:10" x14ac:dyDescent="0.3">
      <c r="A2305" t="str">
        <f>""</f>
        <v/>
      </c>
      <c r="G2305" t="str">
        <f>""</f>
        <v/>
      </c>
      <c r="H2305" t="str">
        <f>""</f>
        <v/>
      </c>
      <c r="J2305" t="str">
        <f t="shared" si="40"/>
        <v>BCBS PAYABLE</v>
      </c>
    </row>
    <row r="2306" spans="1:10" x14ac:dyDescent="0.3">
      <c r="A2306" t="str">
        <f>""</f>
        <v/>
      </c>
      <c r="G2306" t="str">
        <f>""</f>
        <v/>
      </c>
      <c r="H2306" t="str">
        <f>""</f>
        <v/>
      </c>
      <c r="J2306" t="str">
        <f t="shared" si="40"/>
        <v>BCBS PAYABLE</v>
      </c>
    </row>
    <row r="2307" spans="1:10" x14ac:dyDescent="0.3">
      <c r="A2307" t="str">
        <f>""</f>
        <v/>
      </c>
      <c r="G2307" t="str">
        <f>""</f>
        <v/>
      </c>
      <c r="H2307" t="str">
        <f>""</f>
        <v/>
      </c>
      <c r="J2307" t="str">
        <f t="shared" si="40"/>
        <v>BCBS PAYABLE</v>
      </c>
    </row>
    <row r="2308" spans="1:10" x14ac:dyDescent="0.3">
      <c r="A2308" t="str">
        <f>""</f>
        <v/>
      </c>
      <c r="G2308" t="str">
        <f>""</f>
        <v/>
      </c>
      <c r="H2308" t="str">
        <f>""</f>
        <v/>
      </c>
      <c r="J2308" t="str">
        <f t="shared" si="40"/>
        <v>BCBS PAYABLE</v>
      </c>
    </row>
    <row r="2309" spans="1:10" x14ac:dyDescent="0.3">
      <c r="A2309" t="str">
        <f>""</f>
        <v/>
      </c>
      <c r="G2309" t="str">
        <f>""</f>
        <v/>
      </c>
      <c r="H2309" t="str">
        <f>""</f>
        <v/>
      </c>
      <c r="J2309" t="str">
        <f t="shared" si="40"/>
        <v>BCBS PAYABLE</v>
      </c>
    </row>
    <row r="2310" spans="1:10" x14ac:dyDescent="0.3">
      <c r="A2310" t="str">
        <f>""</f>
        <v/>
      </c>
      <c r="G2310" t="str">
        <f>""</f>
        <v/>
      </c>
      <c r="H2310" t="str">
        <f>""</f>
        <v/>
      </c>
      <c r="J2310" t="str">
        <f t="shared" si="40"/>
        <v>BCBS PAYABLE</v>
      </c>
    </row>
    <row r="2311" spans="1:10" x14ac:dyDescent="0.3">
      <c r="A2311" t="str">
        <f>""</f>
        <v/>
      </c>
      <c r="G2311" t="str">
        <f>""</f>
        <v/>
      </c>
      <c r="H2311" t="str">
        <f>""</f>
        <v/>
      </c>
      <c r="J2311" t="str">
        <f t="shared" si="40"/>
        <v>BCBS PAYABLE</v>
      </c>
    </row>
    <row r="2312" spans="1:10" x14ac:dyDescent="0.3">
      <c r="A2312" t="str">
        <f>""</f>
        <v/>
      </c>
      <c r="G2312" t="str">
        <f>""</f>
        <v/>
      </c>
      <c r="H2312" t="str">
        <f>""</f>
        <v/>
      </c>
      <c r="J2312" t="str">
        <f t="shared" si="40"/>
        <v>BCBS PAYABLE</v>
      </c>
    </row>
    <row r="2313" spans="1:10" x14ac:dyDescent="0.3">
      <c r="A2313" t="str">
        <f>""</f>
        <v/>
      </c>
      <c r="G2313" t="str">
        <f>""</f>
        <v/>
      </c>
      <c r="H2313" t="str">
        <f>""</f>
        <v/>
      </c>
      <c r="J2313" t="str">
        <f t="shared" si="40"/>
        <v>BCBS PAYABLE</v>
      </c>
    </row>
    <row r="2314" spans="1:10" x14ac:dyDescent="0.3">
      <c r="A2314" t="str">
        <f>""</f>
        <v/>
      </c>
      <c r="G2314" t="str">
        <f>""</f>
        <v/>
      </c>
      <c r="H2314" t="str">
        <f>""</f>
        <v/>
      </c>
      <c r="J2314" t="str">
        <f t="shared" si="40"/>
        <v>BCBS PAYABLE</v>
      </c>
    </row>
    <row r="2315" spans="1:10" x14ac:dyDescent="0.3">
      <c r="A2315" t="str">
        <f>""</f>
        <v/>
      </c>
      <c r="G2315" t="str">
        <f>""</f>
        <v/>
      </c>
      <c r="H2315" t="str">
        <f>""</f>
        <v/>
      </c>
      <c r="J2315" t="str">
        <f t="shared" si="40"/>
        <v>BCBS PAYABLE</v>
      </c>
    </row>
    <row r="2316" spans="1:10" x14ac:dyDescent="0.3">
      <c r="A2316" t="str">
        <f>""</f>
        <v/>
      </c>
      <c r="G2316" t="str">
        <f>""</f>
        <v/>
      </c>
      <c r="H2316" t="str">
        <f>""</f>
        <v/>
      </c>
      <c r="J2316" t="str">
        <f t="shared" si="40"/>
        <v>BCBS PAYABLE</v>
      </c>
    </row>
    <row r="2317" spans="1:10" x14ac:dyDescent="0.3">
      <c r="A2317" t="str">
        <f>""</f>
        <v/>
      </c>
      <c r="G2317" t="str">
        <f>""</f>
        <v/>
      </c>
      <c r="H2317" t="str">
        <f>""</f>
        <v/>
      </c>
      <c r="J2317" t="str">
        <f t="shared" si="40"/>
        <v>BCBS PAYABLE</v>
      </c>
    </row>
    <row r="2318" spans="1:10" x14ac:dyDescent="0.3">
      <c r="A2318" t="str">
        <f>""</f>
        <v/>
      </c>
      <c r="G2318" t="str">
        <f>""</f>
        <v/>
      </c>
      <c r="H2318" t="str">
        <f>""</f>
        <v/>
      </c>
      <c r="J2318" t="str">
        <f t="shared" si="40"/>
        <v>BCBS PAYABLE</v>
      </c>
    </row>
    <row r="2319" spans="1:10" x14ac:dyDescent="0.3">
      <c r="A2319" t="str">
        <f>""</f>
        <v/>
      </c>
      <c r="G2319" t="str">
        <f>"2EC201707123600"</f>
        <v>2EC201707123600</v>
      </c>
      <c r="H2319" t="str">
        <f>"BCBS PAYABLE"</f>
        <v>BCBS PAYABLE</v>
      </c>
      <c r="I2319" s="2">
        <v>1709.76</v>
      </c>
      <c r="J2319" t="str">
        <f t="shared" ref="J2319:J2350" si="41">"BCBS PAYABLE"</f>
        <v>BCBS PAYABLE</v>
      </c>
    </row>
    <row r="2320" spans="1:10" x14ac:dyDescent="0.3">
      <c r="A2320" t="str">
        <f>""</f>
        <v/>
      </c>
      <c r="G2320" t="str">
        <f>""</f>
        <v/>
      </c>
      <c r="H2320" t="str">
        <f>""</f>
        <v/>
      </c>
      <c r="J2320" t="str">
        <f t="shared" si="41"/>
        <v>BCBS PAYABLE</v>
      </c>
    </row>
    <row r="2321" spans="1:10" x14ac:dyDescent="0.3">
      <c r="A2321" t="str">
        <f>""</f>
        <v/>
      </c>
      <c r="G2321" t="str">
        <f>"2EC201707263863"</f>
        <v>2EC201707263863</v>
      </c>
      <c r="H2321" t="str">
        <f>"BCBS PAYABLE"</f>
        <v>BCBS PAYABLE</v>
      </c>
      <c r="I2321" s="2">
        <v>42665.94</v>
      </c>
      <c r="J2321" t="str">
        <f t="shared" si="41"/>
        <v>BCBS PAYABLE</v>
      </c>
    </row>
    <row r="2322" spans="1:10" x14ac:dyDescent="0.3">
      <c r="A2322" t="str">
        <f>""</f>
        <v/>
      </c>
      <c r="G2322" t="str">
        <f>""</f>
        <v/>
      </c>
      <c r="H2322" t="str">
        <f>""</f>
        <v/>
      </c>
      <c r="J2322" t="str">
        <f t="shared" si="41"/>
        <v>BCBS PAYABLE</v>
      </c>
    </row>
    <row r="2323" spans="1:10" x14ac:dyDescent="0.3">
      <c r="A2323" t="str">
        <f>""</f>
        <v/>
      </c>
      <c r="G2323" t="str">
        <f>""</f>
        <v/>
      </c>
      <c r="H2323" t="str">
        <f>""</f>
        <v/>
      </c>
      <c r="J2323" t="str">
        <f t="shared" si="41"/>
        <v>BCBS PAYABLE</v>
      </c>
    </row>
    <row r="2324" spans="1:10" x14ac:dyDescent="0.3">
      <c r="A2324" t="str">
        <f>""</f>
        <v/>
      </c>
      <c r="G2324" t="str">
        <f>""</f>
        <v/>
      </c>
      <c r="H2324" t="str">
        <f>""</f>
        <v/>
      </c>
      <c r="J2324" t="str">
        <f t="shared" si="41"/>
        <v>BCBS PAYABLE</v>
      </c>
    </row>
    <row r="2325" spans="1:10" x14ac:dyDescent="0.3">
      <c r="A2325" t="str">
        <f>""</f>
        <v/>
      </c>
      <c r="G2325" t="str">
        <f>""</f>
        <v/>
      </c>
      <c r="H2325" t="str">
        <f>""</f>
        <v/>
      </c>
      <c r="J2325" t="str">
        <f t="shared" si="41"/>
        <v>BCBS PAYABLE</v>
      </c>
    </row>
    <row r="2326" spans="1:10" x14ac:dyDescent="0.3">
      <c r="A2326" t="str">
        <f>""</f>
        <v/>
      </c>
      <c r="G2326" t="str">
        <f>""</f>
        <v/>
      </c>
      <c r="H2326" t="str">
        <f>""</f>
        <v/>
      </c>
      <c r="J2326" t="str">
        <f t="shared" si="41"/>
        <v>BCBS PAYABLE</v>
      </c>
    </row>
    <row r="2327" spans="1:10" x14ac:dyDescent="0.3">
      <c r="A2327" t="str">
        <f>""</f>
        <v/>
      </c>
      <c r="G2327" t="str">
        <f>""</f>
        <v/>
      </c>
      <c r="H2327" t="str">
        <f>""</f>
        <v/>
      </c>
      <c r="J2327" t="str">
        <f t="shared" si="41"/>
        <v>BCBS PAYABLE</v>
      </c>
    </row>
    <row r="2328" spans="1:10" x14ac:dyDescent="0.3">
      <c r="A2328" t="str">
        <f>""</f>
        <v/>
      </c>
      <c r="G2328" t="str">
        <f>""</f>
        <v/>
      </c>
      <c r="H2328" t="str">
        <f>""</f>
        <v/>
      </c>
      <c r="J2328" t="str">
        <f t="shared" si="41"/>
        <v>BCBS PAYABLE</v>
      </c>
    </row>
    <row r="2329" spans="1:10" x14ac:dyDescent="0.3">
      <c r="A2329" t="str">
        <f>""</f>
        <v/>
      </c>
      <c r="G2329" t="str">
        <f>""</f>
        <v/>
      </c>
      <c r="H2329" t="str">
        <f>""</f>
        <v/>
      </c>
      <c r="J2329" t="str">
        <f t="shared" si="41"/>
        <v>BCBS PAYABLE</v>
      </c>
    </row>
    <row r="2330" spans="1:10" x14ac:dyDescent="0.3">
      <c r="A2330" t="str">
        <f>""</f>
        <v/>
      </c>
      <c r="G2330" t="str">
        <f>""</f>
        <v/>
      </c>
      <c r="H2330" t="str">
        <f>""</f>
        <v/>
      </c>
      <c r="J2330" t="str">
        <f t="shared" si="41"/>
        <v>BCBS PAYABLE</v>
      </c>
    </row>
    <row r="2331" spans="1:10" x14ac:dyDescent="0.3">
      <c r="A2331" t="str">
        <f>""</f>
        <v/>
      </c>
      <c r="G2331" t="str">
        <f>""</f>
        <v/>
      </c>
      <c r="H2331" t="str">
        <f>""</f>
        <v/>
      </c>
      <c r="J2331" t="str">
        <f t="shared" si="41"/>
        <v>BCBS PAYABLE</v>
      </c>
    </row>
    <row r="2332" spans="1:10" x14ac:dyDescent="0.3">
      <c r="A2332" t="str">
        <f>""</f>
        <v/>
      </c>
      <c r="G2332" t="str">
        <f>""</f>
        <v/>
      </c>
      <c r="H2332" t="str">
        <f>""</f>
        <v/>
      </c>
      <c r="J2332" t="str">
        <f t="shared" si="41"/>
        <v>BCBS PAYABLE</v>
      </c>
    </row>
    <row r="2333" spans="1:10" x14ac:dyDescent="0.3">
      <c r="A2333" t="str">
        <f>""</f>
        <v/>
      </c>
      <c r="G2333" t="str">
        <f>""</f>
        <v/>
      </c>
      <c r="H2333" t="str">
        <f>""</f>
        <v/>
      </c>
      <c r="J2333" t="str">
        <f t="shared" si="41"/>
        <v>BCBS PAYABLE</v>
      </c>
    </row>
    <row r="2334" spans="1:10" x14ac:dyDescent="0.3">
      <c r="A2334" t="str">
        <f>""</f>
        <v/>
      </c>
      <c r="G2334" t="str">
        <f>""</f>
        <v/>
      </c>
      <c r="H2334" t="str">
        <f>""</f>
        <v/>
      </c>
      <c r="J2334" t="str">
        <f t="shared" si="41"/>
        <v>BCBS PAYABLE</v>
      </c>
    </row>
    <row r="2335" spans="1:10" x14ac:dyDescent="0.3">
      <c r="A2335" t="str">
        <f>""</f>
        <v/>
      </c>
      <c r="G2335" t="str">
        <f>""</f>
        <v/>
      </c>
      <c r="H2335" t="str">
        <f>""</f>
        <v/>
      </c>
      <c r="J2335" t="str">
        <f t="shared" si="41"/>
        <v>BCBS PAYABLE</v>
      </c>
    </row>
    <row r="2336" spans="1:10" x14ac:dyDescent="0.3">
      <c r="A2336" t="str">
        <f>""</f>
        <v/>
      </c>
      <c r="G2336" t="str">
        <f>""</f>
        <v/>
      </c>
      <c r="H2336" t="str">
        <f>""</f>
        <v/>
      </c>
      <c r="J2336" t="str">
        <f t="shared" si="41"/>
        <v>BCBS PAYABLE</v>
      </c>
    </row>
    <row r="2337" spans="1:10" x14ac:dyDescent="0.3">
      <c r="A2337" t="str">
        <f>""</f>
        <v/>
      </c>
      <c r="G2337" t="str">
        <f>""</f>
        <v/>
      </c>
      <c r="H2337" t="str">
        <f>""</f>
        <v/>
      </c>
      <c r="J2337" t="str">
        <f t="shared" si="41"/>
        <v>BCBS PAYABLE</v>
      </c>
    </row>
    <row r="2338" spans="1:10" x14ac:dyDescent="0.3">
      <c r="A2338" t="str">
        <f>""</f>
        <v/>
      </c>
      <c r="G2338" t="str">
        <f>""</f>
        <v/>
      </c>
      <c r="H2338" t="str">
        <f>""</f>
        <v/>
      </c>
      <c r="J2338" t="str">
        <f t="shared" si="41"/>
        <v>BCBS PAYABLE</v>
      </c>
    </row>
    <row r="2339" spans="1:10" x14ac:dyDescent="0.3">
      <c r="A2339" t="str">
        <f>""</f>
        <v/>
      </c>
      <c r="G2339" t="str">
        <f>""</f>
        <v/>
      </c>
      <c r="H2339" t="str">
        <f>""</f>
        <v/>
      </c>
      <c r="J2339" t="str">
        <f t="shared" si="41"/>
        <v>BCBS PAYABLE</v>
      </c>
    </row>
    <row r="2340" spans="1:10" x14ac:dyDescent="0.3">
      <c r="A2340" t="str">
        <f>""</f>
        <v/>
      </c>
      <c r="G2340" t="str">
        <f>""</f>
        <v/>
      </c>
      <c r="H2340" t="str">
        <f>""</f>
        <v/>
      </c>
      <c r="J2340" t="str">
        <f t="shared" si="41"/>
        <v>BCBS PAYABLE</v>
      </c>
    </row>
    <row r="2341" spans="1:10" x14ac:dyDescent="0.3">
      <c r="A2341" t="str">
        <f>""</f>
        <v/>
      </c>
      <c r="G2341" t="str">
        <f>""</f>
        <v/>
      </c>
      <c r="H2341" t="str">
        <f>""</f>
        <v/>
      </c>
      <c r="J2341" t="str">
        <f t="shared" si="41"/>
        <v>BCBS PAYABLE</v>
      </c>
    </row>
    <row r="2342" spans="1:10" x14ac:dyDescent="0.3">
      <c r="A2342" t="str">
        <f>""</f>
        <v/>
      </c>
      <c r="G2342" t="str">
        <f>""</f>
        <v/>
      </c>
      <c r="H2342" t="str">
        <f>""</f>
        <v/>
      </c>
      <c r="J2342" t="str">
        <f t="shared" si="41"/>
        <v>BCBS PAYABLE</v>
      </c>
    </row>
    <row r="2343" spans="1:10" x14ac:dyDescent="0.3">
      <c r="A2343" t="str">
        <f>""</f>
        <v/>
      </c>
      <c r="G2343" t="str">
        <f>""</f>
        <v/>
      </c>
      <c r="H2343" t="str">
        <f>""</f>
        <v/>
      </c>
      <c r="J2343" t="str">
        <f t="shared" si="41"/>
        <v>BCBS PAYABLE</v>
      </c>
    </row>
    <row r="2344" spans="1:10" x14ac:dyDescent="0.3">
      <c r="A2344" t="str">
        <f>""</f>
        <v/>
      </c>
      <c r="G2344" t="str">
        <f>""</f>
        <v/>
      </c>
      <c r="H2344" t="str">
        <f>""</f>
        <v/>
      </c>
      <c r="J2344" t="str">
        <f t="shared" si="41"/>
        <v>BCBS PAYABLE</v>
      </c>
    </row>
    <row r="2345" spans="1:10" x14ac:dyDescent="0.3">
      <c r="A2345" t="str">
        <f>""</f>
        <v/>
      </c>
      <c r="G2345" t="str">
        <f>""</f>
        <v/>
      </c>
      <c r="H2345" t="str">
        <f>""</f>
        <v/>
      </c>
      <c r="J2345" t="str">
        <f t="shared" si="41"/>
        <v>BCBS PAYABLE</v>
      </c>
    </row>
    <row r="2346" spans="1:10" x14ac:dyDescent="0.3">
      <c r="A2346" t="str">
        <f>""</f>
        <v/>
      </c>
      <c r="G2346" t="str">
        <f>""</f>
        <v/>
      </c>
      <c r="H2346" t="str">
        <f>""</f>
        <v/>
      </c>
      <c r="J2346" t="str">
        <f t="shared" si="41"/>
        <v>BCBS PAYABLE</v>
      </c>
    </row>
    <row r="2347" spans="1:10" x14ac:dyDescent="0.3">
      <c r="A2347" t="str">
        <f>""</f>
        <v/>
      </c>
      <c r="G2347" t="str">
        <f>""</f>
        <v/>
      </c>
      <c r="H2347" t="str">
        <f>""</f>
        <v/>
      </c>
      <c r="J2347" t="str">
        <f t="shared" si="41"/>
        <v>BCBS PAYABLE</v>
      </c>
    </row>
    <row r="2348" spans="1:10" x14ac:dyDescent="0.3">
      <c r="A2348" t="str">
        <f>""</f>
        <v/>
      </c>
      <c r="G2348" t="str">
        <f>""</f>
        <v/>
      </c>
      <c r="H2348" t="str">
        <f>""</f>
        <v/>
      </c>
      <c r="J2348" t="str">
        <f t="shared" si="41"/>
        <v>BCBS PAYABLE</v>
      </c>
    </row>
    <row r="2349" spans="1:10" x14ac:dyDescent="0.3">
      <c r="A2349" t="str">
        <f>""</f>
        <v/>
      </c>
      <c r="G2349" t="str">
        <f>""</f>
        <v/>
      </c>
      <c r="H2349" t="str">
        <f>""</f>
        <v/>
      </c>
      <c r="J2349" t="str">
        <f t="shared" si="41"/>
        <v>BCBS PAYABLE</v>
      </c>
    </row>
    <row r="2350" spans="1:10" x14ac:dyDescent="0.3">
      <c r="A2350" t="str">
        <f>""</f>
        <v/>
      </c>
      <c r="G2350" t="str">
        <f>""</f>
        <v/>
      </c>
      <c r="H2350" t="str">
        <f>""</f>
        <v/>
      </c>
      <c r="J2350" t="str">
        <f t="shared" si="41"/>
        <v>BCBS PAYABLE</v>
      </c>
    </row>
    <row r="2351" spans="1:10" x14ac:dyDescent="0.3">
      <c r="A2351" t="str">
        <f>""</f>
        <v/>
      </c>
      <c r="G2351" t="str">
        <f>""</f>
        <v/>
      </c>
      <c r="H2351" t="str">
        <f>""</f>
        <v/>
      </c>
      <c r="J2351" t="str">
        <f t="shared" ref="J2351:J2382" si="42">"BCBS PAYABLE"</f>
        <v>BCBS PAYABLE</v>
      </c>
    </row>
    <row r="2352" spans="1:10" x14ac:dyDescent="0.3">
      <c r="A2352" t="str">
        <f>""</f>
        <v/>
      </c>
      <c r="G2352" t="str">
        <f>""</f>
        <v/>
      </c>
      <c r="H2352" t="str">
        <f>""</f>
        <v/>
      </c>
      <c r="J2352" t="str">
        <f t="shared" si="42"/>
        <v>BCBS PAYABLE</v>
      </c>
    </row>
    <row r="2353" spans="1:10" x14ac:dyDescent="0.3">
      <c r="A2353" t="str">
        <f>""</f>
        <v/>
      </c>
      <c r="G2353" t="str">
        <f>"2EC201707263864"</f>
        <v>2EC201707263864</v>
      </c>
      <c r="H2353" t="str">
        <f>"BCBS PAYABLE"</f>
        <v>BCBS PAYABLE</v>
      </c>
      <c r="I2353" s="2">
        <v>1709.76</v>
      </c>
      <c r="J2353" t="str">
        <f t="shared" si="42"/>
        <v>BCBS PAYABLE</v>
      </c>
    </row>
    <row r="2354" spans="1:10" x14ac:dyDescent="0.3">
      <c r="A2354" t="str">
        <f>""</f>
        <v/>
      </c>
      <c r="G2354" t="str">
        <f>""</f>
        <v/>
      </c>
      <c r="H2354" t="str">
        <f>""</f>
        <v/>
      </c>
      <c r="J2354" t="str">
        <f t="shared" si="42"/>
        <v>BCBS PAYABLE</v>
      </c>
    </row>
    <row r="2355" spans="1:10" x14ac:dyDescent="0.3">
      <c r="A2355" t="str">
        <f>""</f>
        <v/>
      </c>
      <c r="G2355" t="str">
        <f>"2EF201707123599"</f>
        <v>2EF201707123599</v>
      </c>
      <c r="H2355" t="str">
        <f>"BCBS PAYABLE"</f>
        <v>BCBS PAYABLE</v>
      </c>
      <c r="I2355" s="2">
        <v>2548.1999999999998</v>
      </c>
      <c r="J2355" t="str">
        <f t="shared" si="42"/>
        <v>BCBS PAYABLE</v>
      </c>
    </row>
    <row r="2356" spans="1:10" x14ac:dyDescent="0.3">
      <c r="A2356" t="str">
        <f>""</f>
        <v/>
      </c>
      <c r="G2356" t="str">
        <f>""</f>
        <v/>
      </c>
      <c r="H2356" t="str">
        <f>""</f>
        <v/>
      </c>
      <c r="J2356" t="str">
        <f t="shared" si="42"/>
        <v>BCBS PAYABLE</v>
      </c>
    </row>
    <row r="2357" spans="1:10" x14ac:dyDescent="0.3">
      <c r="A2357" t="str">
        <f>""</f>
        <v/>
      </c>
      <c r="G2357" t="str">
        <f>""</f>
        <v/>
      </c>
      <c r="H2357" t="str">
        <f>""</f>
        <v/>
      </c>
      <c r="J2357" t="str">
        <f t="shared" si="42"/>
        <v>BCBS PAYABLE</v>
      </c>
    </row>
    <row r="2358" spans="1:10" x14ac:dyDescent="0.3">
      <c r="A2358" t="str">
        <f>""</f>
        <v/>
      </c>
      <c r="G2358" t="str">
        <f>""</f>
        <v/>
      </c>
      <c r="H2358" t="str">
        <f>""</f>
        <v/>
      </c>
      <c r="J2358" t="str">
        <f t="shared" si="42"/>
        <v>BCBS PAYABLE</v>
      </c>
    </row>
    <row r="2359" spans="1:10" x14ac:dyDescent="0.3">
      <c r="A2359" t="str">
        <f>""</f>
        <v/>
      </c>
      <c r="G2359" t="str">
        <f>"2EF201707263863"</f>
        <v>2EF201707263863</v>
      </c>
      <c r="H2359" t="str">
        <f>"BCBS PAYABLE"</f>
        <v>BCBS PAYABLE</v>
      </c>
      <c r="I2359" s="2">
        <v>2548.1999999999998</v>
      </c>
      <c r="J2359" t="str">
        <f t="shared" si="42"/>
        <v>BCBS PAYABLE</v>
      </c>
    </row>
    <row r="2360" spans="1:10" x14ac:dyDescent="0.3">
      <c r="A2360" t="str">
        <f>""</f>
        <v/>
      </c>
      <c r="G2360" t="str">
        <f>""</f>
        <v/>
      </c>
      <c r="H2360" t="str">
        <f>""</f>
        <v/>
      </c>
      <c r="J2360" t="str">
        <f t="shared" si="42"/>
        <v>BCBS PAYABLE</v>
      </c>
    </row>
    <row r="2361" spans="1:10" x14ac:dyDescent="0.3">
      <c r="A2361" t="str">
        <f>""</f>
        <v/>
      </c>
      <c r="G2361" t="str">
        <f>""</f>
        <v/>
      </c>
      <c r="H2361" t="str">
        <f>""</f>
        <v/>
      </c>
      <c r="J2361" t="str">
        <f t="shared" si="42"/>
        <v>BCBS PAYABLE</v>
      </c>
    </row>
    <row r="2362" spans="1:10" x14ac:dyDescent="0.3">
      <c r="A2362" t="str">
        <f>""</f>
        <v/>
      </c>
      <c r="G2362" t="str">
        <f>""</f>
        <v/>
      </c>
      <c r="H2362" t="str">
        <f>""</f>
        <v/>
      </c>
      <c r="J2362" t="str">
        <f t="shared" si="42"/>
        <v>BCBS PAYABLE</v>
      </c>
    </row>
    <row r="2363" spans="1:10" x14ac:dyDescent="0.3">
      <c r="A2363" t="str">
        <f>""</f>
        <v/>
      </c>
      <c r="G2363" t="str">
        <f>"2EO201707123599"</f>
        <v>2EO201707123599</v>
      </c>
      <c r="H2363" t="str">
        <f>"BCBS PAYABLE"</f>
        <v>BCBS PAYABLE</v>
      </c>
      <c r="I2363" s="2">
        <v>86452.44</v>
      </c>
      <c r="J2363" t="str">
        <f t="shared" si="42"/>
        <v>BCBS PAYABLE</v>
      </c>
    </row>
    <row r="2364" spans="1:10" x14ac:dyDescent="0.3">
      <c r="A2364" t="str">
        <f>""</f>
        <v/>
      </c>
      <c r="G2364" t="str">
        <f>""</f>
        <v/>
      </c>
      <c r="H2364" t="str">
        <f>""</f>
        <v/>
      </c>
      <c r="J2364" t="str">
        <f t="shared" si="42"/>
        <v>BCBS PAYABLE</v>
      </c>
    </row>
    <row r="2365" spans="1:10" x14ac:dyDescent="0.3">
      <c r="A2365" t="str">
        <f>""</f>
        <v/>
      </c>
      <c r="G2365" t="str">
        <f>""</f>
        <v/>
      </c>
      <c r="H2365" t="str">
        <f>""</f>
        <v/>
      </c>
      <c r="J2365" t="str">
        <f t="shared" si="42"/>
        <v>BCBS PAYABLE</v>
      </c>
    </row>
    <row r="2366" spans="1:10" x14ac:dyDescent="0.3">
      <c r="A2366" t="str">
        <f>""</f>
        <v/>
      </c>
      <c r="G2366" t="str">
        <f>""</f>
        <v/>
      </c>
      <c r="H2366" t="str">
        <f>""</f>
        <v/>
      </c>
      <c r="J2366" t="str">
        <f t="shared" si="42"/>
        <v>BCBS PAYABLE</v>
      </c>
    </row>
    <row r="2367" spans="1:10" x14ac:dyDescent="0.3">
      <c r="A2367" t="str">
        <f>""</f>
        <v/>
      </c>
      <c r="G2367" t="str">
        <f>""</f>
        <v/>
      </c>
      <c r="H2367" t="str">
        <f>""</f>
        <v/>
      </c>
      <c r="J2367" t="str">
        <f t="shared" si="42"/>
        <v>BCBS PAYABLE</v>
      </c>
    </row>
    <row r="2368" spans="1:10" x14ac:dyDescent="0.3">
      <c r="A2368" t="str">
        <f>""</f>
        <v/>
      </c>
      <c r="G2368" t="str">
        <f>""</f>
        <v/>
      </c>
      <c r="H2368" t="str">
        <f>""</f>
        <v/>
      </c>
      <c r="J2368" t="str">
        <f t="shared" si="42"/>
        <v>BCBS PAYABLE</v>
      </c>
    </row>
    <row r="2369" spans="1:10" x14ac:dyDescent="0.3">
      <c r="A2369" t="str">
        <f>""</f>
        <v/>
      </c>
      <c r="G2369" t="str">
        <f>""</f>
        <v/>
      </c>
      <c r="H2369" t="str">
        <f>""</f>
        <v/>
      </c>
      <c r="J2369" t="str">
        <f t="shared" si="42"/>
        <v>BCBS PAYABLE</v>
      </c>
    </row>
    <row r="2370" spans="1:10" x14ac:dyDescent="0.3">
      <c r="A2370" t="str">
        <f>""</f>
        <v/>
      </c>
      <c r="G2370" t="str">
        <f>""</f>
        <v/>
      </c>
      <c r="H2370" t="str">
        <f>""</f>
        <v/>
      </c>
      <c r="J2370" t="str">
        <f t="shared" si="42"/>
        <v>BCBS PAYABLE</v>
      </c>
    </row>
    <row r="2371" spans="1:10" x14ac:dyDescent="0.3">
      <c r="A2371" t="str">
        <f>""</f>
        <v/>
      </c>
      <c r="G2371" t="str">
        <f>""</f>
        <v/>
      </c>
      <c r="H2371" t="str">
        <f>""</f>
        <v/>
      </c>
      <c r="J2371" t="str">
        <f t="shared" si="42"/>
        <v>BCBS PAYABLE</v>
      </c>
    </row>
    <row r="2372" spans="1:10" x14ac:dyDescent="0.3">
      <c r="A2372" t="str">
        <f>""</f>
        <v/>
      </c>
      <c r="G2372" t="str">
        <f>""</f>
        <v/>
      </c>
      <c r="H2372" t="str">
        <f>""</f>
        <v/>
      </c>
      <c r="J2372" t="str">
        <f t="shared" si="42"/>
        <v>BCBS PAYABLE</v>
      </c>
    </row>
    <row r="2373" spans="1:10" x14ac:dyDescent="0.3">
      <c r="A2373" t="str">
        <f>""</f>
        <v/>
      </c>
      <c r="G2373" t="str">
        <f>""</f>
        <v/>
      </c>
      <c r="H2373" t="str">
        <f>""</f>
        <v/>
      </c>
      <c r="J2373" t="str">
        <f t="shared" si="42"/>
        <v>BCBS PAYABLE</v>
      </c>
    </row>
    <row r="2374" spans="1:10" x14ac:dyDescent="0.3">
      <c r="A2374" t="str">
        <f>""</f>
        <v/>
      </c>
      <c r="G2374" t="str">
        <f>""</f>
        <v/>
      </c>
      <c r="H2374" t="str">
        <f>""</f>
        <v/>
      </c>
      <c r="J2374" t="str">
        <f t="shared" si="42"/>
        <v>BCBS PAYABLE</v>
      </c>
    </row>
    <row r="2375" spans="1:10" x14ac:dyDescent="0.3">
      <c r="A2375" t="str">
        <f>""</f>
        <v/>
      </c>
      <c r="G2375" t="str">
        <f>""</f>
        <v/>
      </c>
      <c r="H2375" t="str">
        <f>""</f>
        <v/>
      </c>
      <c r="J2375" t="str">
        <f t="shared" si="42"/>
        <v>BCBS PAYABLE</v>
      </c>
    </row>
    <row r="2376" spans="1:10" x14ac:dyDescent="0.3">
      <c r="A2376" t="str">
        <f>""</f>
        <v/>
      </c>
      <c r="G2376" t="str">
        <f>""</f>
        <v/>
      </c>
      <c r="H2376" t="str">
        <f>""</f>
        <v/>
      </c>
      <c r="J2376" t="str">
        <f t="shared" si="42"/>
        <v>BCBS PAYABLE</v>
      </c>
    </row>
    <row r="2377" spans="1:10" x14ac:dyDescent="0.3">
      <c r="A2377" t="str">
        <f>""</f>
        <v/>
      </c>
      <c r="G2377" t="str">
        <f>""</f>
        <v/>
      </c>
      <c r="H2377" t="str">
        <f>""</f>
        <v/>
      </c>
      <c r="J2377" t="str">
        <f t="shared" si="42"/>
        <v>BCBS PAYABLE</v>
      </c>
    </row>
    <row r="2378" spans="1:10" x14ac:dyDescent="0.3">
      <c r="A2378" t="str">
        <f>""</f>
        <v/>
      </c>
      <c r="G2378" t="str">
        <f>""</f>
        <v/>
      </c>
      <c r="H2378" t="str">
        <f>""</f>
        <v/>
      </c>
      <c r="J2378" t="str">
        <f t="shared" si="42"/>
        <v>BCBS PAYABLE</v>
      </c>
    </row>
    <row r="2379" spans="1:10" x14ac:dyDescent="0.3">
      <c r="A2379" t="str">
        <f>""</f>
        <v/>
      </c>
      <c r="G2379" t="str">
        <f>""</f>
        <v/>
      </c>
      <c r="H2379" t="str">
        <f>""</f>
        <v/>
      </c>
      <c r="J2379" t="str">
        <f t="shared" si="42"/>
        <v>BCBS PAYABLE</v>
      </c>
    </row>
    <row r="2380" spans="1:10" x14ac:dyDescent="0.3">
      <c r="A2380" t="str">
        <f>""</f>
        <v/>
      </c>
      <c r="G2380" t="str">
        <f>""</f>
        <v/>
      </c>
      <c r="H2380" t="str">
        <f>""</f>
        <v/>
      </c>
      <c r="J2380" t="str">
        <f t="shared" si="42"/>
        <v>BCBS PAYABLE</v>
      </c>
    </row>
    <row r="2381" spans="1:10" x14ac:dyDescent="0.3">
      <c r="A2381" t="str">
        <f>""</f>
        <v/>
      </c>
      <c r="G2381" t="str">
        <f>""</f>
        <v/>
      </c>
      <c r="H2381" t="str">
        <f>""</f>
        <v/>
      </c>
      <c r="J2381" t="str">
        <f t="shared" si="42"/>
        <v>BCBS PAYABLE</v>
      </c>
    </row>
    <row r="2382" spans="1:10" x14ac:dyDescent="0.3">
      <c r="A2382" t="str">
        <f>""</f>
        <v/>
      </c>
      <c r="G2382" t="str">
        <f>""</f>
        <v/>
      </c>
      <c r="H2382" t="str">
        <f>""</f>
        <v/>
      </c>
      <c r="J2382" t="str">
        <f t="shared" si="42"/>
        <v>BCBS PAYABLE</v>
      </c>
    </row>
    <row r="2383" spans="1:10" x14ac:dyDescent="0.3">
      <c r="A2383" t="str">
        <f>""</f>
        <v/>
      </c>
      <c r="G2383" t="str">
        <f>""</f>
        <v/>
      </c>
      <c r="H2383" t="str">
        <f>""</f>
        <v/>
      </c>
      <c r="J2383" t="str">
        <f t="shared" ref="J2383:J2414" si="43">"BCBS PAYABLE"</f>
        <v>BCBS PAYABLE</v>
      </c>
    </row>
    <row r="2384" spans="1:10" x14ac:dyDescent="0.3">
      <c r="A2384" t="str">
        <f>""</f>
        <v/>
      </c>
      <c r="G2384" t="str">
        <f>""</f>
        <v/>
      </c>
      <c r="H2384" t="str">
        <f>""</f>
        <v/>
      </c>
      <c r="J2384" t="str">
        <f t="shared" si="43"/>
        <v>BCBS PAYABLE</v>
      </c>
    </row>
    <row r="2385" spans="1:10" x14ac:dyDescent="0.3">
      <c r="A2385" t="str">
        <f>""</f>
        <v/>
      </c>
      <c r="G2385" t="str">
        <f>""</f>
        <v/>
      </c>
      <c r="H2385" t="str">
        <f>""</f>
        <v/>
      </c>
      <c r="J2385" t="str">
        <f t="shared" si="43"/>
        <v>BCBS PAYABLE</v>
      </c>
    </row>
    <row r="2386" spans="1:10" x14ac:dyDescent="0.3">
      <c r="A2386" t="str">
        <f>""</f>
        <v/>
      </c>
      <c r="G2386" t="str">
        <f>""</f>
        <v/>
      </c>
      <c r="H2386" t="str">
        <f>""</f>
        <v/>
      </c>
      <c r="J2386" t="str">
        <f t="shared" si="43"/>
        <v>BCBS PAYABLE</v>
      </c>
    </row>
    <row r="2387" spans="1:10" x14ac:dyDescent="0.3">
      <c r="A2387" t="str">
        <f>""</f>
        <v/>
      </c>
      <c r="G2387" t="str">
        <f>""</f>
        <v/>
      </c>
      <c r="H2387" t="str">
        <f>""</f>
        <v/>
      </c>
      <c r="J2387" t="str">
        <f t="shared" si="43"/>
        <v>BCBS PAYABLE</v>
      </c>
    </row>
    <row r="2388" spans="1:10" x14ac:dyDescent="0.3">
      <c r="A2388" t="str">
        <f>""</f>
        <v/>
      </c>
      <c r="G2388" t="str">
        <f>""</f>
        <v/>
      </c>
      <c r="H2388" t="str">
        <f>""</f>
        <v/>
      </c>
      <c r="J2388" t="str">
        <f t="shared" si="43"/>
        <v>BCBS PAYABLE</v>
      </c>
    </row>
    <row r="2389" spans="1:10" x14ac:dyDescent="0.3">
      <c r="A2389" t="str">
        <f>""</f>
        <v/>
      </c>
      <c r="G2389" t="str">
        <f>""</f>
        <v/>
      </c>
      <c r="H2389" t="str">
        <f>""</f>
        <v/>
      </c>
      <c r="J2389" t="str">
        <f t="shared" si="43"/>
        <v>BCBS PAYABLE</v>
      </c>
    </row>
    <row r="2390" spans="1:10" x14ac:dyDescent="0.3">
      <c r="A2390" t="str">
        <f>""</f>
        <v/>
      </c>
      <c r="G2390" t="str">
        <f>""</f>
        <v/>
      </c>
      <c r="H2390" t="str">
        <f>""</f>
        <v/>
      </c>
      <c r="J2390" t="str">
        <f t="shared" si="43"/>
        <v>BCBS PAYABLE</v>
      </c>
    </row>
    <row r="2391" spans="1:10" x14ac:dyDescent="0.3">
      <c r="A2391" t="str">
        <f>""</f>
        <v/>
      </c>
      <c r="G2391" t="str">
        <f>""</f>
        <v/>
      </c>
      <c r="H2391" t="str">
        <f>""</f>
        <v/>
      </c>
      <c r="J2391" t="str">
        <f t="shared" si="43"/>
        <v>BCBS PAYABLE</v>
      </c>
    </row>
    <row r="2392" spans="1:10" x14ac:dyDescent="0.3">
      <c r="A2392" t="str">
        <f>""</f>
        <v/>
      </c>
      <c r="G2392" t="str">
        <f>""</f>
        <v/>
      </c>
      <c r="H2392" t="str">
        <f>""</f>
        <v/>
      </c>
      <c r="J2392" t="str">
        <f t="shared" si="43"/>
        <v>BCBS PAYABLE</v>
      </c>
    </row>
    <row r="2393" spans="1:10" x14ac:dyDescent="0.3">
      <c r="A2393" t="str">
        <f>""</f>
        <v/>
      </c>
      <c r="G2393" t="str">
        <f>""</f>
        <v/>
      </c>
      <c r="H2393" t="str">
        <f>""</f>
        <v/>
      </c>
      <c r="J2393" t="str">
        <f t="shared" si="43"/>
        <v>BCBS PAYABLE</v>
      </c>
    </row>
    <row r="2394" spans="1:10" x14ac:dyDescent="0.3">
      <c r="A2394" t="str">
        <f>""</f>
        <v/>
      </c>
      <c r="G2394" t="str">
        <f>""</f>
        <v/>
      </c>
      <c r="H2394" t="str">
        <f>""</f>
        <v/>
      </c>
      <c r="J2394" t="str">
        <f t="shared" si="43"/>
        <v>BCBS PAYABLE</v>
      </c>
    </row>
    <row r="2395" spans="1:10" x14ac:dyDescent="0.3">
      <c r="A2395" t="str">
        <f>""</f>
        <v/>
      </c>
      <c r="G2395" t="str">
        <f>""</f>
        <v/>
      </c>
      <c r="H2395" t="str">
        <f>""</f>
        <v/>
      </c>
      <c r="J2395" t="str">
        <f t="shared" si="43"/>
        <v>BCBS PAYABLE</v>
      </c>
    </row>
    <row r="2396" spans="1:10" x14ac:dyDescent="0.3">
      <c r="A2396" t="str">
        <f>""</f>
        <v/>
      </c>
      <c r="G2396" t="str">
        <f>""</f>
        <v/>
      </c>
      <c r="H2396" t="str">
        <f>""</f>
        <v/>
      </c>
      <c r="J2396" t="str">
        <f t="shared" si="43"/>
        <v>BCBS PAYABLE</v>
      </c>
    </row>
    <row r="2397" spans="1:10" x14ac:dyDescent="0.3">
      <c r="A2397" t="str">
        <f>""</f>
        <v/>
      </c>
      <c r="G2397" t="str">
        <f>""</f>
        <v/>
      </c>
      <c r="H2397" t="str">
        <f>""</f>
        <v/>
      </c>
      <c r="J2397" t="str">
        <f t="shared" si="43"/>
        <v>BCBS PAYABLE</v>
      </c>
    </row>
    <row r="2398" spans="1:10" x14ac:dyDescent="0.3">
      <c r="A2398" t="str">
        <f>""</f>
        <v/>
      </c>
      <c r="G2398" t="str">
        <f>""</f>
        <v/>
      </c>
      <c r="H2398" t="str">
        <f>""</f>
        <v/>
      </c>
      <c r="J2398" t="str">
        <f t="shared" si="43"/>
        <v>BCBS PAYABLE</v>
      </c>
    </row>
    <row r="2399" spans="1:10" x14ac:dyDescent="0.3">
      <c r="A2399" t="str">
        <f>""</f>
        <v/>
      </c>
      <c r="G2399" t="str">
        <f>""</f>
        <v/>
      </c>
      <c r="H2399" t="str">
        <f>""</f>
        <v/>
      </c>
      <c r="J2399" t="str">
        <f t="shared" si="43"/>
        <v>BCBS PAYABLE</v>
      </c>
    </row>
    <row r="2400" spans="1:10" x14ac:dyDescent="0.3">
      <c r="A2400" t="str">
        <f>""</f>
        <v/>
      </c>
      <c r="G2400" t="str">
        <f>""</f>
        <v/>
      </c>
      <c r="H2400" t="str">
        <f>""</f>
        <v/>
      </c>
      <c r="J2400" t="str">
        <f t="shared" si="43"/>
        <v>BCBS PAYABLE</v>
      </c>
    </row>
    <row r="2401" spans="1:10" x14ac:dyDescent="0.3">
      <c r="A2401" t="str">
        <f>""</f>
        <v/>
      </c>
      <c r="G2401" t="str">
        <f>""</f>
        <v/>
      </c>
      <c r="H2401" t="str">
        <f>""</f>
        <v/>
      </c>
      <c r="J2401" t="str">
        <f t="shared" si="43"/>
        <v>BCBS PAYABLE</v>
      </c>
    </row>
    <row r="2402" spans="1:10" x14ac:dyDescent="0.3">
      <c r="A2402" t="str">
        <f>""</f>
        <v/>
      </c>
      <c r="G2402" t="str">
        <f>""</f>
        <v/>
      </c>
      <c r="H2402" t="str">
        <f>""</f>
        <v/>
      </c>
      <c r="J2402" t="str">
        <f t="shared" si="43"/>
        <v>BCBS PAYABLE</v>
      </c>
    </row>
    <row r="2403" spans="1:10" x14ac:dyDescent="0.3">
      <c r="A2403" t="str">
        <f>""</f>
        <v/>
      </c>
      <c r="G2403" t="str">
        <f>"2EO201707123600"</f>
        <v>2EO201707123600</v>
      </c>
      <c r="H2403" t="str">
        <f>"BCBS PAYABLE"</f>
        <v>BCBS PAYABLE</v>
      </c>
      <c r="I2403" s="2">
        <v>3731.76</v>
      </c>
      <c r="J2403" t="str">
        <f t="shared" si="43"/>
        <v>BCBS PAYABLE</v>
      </c>
    </row>
    <row r="2404" spans="1:10" x14ac:dyDescent="0.3">
      <c r="A2404" t="str">
        <f>""</f>
        <v/>
      </c>
      <c r="G2404" t="str">
        <f>"2EO201707123606"</f>
        <v>2EO201707123606</v>
      </c>
      <c r="H2404" t="str">
        <f>"BCBS PAYABLE"</f>
        <v>BCBS PAYABLE</v>
      </c>
      <c r="I2404" s="2">
        <v>621.96</v>
      </c>
      <c r="J2404" t="str">
        <f t="shared" si="43"/>
        <v>BCBS PAYABLE</v>
      </c>
    </row>
    <row r="2405" spans="1:10" x14ac:dyDescent="0.3">
      <c r="A2405" t="str">
        <f>""</f>
        <v/>
      </c>
      <c r="G2405" t="str">
        <f>"2EO201707263863"</f>
        <v>2EO201707263863</v>
      </c>
      <c r="H2405" t="str">
        <f>"BCBS PAYABLE"</f>
        <v>BCBS PAYABLE</v>
      </c>
      <c r="I2405" s="2">
        <v>84586.559999999998</v>
      </c>
      <c r="J2405" t="str">
        <f t="shared" si="43"/>
        <v>BCBS PAYABLE</v>
      </c>
    </row>
    <row r="2406" spans="1:10" x14ac:dyDescent="0.3">
      <c r="A2406" t="str">
        <f>""</f>
        <v/>
      </c>
      <c r="G2406" t="str">
        <f>""</f>
        <v/>
      </c>
      <c r="H2406" t="str">
        <f>""</f>
        <v/>
      </c>
      <c r="J2406" t="str">
        <f t="shared" si="43"/>
        <v>BCBS PAYABLE</v>
      </c>
    </row>
    <row r="2407" spans="1:10" x14ac:dyDescent="0.3">
      <c r="A2407" t="str">
        <f>""</f>
        <v/>
      </c>
      <c r="G2407" t="str">
        <f>""</f>
        <v/>
      </c>
      <c r="H2407" t="str">
        <f>""</f>
        <v/>
      </c>
      <c r="J2407" t="str">
        <f t="shared" si="43"/>
        <v>BCBS PAYABLE</v>
      </c>
    </row>
    <row r="2408" spans="1:10" x14ac:dyDescent="0.3">
      <c r="A2408" t="str">
        <f>""</f>
        <v/>
      </c>
      <c r="G2408" t="str">
        <f>""</f>
        <v/>
      </c>
      <c r="H2408" t="str">
        <f>""</f>
        <v/>
      </c>
      <c r="J2408" t="str">
        <f t="shared" si="43"/>
        <v>BCBS PAYABLE</v>
      </c>
    </row>
    <row r="2409" spans="1:10" x14ac:dyDescent="0.3">
      <c r="A2409" t="str">
        <f>""</f>
        <v/>
      </c>
      <c r="G2409" t="str">
        <f>""</f>
        <v/>
      </c>
      <c r="H2409" t="str">
        <f>""</f>
        <v/>
      </c>
      <c r="J2409" t="str">
        <f t="shared" si="43"/>
        <v>BCBS PAYABLE</v>
      </c>
    </row>
    <row r="2410" spans="1:10" x14ac:dyDescent="0.3">
      <c r="A2410" t="str">
        <f>""</f>
        <v/>
      </c>
      <c r="G2410" t="str">
        <f>""</f>
        <v/>
      </c>
      <c r="H2410" t="str">
        <f>""</f>
        <v/>
      </c>
      <c r="J2410" t="str">
        <f t="shared" si="43"/>
        <v>BCBS PAYABLE</v>
      </c>
    </row>
    <row r="2411" spans="1:10" x14ac:dyDescent="0.3">
      <c r="A2411" t="str">
        <f>""</f>
        <v/>
      </c>
      <c r="G2411" t="str">
        <f>""</f>
        <v/>
      </c>
      <c r="H2411" t="str">
        <f>""</f>
        <v/>
      </c>
      <c r="J2411" t="str">
        <f t="shared" si="43"/>
        <v>BCBS PAYABLE</v>
      </c>
    </row>
    <row r="2412" spans="1:10" x14ac:dyDescent="0.3">
      <c r="A2412" t="str">
        <f>""</f>
        <v/>
      </c>
      <c r="G2412" t="str">
        <f>""</f>
        <v/>
      </c>
      <c r="H2412" t="str">
        <f>""</f>
        <v/>
      </c>
      <c r="J2412" t="str">
        <f t="shared" si="43"/>
        <v>BCBS PAYABLE</v>
      </c>
    </row>
    <row r="2413" spans="1:10" x14ac:dyDescent="0.3">
      <c r="A2413" t="str">
        <f>""</f>
        <v/>
      </c>
      <c r="G2413" t="str">
        <f>""</f>
        <v/>
      </c>
      <c r="H2413" t="str">
        <f>""</f>
        <v/>
      </c>
      <c r="J2413" t="str">
        <f t="shared" si="43"/>
        <v>BCBS PAYABLE</v>
      </c>
    </row>
    <row r="2414" spans="1:10" x14ac:dyDescent="0.3">
      <c r="A2414" t="str">
        <f>""</f>
        <v/>
      </c>
      <c r="G2414" t="str">
        <f>""</f>
        <v/>
      </c>
      <c r="H2414" t="str">
        <f>""</f>
        <v/>
      </c>
      <c r="J2414" t="str">
        <f t="shared" si="43"/>
        <v>BCBS PAYABLE</v>
      </c>
    </row>
    <row r="2415" spans="1:10" x14ac:dyDescent="0.3">
      <c r="A2415" t="str">
        <f>""</f>
        <v/>
      </c>
      <c r="G2415" t="str">
        <f>""</f>
        <v/>
      </c>
      <c r="H2415" t="str">
        <f>""</f>
        <v/>
      </c>
      <c r="J2415" t="str">
        <f t="shared" ref="J2415:J2446" si="44">"BCBS PAYABLE"</f>
        <v>BCBS PAYABLE</v>
      </c>
    </row>
    <row r="2416" spans="1:10" x14ac:dyDescent="0.3">
      <c r="A2416" t="str">
        <f>""</f>
        <v/>
      </c>
      <c r="G2416" t="str">
        <f>""</f>
        <v/>
      </c>
      <c r="H2416" t="str">
        <f>""</f>
        <v/>
      </c>
      <c r="J2416" t="str">
        <f t="shared" si="44"/>
        <v>BCBS PAYABLE</v>
      </c>
    </row>
    <row r="2417" spans="1:10" x14ac:dyDescent="0.3">
      <c r="A2417" t="str">
        <f>""</f>
        <v/>
      </c>
      <c r="G2417" t="str">
        <f>""</f>
        <v/>
      </c>
      <c r="H2417" t="str">
        <f>""</f>
        <v/>
      </c>
      <c r="J2417" t="str">
        <f t="shared" si="44"/>
        <v>BCBS PAYABLE</v>
      </c>
    </row>
    <row r="2418" spans="1:10" x14ac:dyDescent="0.3">
      <c r="A2418" t="str">
        <f>""</f>
        <v/>
      </c>
      <c r="G2418" t="str">
        <f>""</f>
        <v/>
      </c>
      <c r="H2418" t="str">
        <f>""</f>
        <v/>
      </c>
      <c r="J2418" t="str">
        <f t="shared" si="44"/>
        <v>BCBS PAYABLE</v>
      </c>
    </row>
    <row r="2419" spans="1:10" x14ac:dyDescent="0.3">
      <c r="A2419" t="str">
        <f>""</f>
        <v/>
      </c>
      <c r="G2419" t="str">
        <f>""</f>
        <v/>
      </c>
      <c r="H2419" t="str">
        <f>""</f>
        <v/>
      </c>
      <c r="J2419" t="str">
        <f t="shared" si="44"/>
        <v>BCBS PAYABLE</v>
      </c>
    </row>
    <row r="2420" spans="1:10" x14ac:dyDescent="0.3">
      <c r="A2420" t="str">
        <f>""</f>
        <v/>
      </c>
      <c r="G2420" t="str">
        <f>""</f>
        <v/>
      </c>
      <c r="H2420" t="str">
        <f>""</f>
        <v/>
      </c>
      <c r="J2420" t="str">
        <f t="shared" si="44"/>
        <v>BCBS PAYABLE</v>
      </c>
    </row>
    <row r="2421" spans="1:10" x14ac:dyDescent="0.3">
      <c r="A2421" t="str">
        <f>""</f>
        <v/>
      </c>
      <c r="G2421" t="str">
        <f>""</f>
        <v/>
      </c>
      <c r="H2421" t="str">
        <f>""</f>
        <v/>
      </c>
      <c r="J2421" t="str">
        <f t="shared" si="44"/>
        <v>BCBS PAYABLE</v>
      </c>
    </row>
    <row r="2422" spans="1:10" x14ac:dyDescent="0.3">
      <c r="A2422" t="str">
        <f>""</f>
        <v/>
      </c>
      <c r="G2422" t="str">
        <f>""</f>
        <v/>
      </c>
      <c r="H2422" t="str">
        <f>""</f>
        <v/>
      </c>
      <c r="J2422" t="str">
        <f t="shared" si="44"/>
        <v>BCBS PAYABLE</v>
      </c>
    </row>
    <row r="2423" spans="1:10" x14ac:dyDescent="0.3">
      <c r="A2423" t="str">
        <f>""</f>
        <v/>
      </c>
      <c r="G2423" t="str">
        <f>""</f>
        <v/>
      </c>
      <c r="H2423" t="str">
        <f>""</f>
        <v/>
      </c>
      <c r="J2423" t="str">
        <f t="shared" si="44"/>
        <v>BCBS PAYABLE</v>
      </c>
    </row>
    <row r="2424" spans="1:10" x14ac:dyDescent="0.3">
      <c r="A2424" t="str">
        <f>""</f>
        <v/>
      </c>
      <c r="G2424" t="str">
        <f>""</f>
        <v/>
      </c>
      <c r="H2424" t="str">
        <f>""</f>
        <v/>
      </c>
      <c r="J2424" t="str">
        <f t="shared" si="44"/>
        <v>BCBS PAYABLE</v>
      </c>
    </row>
    <row r="2425" spans="1:10" x14ac:dyDescent="0.3">
      <c r="A2425" t="str">
        <f>""</f>
        <v/>
      </c>
      <c r="G2425" t="str">
        <f>""</f>
        <v/>
      </c>
      <c r="H2425" t="str">
        <f>""</f>
        <v/>
      </c>
      <c r="J2425" t="str">
        <f t="shared" si="44"/>
        <v>BCBS PAYABLE</v>
      </c>
    </row>
    <row r="2426" spans="1:10" x14ac:dyDescent="0.3">
      <c r="A2426" t="str">
        <f>""</f>
        <v/>
      </c>
      <c r="G2426" t="str">
        <f>""</f>
        <v/>
      </c>
      <c r="H2426" t="str">
        <f>""</f>
        <v/>
      </c>
      <c r="J2426" t="str">
        <f t="shared" si="44"/>
        <v>BCBS PAYABLE</v>
      </c>
    </row>
    <row r="2427" spans="1:10" x14ac:dyDescent="0.3">
      <c r="A2427" t="str">
        <f>""</f>
        <v/>
      </c>
      <c r="G2427" t="str">
        <f>""</f>
        <v/>
      </c>
      <c r="H2427" t="str">
        <f>""</f>
        <v/>
      </c>
      <c r="J2427" t="str">
        <f t="shared" si="44"/>
        <v>BCBS PAYABLE</v>
      </c>
    </row>
    <row r="2428" spans="1:10" x14ac:dyDescent="0.3">
      <c r="A2428" t="str">
        <f>""</f>
        <v/>
      </c>
      <c r="G2428" t="str">
        <f>""</f>
        <v/>
      </c>
      <c r="H2428" t="str">
        <f>""</f>
        <v/>
      </c>
      <c r="J2428" t="str">
        <f t="shared" si="44"/>
        <v>BCBS PAYABLE</v>
      </c>
    </row>
    <row r="2429" spans="1:10" x14ac:dyDescent="0.3">
      <c r="A2429" t="str">
        <f>""</f>
        <v/>
      </c>
      <c r="G2429" t="str">
        <f>""</f>
        <v/>
      </c>
      <c r="H2429" t="str">
        <f>""</f>
        <v/>
      </c>
      <c r="J2429" t="str">
        <f t="shared" si="44"/>
        <v>BCBS PAYABLE</v>
      </c>
    </row>
    <row r="2430" spans="1:10" x14ac:dyDescent="0.3">
      <c r="A2430" t="str">
        <f>""</f>
        <v/>
      </c>
      <c r="G2430" t="str">
        <f>""</f>
        <v/>
      </c>
      <c r="H2430" t="str">
        <f>""</f>
        <v/>
      </c>
      <c r="J2430" t="str">
        <f t="shared" si="44"/>
        <v>BCBS PAYABLE</v>
      </c>
    </row>
    <row r="2431" spans="1:10" x14ac:dyDescent="0.3">
      <c r="A2431" t="str">
        <f>""</f>
        <v/>
      </c>
      <c r="G2431" t="str">
        <f>""</f>
        <v/>
      </c>
      <c r="H2431" t="str">
        <f>""</f>
        <v/>
      </c>
      <c r="J2431" t="str">
        <f t="shared" si="44"/>
        <v>BCBS PAYABLE</v>
      </c>
    </row>
    <row r="2432" spans="1:10" x14ac:dyDescent="0.3">
      <c r="A2432" t="str">
        <f>""</f>
        <v/>
      </c>
      <c r="G2432" t="str">
        <f>""</f>
        <v/>
      </c>
      <c r="H2432" t="str">
        <f>""</f>
        <v/>
      </c>
      <c r="J2432" t="str">
        <f t="shared" si="44"/>
        <v>BCBS PAYABLE</v>
      </c>
    </row>
    <row r="2433" spans="1:10" x14ac:dyDescent="0.3">
      <c r="A2433" t="str">
        <f>""</f>
        <v/>
      </c>
      <c r="G2433" t="str">
        <f>""</f>
        <v/>
      </c>
      <c r="H2433" t="str">
        <f>""</f>
        <v/>
      </c>
      <c r="J2433" t="str">
        <f t="shared" si="44"/>
        <v>BCBS PAYABLE</v>
      </c>
    </row>
    <row r="2434" spans="1:10" x14ac:dyDescent="0.3">
      <c r="A2434" t="str">
        <f>""</f>
        <v/>
      </c>
      <c r="G2434" t="str">
        <f>""</f>
        <v/>
      </c>
      <c r="H2434" t="str">
        <f>""</f>
        <v/>
      </c>
      <c r="J2434" t="str">
        <f t="shared" si="44"/>
        <v>BCBS PAYABLE</v>
      </c>
    </row>
    <row r="2435" spans="1:10" x14ac:dyDescent="0.3">
      <c r="A2435" t="str">
        <f>""</f>
        <v/>
      </c>
      <c r="G2435" t="str">
        <f>""</f>
        <v/>
      </c>
      <c r="H2435" t="str">
        <f>""</f>
        <v/>
      </c>
      <c r="J2435" t="str">
        <f t="shared" si="44"/>
        <v>BCBS PAYABLE</v>
      </c>
    </row>
    <row r="2436" spans="1:10" x14ac:dyDescent="0.3">
      <c r="A2436" t="str">
        <f>""</f>
        <v/>
      </c>
      <c r="G2436" t="str">
        <f>""</f>
        <v/>
      </c>
      <c r="H2436" t="str">
        <f>""</f>
        <v/>
      </c>
      <c r="J2436" t="str">
        <f t="shared" si="44"/>
        <v>BCBS PAYABLE</v>
      </c>
    </row>
    <row r="2437" spans="1:10" x14ac:dyDescent="0.3">
      <c r="A2437" t="str">
        <f>""</f>
        <v/>
      </c>
      <c r="G2437" t="str">
        <f>""</f>
        <v/>
      </c>
      <c r="H2437" t="str">
        <f>""</f>
        <v/>
      </c>
      <c r="J2437" t="str">
        <f t="shared" si="44"/>
        <v>BCBS PAYABLE</v>
      </c>
    </row>
    <row r="2438" spans="1:10" x14ac:dyDescent="0.3">
      <c r="A2438" t="str">
        <f>""</f>
        <v/>
      </c>
      <c r="G2438" t="str">
        <f>""</f>
        <v/>
      </c>
      <c r="H2438" t="str">
        <f>""</f>
        <v/>
      </c>
      <c r="J2438" t="str">
        <f t="shared" si="44"/>
        <v>BCBS PAYABLE</v>
      </c>
    </row>
    <row r="2439" spans="1:10" x14ac:dyDescent="0.3">
      <c r="A2439" t="str">
        <f>""</f>
        <v/>
      </c>
      <c r="G2439" t="str">
        <f>""</f>
        <v/>
      </c>
      <c r="H2439" t="str">
        <f>""</f>
        <v/>
      </c>
      <c r="J2439" t="str">
        <f t="shared" si="44"/>
        <v>BCBS PAYABLE</v>
      </c>
    </row>
    <row r="2440" spans="1:10" x14ac:dyDescent="0.3">
      <c r="A2440" t="str">
        <f>""</f>
        <v/>
      </c>
      <c r="G2440" t="str">
        <f>""</f>
        <v/>
      </c>
      <c r="H2440" t="str">
        <f>""</f>
        <v/>
      </c>
      <c r="J2440" t="str">
        <f t="shared" si="44"/>
        <v>BCBS PAYABLE</v>
      </c>
    </row>
    <row r="2441" spans="1:10" x14ac:dyDescent="0.3">
      <c r="A2441" t="str">
        <f>""</f>
        <v/>
      </c>
      <c r="G2441" t="str">
        <f>""</f>
        <v/>
      </c>
      <c r="H2441" t="str">
        <f>""</f>
        <v/>
      </c>
      <c r="J2441" t="str">
        <f t="shared" si="44"/>
        <v>BCBS PAYABLE</v>
      </c>
    </row>
    <row r="2442" spans="1:10" x14ac:dyDescent="0.3">
      <c r="A2442" t="str">
        <f>""</f>
        <v/>
      </c>
      <c r="G2442" t="str">
        <f>""</f>
        <v/>
      </c>
      <c r="H2442" t="str">
        <f>""</f>
        <v/>
      </c>
      <c r="J2442" t="str">
        <f t="shared" si="44"/>
        <v>BCBS PAYABLE</v>
      </c>
    </row>
    <row r="2443" spans="1:10" x14ac:dyDescent="0.3">
      <c r="A2443" t="str">
        <f>""</f>
        <v/>
      </c>
      <c r="G2443" t="str">
        <f>""</f>
        <v/>
      </c>
      <c r="H2443" t="str">
        <f>""</f>
        <v/>
      </c>
      <c r="J2443" t="str">
        <f t="shared" si="44"/>
        <v>BCBS PAYABLE</v>
      </c>
    </row>
    <row r="2444" spans="1:10" x14ac:dyDescent="0.3">
      <c r="A2444" t="str">
        <f>""</f>
        <v/>
      </c>
      <c r="G2444" t="str">
        <f>""</f>
        <v/>
      </c>
      <c r="H2444" t="str">
        <f>""</f>
        <v/>
      </c>
      <c r="J2444" t="str">
        <f t="shared" si="44"/>
        <v>BCBS PAYABLE</v>
      </c>
    </row>
    <row r="2445" spans="1:10" x14ac:dyDescent="0.3">
      <c r="A2445" t="str">
        <f>""</f>
        <v/>
      </c>
      <c r="G2445" t="str">
        <f>"2EO201707263864"</f>
        <v>2EO201707263864</v>
      </c>
      <c r="H2445" t="str">
        <f>"BCBS PAYABLE"</f>
        <v>BCBS PAYABLE</v>
      </c>
      <c r="I2445" s="2">
        <v>3731.76</v>
      </c>
      <c r="J2445" t="str">
        <f t="shared" si="44"/>
        <v>BCBS PAYABLE</v>
      </c>
    </row>
    <row r="2446" spans="1:10" x14ac:dyDescent="0.3">
      <c r="A2446" t="str">
        <f>""</f>
        <v/>
      </c>
      <c r="G2446" t="str">
        <f>"2ES201707123599"</f>
        <v>2ES201707123599</v>
      </c>
      <c r="H2446" t="str">
        <f>"BCBS PAYABLE"</f>
        <v>BCBS PAYABLE</v>
      </c>
      <c r="I2446" s="2">
        <v>16324.77</v>
      </c>
      <c r="J2446" t="str">
        <f t="shared" si="44"/>
        <v>BCBS PAYABLE</v>
      </c>
    </row>
    <row r="2447" spans="1:10" x14ac:dyDescent="0.3">
      <c r="A2447" t="str">
        <f>""</f>
        <v/>
      </c>
      <c r="G2447" t="str">
        <f>""</f>
        <v/>
      </c>
      <c r="H2447" t="str">
        <f>""</f>
        <v/>
      </c>
      <c r="J2447" t="str">
        <f t="shared" ref="J2447:J2483" si="45">"BCBS PAYABLE"</f>
        <v>BCBS PAYABLE</v>
      </c>
    </row>
    <row r="2448" spans="1:10" x14ac:dyDescent="0.3">
      <c r="A2448" t="str">
        <f>""</f>
        <v/>
      </c>
      <c r="G2448" t="str">
        <f>""</f>
        <v/>
      </c>
      <c r="H2448" t="str">
        <f>""</f>
        <v/>
      </c>
      <c r="J2448" t="str">
        <f t="shared" si="45"/>
        <v>BCBS PAYABLE</v>
      </c>
    </row>
    <row r="2449" spans="1:10" x14ac:dyDescent="0.3">
      <c r="A2449" t="str">
        <f>""</f>
        <v/>
      </c>
      <c r="G2449" t="str">
        <f>""</f>
        <v/>
      </c>
      <c r="H2449" t="str">
        <f>""</f>
        <v/>
      </c>
      <c r="J2449" t="str">
        <f t="shared" si="45"/>
        <v>BCBS PAYABLE</v>
      </c>
    </row>
    <row r="2450" spans="1:10" x14ac:dyDescent="0.3">
      <c r="A2450" t="str">
        <f>""</f>
        <v/>
      </c>
      <c r="G2450" t="str">
        <f>""</f>
        <v/>
      </c>
      <c r="H2450" t="str">
        <f>""</f>
        <v/>
      </c>
      <c r="J2450" t="str">
        <f t="shared" si="45"/>
        <v>BCBS PAYABLE</v>
      </c>
    </row>
    <row r="2451" spans="1:10" x14ac:dyDescent="0.3">
      <c r="A2451" t="str">
        <f>""</f>
        <v/>
      </c>
      <c r="G2451" t="str">
        <f>""</f>
        <v/>
      </c>
      <c r="H2451" t="str">
        <f>""</f>
        <v/>
      </c>
      <c r="J2451" t="str">
        <f t="shared" si="45"/>
        <v>BCBS PAYABLE</v>
      </c>
    </row>
    <row r="2452" spans="1:10" x14ac:dyDescent="0.3">
      <c r="A2452" t="str">
        <f>""</f>
        <v/>
      </c>
      <c r="G2452" t="str">
        <f>""</f>
        <v/>
      </c>
      <c r="H2452" t="str">
        <f>""</f>
        <v/>
      </c>
      <c r="J2452" t="str">
        <f t="shared" si="45"/>
        <v>BCBS PAYABLE</v>
      </c>
    </row>
    <row r="2453" spans="1:10" x14ac:dyDescent="0.3">
      <c r="A2453" t="str">
        <f>""</f>
        <v/>
      </c>
      <c r="G2453" t="str">
        <f>""</f>
        <v/>
      </c>
      <c r="H2453" t="str">
        <f>""</f>
        <v/>
      </c>
      <c r="J2453" t="str">
        <f t="shared" si="45"/>
        <v>BCBS PAYABLE</v>
      </c>
    </row>
    <row r="2454" spans="1:10" x14ac:dyDescent="0.3">
      <c r="A2454" t="str">
        <f>""</f>
        <v/>
      </c>
      <c r="G2454" t="str">
        <f>""</f>
        <v/>
      </c>
      <c r="H2454" t="str">
        <f>""</f>
        <v/>
      </c>
      <c r="J2454" t="str">
        <f t="shared" si="45"/>
        <v>BCBS PAYABLE</v>
      </c>
    </row>
    <row r="2455" spans="1:10" x14ac:dyDescent="0.3">
      <c r="A2455" t="str">
        <f>""</f>
        <v/>
      </c>
      <c r="G2455" t="str">
        <f>""</f>
        <v/>
      </c>
      <c r="H2455" t="str">
        <f>""</f>
        <v/>
      </c>
      <c r="J2455" t="str">
        <f t="shared" si="45"/>
        <v>BCBS PAYABLE</v>
      </c>
    </row>
    <row r="2456" spans="1:10" x14ac:dyDescent="0.3">
      <c r="A2456" t="str">
        <f>""</f>
        <v/>
      </c>
      <c r="G2456" t="str">
        <f>""</f>
        <v/>
      </c>
      <c r="H2456" t="str">
        <f>""</f>
        <v/>
      </c>
      <c r="J2456" t="str">
        <f t="shared" si="45"/>
        <v>BCBS PAYABLE</v>
      </c>
    </row>
    <row r="2457" spans="1:10" x14ac:dyDescent="0.3">
      <c r="A2457" t="str">
        <f>""</f>
        <v/>
      </c>
      <c r="G2457" t="str">
        <f>""</f>
        <v/>
      </c>
      <c r="H2457" t="str">
        <f>""</f>
        <v/>
      </c>
      <c r="J2457" t="str">
        <f t="shared" si="45"/>
        <v>BCBS PAYABLE</v>
      </c>
    </row>
    <row r="2458" spans="1:10" x14ac:dyDescent="0.3">
      <c r="A2458" t="str">
        <f>""</f>
        <v/>
      </c>
      <c r="G2458" t="str">
        <f>""</f>
        <v/>
      </c>
      <c r="H2458" t="str">
        <f>""</f>
        <v/>
      </c>
      <c r="J2458" t="str">
        <f t="shared" si="45"/>
        <v>BCBS PAYABLE</v>
      </c>
    </row>
    <row r="2459" spans="1:10" x14ac:dyDescent="0.3">
      <c r="A2459" t="str">
        <f>""</f>
        <v/>
      </c>
      <c r="G2459" t="str">
        <f>""</f>
        <v/>
      </c>
      <c r="H2459" t="str">
        <f>""</f>
        <v/>
      </c>
      <c r="J2459" t="str">
        <f t="shared" si="45"/>
        <v>BCBS PAYABLE</v>
      </c>
    </row>
    <row r="2460" spans="1:10" x14ac:dyDescent="0.3">
      <c r="A2460" t="str">
        <f>""</f>
        <v/>
      </c>
      <c r="G2460" t="str">
        <f>""</f>
        <v/>
      </c>
      <c r="H2460" t="str">
        <f>""</f>
        <v/>
      </c>
      <c r="J2460" t="str">
        <f t="shared" si="45"/>
        <v>BCBS PAYABLE</v>
      </c>
    </row>
    <row r="2461" spans="1:10" x14ac:dyDescent="0.3">
      <c r="A2461" t="str">
        <f>""</f>
        <v/>
      </c>
      <c r="G2461" t="str">
        <f>""</f>
        <v/>
      </c>
      <c r="H2461" t="str">
        <f>""</f>
        <v/>
      </c>
      <c r="J2461" t="str">
        <f t="shared" si="45"/>
        <v>BCBS PAYABLE</v>
      </c>
    </row>
    <row r="2462" spans="1:10" x14ac:dyDescent="0.3">
      <c r="A2462" t="str">
        <f>""</f>
        <v/>
      </c>
      <c r="G2462" t="str">
        <f>""</f>
        <v/>
      </c>
      <c r="H2462" t="str">
        <f>""</f>
        <v/>
      </c>
      <c r="J2462" t="str">
        <f t="shared" si="45"/>
        <v>BCBS PAYABLE</v>
      </c>
    </row>
    <row r="2463" spans="1:10" x14ac:dyDescent="0.3">
      <c r="A2463" t="str">
        <f>""</f>
        <v/>
      </c>
      <c r="G2463" t="str">
        <f>""</f>
        <v/>
      </c>
      <c r="H2463" t="str">
        <f>""</f>
        <v/>
      </c>
      <c r="J2463" t="str">
        <f t="shared" si="45"/>
        <v>BCBS PAYABLE</v>
      </c>
    </row>
    <row r="2464" spans="1:10" x14ac:dyDescent="0.3">
      <c r="A2464" t="str">
        <f>""</f>
        <v/>
      </c>
      <c r="G2464" t="str">
        <f>""</f>
        <v/>
      </c>
      <c r="H2464" t="str">
        <f>""</f>
        <v/>
      </c>
      <c r="J2464" t="str">
        <f t="shared" si="45"/>
        <v>BCBS PAYABLE</v>
      </c>
    </row>
    <row r="2465" spans="1:10" x14ac:dyDescent="0.3">
      <c r="A2465" t="str">
        <f>""</f>
        <v/>
      </c>
      <c r="G2465" t="str">
        <f>"2ES201707263863"</f>
        <v>2ES201707263863</v>
      </c>
      <c r="H2465" t="str">
        <f>"BCBS PAYABLE"</f>
        <v>BCBS PAYABLE</v>
      </c>
      <c r="I2465" s="2">
        <v>16324.77</v>
      </c>
      <c r="J2465" t="str">
        <f t="shared" si="45"/>
        <v>BCBS PAYABLE</v>
      </c>
    </row>
    <row r="2466" spans="1:10" x14ac:dyDescent="0.3">
      <c r="A2466" t="str">
        <f>""</f>
        <v/>
      </c>
      <c r="G2466" t="str">
        <f>""</f>
        <v/>
      </c>
      <c r="H2466" t="str">
        <f>""</f>
        <v/>
      </c>
      <c r="J2466" t="str">
        <f t="shared" si="45"/>
        <v>BCBS PAYABLE</v>
      </c>
    </row>
    <row r="2467" spans="1:10" x14ac:dyDescent="0.3">
      <c r="A2467" t="str">
        <f>""</f>
        <v/>
      </c>
      <c r="G2467" t="str">
        <f>""</f>
        <v/>
      </c>
      <c r="H2467" t="str">
        <f>""</f>
        <v/>
      </c>
      <c r="J2467" t="str">
        <f t="shared" si="45"/>
        <v>BCBS PAYABLE</v>
      </c>
    </row>
    <row r="2468" spans="1:10" x14ac:dyDescent="0.3">
      <c r="A2468" t="str">
        <f>""</f>
        <v/>
      </c>
      <c r="G2468" t="str">
        <f>""</f>
        <v/>
      </c>
      <c r="H2468" t="str">
        <f>""</f>
        <v/>
      </c>
      <c r="J2468" t="str">
        <f t="shared" si="45"/>
        <v>BCBS PAYABLE</v>
      </c>
    </row>
    <row r="2469" spans="1:10" x14ac:dyDescent="0.3">
      <c r="A2469" t="str">
        <f>""</f>
        <v/>
      </c>
      <c r="G2469" t="str">
        <f>""</f>
        <v/>
      </c>
      <c r="H2469" t="str">
        <f>""</f>
        <v/>
      </c>
      <c r="J2469" t="str">
        <f t="shared" si="45"/>
        <v>BCBS PAYABLE</v>
      </c>
    </row>
    <row r="2470" spans="1:10" x14ac:dyDescent="0.3">
      <c r="A2470" t="str">
        <f>""</f>
        <v/>
      </c>
      <c r="G2470" t="str">
        <f>""</f>
        <v/>
      </c>
      <c r="H2470" t="str">
        <f>""</f>
        <v/>
      </c>
      <c r="J2470" t="str">
        <f t="shared" si="45"/>
        <v>BCBS PAYABLE</v>
      </c>
    </row>
    <row r="2471" spans="1:10" x14ac:dyDescent="0.3">
      <c r="A2471" t="str">
        <f>""</f>
        <v/>
      </c>
      <c r="G2471" t="str">
        <f>""</f>
        <v/>
      </c>
      <c r="H2471" t="str">
        <f>""</f>
        <v/>
      </c>
      <c r="J2471" t="str">
        <f t="shared" si="45"/>
        <v>BCBS PAYABLE</v>
      </c>
    </row>
    <row r="2472" spans="1:10" x14ac:dyDescent="0.3">
      <c r="A2472" t="str">
        <f>""</f>
        <v/>
      </c>
      <c r="G2472" t="str">
        <f>""</f>
        <v/>
      </c>
      <c r="H2472" t="str">
        <f>""</f>
        <v/>
      </c>
      <c r="J2472" t="str">
        <f t="shared" si="45"/>
        <v>BCBS PAYABLE</v>
      </c>
    </row>
    <row r="2473" spans="1:10" x14ac:dyDescent="0.3">
      <c r="A2473" t="str">
        <f>""</f>
        <v/>
      </c>
      <c r="G2473" t="str">
        <f>""</f>
        <v/>
      </c>
      <c r="H2473" t="str">
        <f>""</f>
        <v/>
      </c>
      <c r="J2473" t="str">
        <f t="shared" si="45"/>
        <v>BCBS PAYABLE</v>
      </c>
    </row>
    <row r="2474" spans="1:10" x14ac:dyDescent="0.3">
      <c r="A2474" t="str">
        <f>""</f>
        <v/>
      </c>
      <c r="G2474" t="str">
        <f>""</f>
        <v/>
      </c>
      <c r="H2474" t="str">
        <f>""</f>
        <v/>
      </c>
      <c r="J2474" t="str">
        <f t="shared" si="45"/>
        <v>BCBS PAYABLE</v>
      </c>
    </row>
    <row r="2475" spans="1:10" x14ac:dyDescent="0.3">
      <c r="A2475" t="str">
        <f>""</f>
        <v/>
      </c>
      <c r="G2475" t="str">
        <f>""</f>
        <v/>
      </c>
      <c r="H2475" t="str">
        <f>""</f>
        <v/>
      </c>
      <c r="J2475" t="str">
        <f t="shared" si="45"/>
        <v>BCBS PAYABLE</v>
      </c>
    </row>
    <row r="2476" spans="1:10" x14ac:dyDescent="0.3">
      <c r="A2476" t="str">
        <f>""</f>
        <v/>
      </c>
      <c r="G2476" t="str">
        <f>""</f>
        <v/>
      </c>
      <c r="H2476" t="str">
        <f>""</f>
        <v/>
      </c>
      <c r="J2476" t="str">
        <f t="shared" si="45"/>
        <v>BCBS PAYABLE</v>
      </c>
    </row>
    <row r="2477" spans="1:10" x14ac:dyDescent="0.3">
      <c r="A2477" t="str">
        <f>""</f>
        <v/>
      </c>
      <c r="G2477" t="str">
        <f>""</f>
        <v/>
      </c>
      <c r="H2477" t="str">
        <f>""</f>
        <v/>
      </c>
      <c r="J2477" t="str">
        <f t="shared" si="45"/>
        <v>BCBS PAYABLE</v>
      </c>
    </row>
    <row r="2478" spans="1:10" x14ac:dyDescent="0.3">
      <c r="A2478" t="str">
        <f>""</f>
        <v/>
      </c>
      <c r="G2478" t="str">
        <f>""</f>
        <v/>
      </c>
      <c r="H2478" t="str">
        <f>""</f>
        <v/>
      </c>
      <c r="J2478" t="str">
        <f t="shared" si="45"/>
        <v>BCBS PAYABLE</v>
      </c>
    </row>
    <row r="2479" spans="1:10" x14ac:dyDescent="0.3">
      <c r="A2479" t="str">
        <f>""</f>
        <v/>
      </c>
      <c r="G2479" t="str">
        <f>""</f>
        <v/>
      </c>
      <c r="H2479" t="str">
        <f>""</f>
        <v/>
      </c>
      <c r="J2479" t="str">
        <f t="shared" si="45"/>
        <v>BCBS PAYABLE</v>
      </c>
    </row>
    <row r="2480" spans="1:10" x14ac:dyDescent="0.3">
      <c r="A2480" t="str">
        <f>""</f>
        <v/>
      </c>
      <c r="G2480" t="str">
        <f>""</f>
        <v/>
      </c>
      <c r="H2480" t="str">
        <f>""</f>
        <v/>
      </c>
      <c r="J2480" t="str">
        <f t="shared" si="45"/>
        <v>BCBS PAYABLE</v>
      </c>
    </row>
    <row r="2481" spans="1:10" x14ac:dyDescent="0.3">
      <c r="A2481" t="str">
        <f>""</f>
        <v/>
      </c>
      <c r="G2481" t="str">
        <f>""</f>
        <v/>
      </c>
      <c r="H2481" t="str">
        <f>""</f>
        <v/>
      </c>
      <c r="J2481" t="str">
        <f t="shared" si="45"/>
        <v>BCBS PAYABLE</v>
      </c>
    </row>
    <row r="2482" spans="1:10" x14ac:dyDescent="0.3">
      <c r="A2482" t="str">
        <f>""</f>
        <v/>
      </c>
      <c r="G2482" t="str">
        <f>""</f>
        <v/>
      </c>
      <c r="H2482" t="str">
        <f>""</f>
        <v/>
      </c>
      <c r="J2482" t="str">
        <f t="shared" si="45"/>
        <v>BCBS PAYABLE</v>
      </c>
    </row>
    <row r="2483" spans="1:10" x14ac:dyDescent="0.3">
      <c r="A2483" t="str">
        <f>""</f>
        <v/>
      </c>
      <c r="G2483" t="str">
        <f>""</f>
        <v/>
      </c>
      <c r="H2483" t="str">
        <f>""</f>
        <v/>
      </c>
      <c r="J2483" t="str">
        <f t="shared" si="45"/>
        <v>BCBS PAYABLE</v>
      </c>
    </row>
    <row r="2484" spans="1:10" x14ac:dyDescent="0.3">
      <c r="A2484" t="str">
        <f>"TAGO"</f>
        <v>TAGO</v>
      </c>
      <c r="B2484" t="s">
        <v>489</v>
      </c>
      <c r="C2484">
        <v>0</v>
      </c>
      <c r="D2484" s="2">
        <v>4023.6</v>
      </c>
      <c r="E2484" s="1">
        <v>42930</v>
      </c>
      <c r="F2484" t="s">
        <v>35</v>
      </c>
      <c r="G2484" t="str">
        <f>"C18201707123600"</f>
        <v>C18201707123600</v>
      </c>
      <c r="H2484" t="str">
        <f>"CAUSE# 0011635329"</f>
        <v>CAUSE# 0011635329</v>
      </c>
      <c r="I2484" s="2">
        <v>603.23</v>
      </c>
      <c r="J2484" t="str">
        <f>"CAUSE# 0011635329"</f>
        <v>CAUSE# 0011635329</v>
      </c>
    </row>
    <row r="2485" spans="1:10" x14ac:dyDescent="0.3">
      <c r="A2485" t="str">
        <f>""</f>
        <v/>
      </c>
      <c r="G2485" t="str">
        <f>"C2 201707123600"</f>
        <v>C2 201707123600</v>
      </c>
      <c r="H2485" t="str">
        <f>"0012982132CCL7445"</f>
        <v>0012982132CCL7445</v>
      </c>
      <c r="I2485" s="2">
        <v>692.31</v>
      </c>
      <c r="J2485" t="str">
        <f>"0012982132CCL7445"</f>
        <v>0012982132CCL7445</v>
      </c>
    </row>
    <row r="2486" spans="1:10" x14ac:dyDescent="0.3">
      <c r="A2486" t="str">
        <f>""</f>
        <v/>
      </c>
      <c r="G2486" t="str">
        <f>"C20201707123599"</f>
        <v>C20201707123599</v>
      </c>
      <c r="H2486" t="str">
        <f>"001003981107-12252"</f>
        <v>001003981107-12252</v>
      </c>
      <c r="I2486" s="2">
        <v>115.39</v>
      </c>
      <c r="J2486" t="str">
        <f>"001003981107-12252"</f>
        <v>001003981107-12252</v>
      </c>
    </row>
    <row r="2487" spans="1:10" x14ac:dyDescent="0.3">
      <c r="A2487" t="str">
        <f>""</f>
        <v/>
      </c>
      <c r="G2487" t="str">
        <f>"C39201707123599"</f>
        <v>C39201707123599</v>
      </c>
      <c r="H2487" t="str">
        <f>"0012352184423-1520"</f>
        <v>0012352184423-1520</v>
      </c>
      <c r="I2487" s="2">
        <v>273.23</v>
      </c>
      <c r="J2487" t="str">
        <f>"0012352184423-1520"</f>
        <v>0012352184423-1520</v>
      </c>
    </row>
    <row r="2488" spans="1:10" x14ac:dyDescent="0.3">
      <c r="A2488" t="str">
        <f>""</f>
        <v/>
      </c>
      <c r="G2488" t="str">
        <f>"C42201707123599"</f>
        <v>C42201707123599</v>
      </c>
      <c r="H2488" t="str">
        <f>"001236769211-14410"</f>
        <v>001236769211-14410</v>
      </c>
      <c r="I2488" s="2">
        <v>230.31</v>
      </c>
      <c r="J2488" t="str">
        <f>"001236769211-14410"</f>
        <v>001236769211-14410</v>
      </c>
    </row>
    <row r="2489" spans="1:10" x14ac:dyDescent="0.3">
      <c r="A2489" t="str">
        <f>""</f>
        <v/>
      </c>
      <c r="G2489" t="str">
        <f>"C46201707123599"</f>
        <v>C46201707123599</v>
      </c>
      <c r="H2489" t="str">
        <f>"CAUSE# 11-14911"</f>
        <v>CAUSE# 11-14911</v>
      </c>
      <c r="I2489" s="2">
        <v>238.62</v>
      </c>
      <c r="J2489" t="str">
        <f>"CAUSE# 11-14911"</f>
        <v>CAUSE# 11-14911</v>
      </c>
    </row>
    <row r="2490" spans="1:10" x14ac:dyDescent="0.3">
      <c r="A2490" t="str">
        <f>""</f>
        <v/>
      </c>
      <c r="G2490" t="str">
        <f>"C53201707123599"</f>
        <v>C53201707123599</v>
      </c>
      <c r="H2490" t="str">
        <f>"0012453366"</f>
        <v>0012453366</v>
      </c>
      <c r="I2490" s="2">
        <v>207.69</v>
      </c>
      <c r="J2490" t="str">
        <f>"0012453366"</f>
        <v>0012453366</v>
      </c>
    </row>
    <row r="2491" spans="1:10" x14ac:dyDescent="0.3">
      <c r="A2491" t="str">
        <f>""</f>
        <v/>
      </c>
      <c r="G2491" t="str">
        <f>"C59201707123599"</f>
        <v>C59201707123599</v>
      </c>
      <c r="H2491" t="str">
        <f>"0012936495140043"</f>
        <v>0012936495140043</v>
      </c>
      <c r="I2491" s="2">
        <v>226.15</v>
      </c>
      <c r="J2491" t="str">
        <f>"0012936495140043"</f>
        <v>0012936495140043</v>
      </c>
    </row>
    <row r="2492" spans="1:10" x14ac:dyDescent="0.3">
      <c r="A2492" t="str">
        <f>""</f>
        <v/>
      </c>
      <c r="G2492" t="str">
        <f>"C60201707123599"</f>
        <v>C60201707123599</v>
      </c>
      <c r="H2492" t="str">
        <f>"00130730762012V300"</f>
        <v>00130730762012V300</v>
      </c>
      <c r="I2492" s="2">
        <v>399.32</v>
      </c>
      <c r="J2492" t="str">
        <f>"00130730762012V300"</f>
        <v>00130730762012V300</v>
      </c>
    </row>
    <row r="2493" spans="1:10" x14ac:dyDescent="0.3">
      <c r="A2493" t="str">
        <f>""</f>
        <v/>
      </c>
      <c r="G2493" t="str">
        <f>"C61201707123599"</f>
        <v>C61201707123599</v>
      </c>
      <c r="H2493" t="str">
        <f>"001174398213713"</f>
        <v>001174398213713</v>
      </c>
      <c r="I2493" s="2">
        <v>6.42</v>
      </c>
      <c r="J2493" t="str">
        <f>"001174398213713"</f>
        <v>001174398213713</v>
      </c>
    </row>
    <row r="2494" spans="1:10" x14ac:dyDescent="0.3">
      <c r="A2494" t="str">
        <f>""</f>
        <v/>
      </c>
      <c r="G2494" t="str">
        <f>"C62201707123599"</f>
        <v>C62201707123599</v>
      </c>
      <c r="H2494" t="str">
        <f>"# 0012128865"</f>
        <v># 0012128865</v>
      </c>
      <c r="I2494" s="2">
        <v>243.23</v>
      </c>
      <c r="J2494" t="str">
        <f>"# 0012128865"</f>
        <v># 0012128865</v>
      </c>
    </row>
    <row r="2495" spans="1:10" x14ac:dyDescent="0.3">
      <c r="A2495" t="str">
        <f>""</f>
        <v/>
      </c>
      <c r="G2495" t="str">
        <f>"C63201707123599"</f>
        <v>C63201707123599</v>
      </c>
      <c r="H2495" t="str">
        <f>"00132751231517246"</f>
        <v>00132751231517246</v>
      </c>
      <c r="I2495" s="2">
        <v>46.15</v>
      </c>
      <c r="J2495" t="str">
        <f>"00132751231517246"</f>
        <v>00132751231517246</v>
      </c>
    </row>
    <row r="2496" spans="1:10" x14ac:dyDescent="0.3">
      <c r="A2496" t="str">
        <f>""</f>
        <v/>
      </c>
      <c r="G2496" t="str">
        <f>"C65201707123599"</f>
        <v>C65201707123599</v>
      </c>
      <c r="H2496" t="str">
        <f>"12-14956"</f>
        <v>12-14956</v>
      </c>
      <c r="I2496" s="2">
        <v>411.1</v>
      </c>
      <c r="J2496" t="str">
        <f>"12-14956"</f>
        <v>12-14956</v>
      </c>
    </row>
    <row r="2497" spans="1:10" x14ac:dyDescent="0.3">
      <c r="A2497" t="str">
        <f>""</f>
        <v/>
      </c>
      <c r="G2497" t="str">
        <f>"C66201707123599"</f>
        <v>C66201707123599</v>
      </c>
      <c r="H2497" t="str">
        <f>"# 0012871801"</f>
        <v># 0012871801</v>
      </c>
      <c r="I2497" s="2">
        <v>90</v>
      </c>
      <c r="J2497" t="str">
        <f>"# 0012871801"</f>
        <v># 0012871801</v>
      </c>
    </row>
    <row r="2498" spans="1:10" x14ac:dyDescent="0.3">
      <c r="A2498" t="str">
        <f>""</f>
        <v/>
      </c>
      <c r="G2498" t="str">
        <f>"C66201707123601"</f>
        <v>C66201707123601</v>
      </c>
      <c r="H2498" t="str">
        <f>"CAUSE#D1FM13007058"</f>
        <v>CAUSE#D1FM13007058</v>
      </c>
      <c r="I2498" s="2">
        <v>138.46</v>
      </c>
      <c r="J2498" t="str">
        <f>"CAUSE#D1FM13007058"</f>
        <v>CAUSE#D1FM13007058</v>
      </c>
    </row>
    <row r="2499" spans="1:10" x14ac:dyDescent="0.3">
      <c r="A2499" t="str">
        <f>""</f>
        <v/>
      </c>
      <c r="G2499" t="str">
        <f>"C67201707123599"</f>
        <v>C67201707123599</v>
      </c>
      <c r="H2499" t="str">
        <f>"13154657"</f>
        <v>13154657</v>
      </c>
      <c r="I2499" s="2">
        <v>101.99</v>
      </c>
      <c r="J2499" t="str">
        <f>"13154657"</f>
        <v>13154657</v>
      </c>
    </row>
    <row r="2500" spans="1:10" x14ac:dyDescent="0.3">
      <c r="A2500" t="str">
        <f>"TAGO"</f>
        <v>TAGO</v>
      </c>
      <c r="B2500" t="s">
        <v>489</v>
      </c>
      <c r="C2500">
        <v>0</v>
      </c>
      <c r="D2500" s="2">
        <v>4023.6</v>
      </c>
      <c r="E2500" s="1">
        <v>42944</v>
      </c>
      <c r="F2500" t="s">
        <v>35</v>
      </c>
      <c r="G2500" t="str">
        <f>"C18201707263864"</f>
        <v>C18201707263864</v>
      </c>
      <c r="H2500" t="str">
        <f>"CAUSE# 0011635329"</f>
        <v>CAUSE# 0011635329</v>
      </c>
      <c r="I2500" s="2">
        <v>603.23</v>
      </c>
      <c r="J2500" t="str">
        <f>"CAUSE# 0011635329"</f>
        <v>CAUSE# 0011635329</v>
      </c>
    </row>
    <row r="2501" spans="1:10" x14ac:dyDescent="0.3">
      <c r="A2501" t="str">
        <f>""</f>
        <v/>
      </c>
      <c r="G2501" t="str">
        <f>"C2 201707263864"</f>
        <v>C2 201707263864</v>
      </c>
      <c r="H2501" t="str">
        <f>"0012982132CCL7445"</f>
        <v>0012982132CCL7445</v>
      </c>
      <c r="I2501" s="2">
        <v>692.31</v>
      </c>
      <c r="J2501" t="str">
        <f>"0012982132CCL7445"</f>
        <v>0012982132CCL7445</v>
      </c>
    </row>
    <row r="2502" spans="1:10" x14ac:dyDescent="0.3">
      <c r="A2502" t="str">
        <f>""</f>
        <v/>
      </c>
      <c r="G2502" t="str">
        <f>"C20201707263863"</f>
        <v>C20201707263863</v>
      </c>
      <c r="H2502" t="str">
        <f>"001003981107-12252"</f>
        <v>001003981107-12252</v>
      </c>
      <c r="I2502" s="2">
        <v>115.39</v>
      </c>
      <c r="J2502" t="str">
        <f>"001003981107-12252"</f>
        <v>001003981107-12252</v>
      </c>
    </row>
    <row r="2503" spans="1:10" x14ac:dyDescent="0.3">
      <c r="A2503" t="str">
        <f>""</f>
        <v/>
      </c>
      <c r="G2503" t="str">
        <f>"C39201707263863"</f>
        <v>C39201707263863</v>
      </c>
      <c r="H2503" t="str">
        <f>"0012352184423-1520"</f>
        <v>0012352184423-1520</v>
      </c>
      <c r="I2503" s="2">
        <v>273.23</v>
      </c>
      <c r="J2503" t="str">
        <f>"0012352184423-1520"</f>
        <v>0012352184423-1520</v>
      </c>
    </row>
    <row r="2504" spans="1:10" x14ac:dyDescent="0.3">
      <c r="A2504" t="str">
        <f>""</f>
        <v/>
      </c>
      <c r="G2504" t="str">
        <f>"C42201707263863"</f>
        <v>C42201707263863</v>
      </c>
      <c r="H2504" t="str">
        <f>"001236769211-14410"</f>
        <v>001236769211-14410</v>
      </c>
      <c r="I2504" s="2">
        <v>230.31</v>
      </c>
      <c r="J2504" t="str">
        <f>"001236769211-14410"</f>
        <v>001236769211-14410</v>
      </c>
    </row>
    <row r="2505" spans="1:10" x14ac:dyDescent="0.3">
      <c r="A2505" t="str">
        <f>""</f>
        <v/>
      </c>
      <c r="G2505" t="str">
        <f>"C46201707263863"</f>
        <v>C46201707263863</v>
      </c>
      <c r="H2505" t="str">
        <f>"CAUSE# 11-14911"</f>
        <v>CAUSE# 11-14911</v>
      </c>
      <c r="I2505" s="2">
        <v>238.62</v>
      </c>
      <c r="J2505" t="str">
        <f>"CAUSE# 11-14911"</f>
        <v>CAUSE# 11-14911</v>
      </c>
    </row>
    <row r="2506" spans="1:10" x14ac:dyDescent="0.3">
      <c r="A2506" t="str">
        <f>""</f>
        <v/>
      </c>
      <c r="G2506" t="str">
        <f>"C53201707263863"</f>
        <v>C53201707263863</v>
      </c>
      <c r="H2506" t="str">
        <f>"0012453366"</f>
        <v>0012453366</v>
      </c>
      <c r="I2506" s="2">
        <v>207.69</v>
      </c>
      <c r="J2506" t="str">
        <f>"0012453366"</f>
        <v>0012453366</v>
      </c>
    </row>
    <row r="2507" spans="1:10" x14ac:dyDescent="0.3">
      <c r="A2507" t="str">
        <f>""</f>
        <v/>
      </c>
      <c r="G2507" t="str">
        <f>"C59201707263863"</f>
        <v>C59201707263863</v>
      </c>
      <c r="H2507" t="str">
        <f>"0012936495140043"</f>
        <v>0012936495140043</v>
      </c>
      <c r="I2507" s="2">
        <v>226.15</v>
      </c>
      <c r="J2507" t="str">
        <f>"0012936495140043"</f>
        <v>0012936495140043</v>
      </c>
    </row>
    <row r="2508" spans="1:10" x14ac:dyDescent="0.3">
      <c r="A2508" t="str">
        <f>""</f>
        <v/>
      </c>
      <c r="G2508" t="str">
        <f>"C60201707263863"</f>
        <v>C60201707263863</v>
      </c>
      <c r="H2508" t="str">
        <f>"00130730762012V300"</f>
        <v>00130730762012V300</v>
      </c>
      <c r="I2508" s="2">
        <v>399.32</v>
      </c>
      <c r="J2508" t="str">
        <f>"00130730762012V300"</f>
        <v>00130730762012V300</v>
      </c>
    </row>
    <row r="2509" spans="1:10" x14ac:dyDescent="0.3">
      <c r="A2509" t="str">
        <f>""</f>
        <v/>
      </c>
      <c r="G2509" t="str">
        <f>"C61201707263863"</f>
        <v>C61201707263863</v>
      </c>
      <c r="H2509" t="str">
        <f>"001174398213713"</f>
        <v>001174398213713</v>
      </c>
      <c r="I2509" s="2">
        <v>6.42</v>
      </c>
      <c r="J2509" t="str">
        <f>"001174398213713"</f>
        <v>001174398213713</v>
      </c>
    </row>
    <row r="2510" spans="1:10" x14ac:dyDescent="0.3">
      <c r="A2510" t="str">
        <f>""</f>
        <v/>
      </c>
      <c r="G2510" t="str">
        <f>"C62201707263863"</f>
        <v>C62201707263863</v>
      </c>
      <c r="H2510" t="str">
        <f>"# 0012128865"</f>
        <v># 0012128865</v>
      </c>
      <c r="I2510" s="2">
        <v>243.23</v>
      </c>
      <c r="J2510" t="str">
        <f>"# 0012128865"</f>
        <v># 0012128865</v>
      </c>
    </row>
    <row r="2511" spans="1:10" x14ac:dyDescent="0.3">
      <c r="A2511" t="str">
        <f>""</f>
        <v/>
      </c>
      <c r="G2511" t="str">
        <f>"C63201707263863"</f>
        <v>C63201707263863</v>
      </c>
      <c r="H2511" t="str">
        <f>"00132751231517246"</f>
        <v>00132751231517246</v>
      </c>
      <c r="I2511" s="2">
        <v>46.15</v>
      </c>
      <c r="J2511" t="str">
        <f>"00132751231517246"</f>
        <v>00132751231517246</v>
      </c>
    </row>
    <row r="2512" spans="1:10" x14ac:dyDescent="0.3">
      <c r="A2512" t="str">
        <f>""</f>
        <v/>
      </c>
      <c r="G2512" t="str">
        <f>"C65201707263863"</f>
        <v>C65201707263863</v>
      </c>
      <c r="H2512" t="str">
        <f>"12-14956"</f>
        <v>12-14956</v>
      </c>
      <c r="I2512" s="2">
        <v>411.1</v>
      </c>
      <c r="J2512" t="str">
        <f>"12-14956"</f>
        <v>12-14956</v>
      </c>
    </row>
    <row r="2513" spans="1:10" x14ac:dyDescent="0.3">
      <c r="A2513" t="str">
        <f>""</f>
        <v/>
      </c>
      <c r="G2513" t="str">
        <f>"C66201707263863"</f>
        <v>C66201707263863</v>
      </c>
      <c r="H2513" t="str">
        <f>"# 0012871801"</f>
        <v># 0012871801</v>
      </c>
      <c r="I2513" s="2">
        <v>90</v>
      </c>
      <c r="J2513" t="str">
        <f>"# 0012871801"</f>
        <v># 0012871801</v>
      </c>
    </row>
    <row r="2514" spans="1:10" x14ac:dyDescent="0.3">
      <c r="A2514" t="str">
        <f>""</f>
        <v/>
      </c>
      <c r="G2514" t="str">
        <f>"C66201707263865"</f>
        <v>C66201707263865</v>
      </c>
      <c r="H2514" t="str">
        <f>"CAUSE#D1FM13007058"</f>
        <v>CAUSE#D1FM13007058</v>
      </c>
      <c r="I2514" s="2">
        <v>138.46</v>
      </c>
      <c r="J2514" t="str">
        <f>"CAUSE#D1FM13007058"</f>
        <v>CAUSE#D1FM13007058</v>
      </c>
    </row>
    <row r="2515" spans="1:10" x14ac:dyDescent="0.3">
      <c r="A2515" t="str">
        <f>""</f>
        <v/>
      </c>
      <c r="G2515" t="str">
        <f>"C67201707263863"</f>
        <v>C67201707263863</v>
      </c>
      <c r="H2515" t="str">
        <f>"13154657"</f>
        <v>13154657</v>
      </c>
      <c r="I2515" s="2">
        <v>101.99</v>
      </c>
      <c r="J2515" t="str">
        <f>"13154657"</f>
        <v>13154657</v>
      </c>
    </row>
    <row r="2516" spans="1:10" x14ac:dyDescent="0.3">
      <c r="A2516" t="str">
        <f>"TCDRS"</f>
        <v>TCDRS</v>
      </c>
      <c r="B2516" t="s">
        <v>490</v>
      </c>
      <c r="C2516">
        <v>0</v>
      </c>
      <c r="D2516" s="2">
        <v>301699.74</v>
      </c>
      <c r="E2516" s="1">
        <v>42944</v>
      </c>
      <c r="F2516" t="s">
        <v>35</v>
      </c>
      <c r="G2516" t="str">
        <f>"RET201707123599"</f>
        <v>RET201707123599</v>
      </c>
      <c r="H2516" t="str">
        <f>"TEXAS COUNTY &amp; DISTRICT RET"</f>
        <v>TEXAS COUNTY &amp; DISTRICT RET</v>
      </c>
      <c r="I2516" s="2">
        <v>137102.69</v>
      </c>
      <c r="J2516" t="str">
        <f t="shared" ref="J2516:J2547" si="46">"TEXAS COUNTY &amp; DISTRICT RET"</f>
        <v>TEXAS COUNTY &amp; DISTRICT RET</v>
      </c>
    </row>
    <row r="2517" spans="1:10" x14ac:dyDescent="0.3">
      <c r="A2517" t="str">
        <f>""</f>
        <v/>
      </c>
      <c r="G2517" t="str">
        <f>""</f>
        <v/>
      </c>
      <c r="H2517" t="str">
        <f>""</f>
        <v/>
      </c>
      <c r="J2517" t="str">
        <f t="shared" si="46"/>
        <v>TEXAS COUNTY &amp; DISTRICT RET</v>
      </c>
    </row>
    <row r="2518" spans="1:10" x14ac:dyDescent="0.3">
      <c r="A2518" t="str">
        <f>""</f>
        <v/>
      </c>
      <c r="G2518" t="str">
        <f>""</f>
        <v/>
      </c>
      <c r="H2518" t="str">
        <f>""</f>
        <v/>
      </c>
      <c r="J2518" t="str">
        <f t="shared" si="46"/>
        <v>TEXAS COUNTY &amp; DISTRICT RET</v>
      </c>
    </row>
    <row r="2519" spans="1:10" x14ac:dyDescent="0.3">
      <c r="A2519" t="str">
        <f>""</f>
        <v/>
      </c>
      <c r="G2519" t="str">
        <f>""</f>
        <v/>
      </c>
      <c r="H2519" t="str">
        <f>""</f>
        <v/>
      </c>
      <c r="J2519" t="str">
        <f t="shared" si="46"/>
        <v>TEXAS COUNTY &amp; DISTRICT RET</v>
      </c>
    </row>
    <row r="2520" spans="1:10" x14ac:dyDescent="0.3">
      <c r="A2520" t="str">
        <f>""</f>
        <v/>
      </c>
      <c r="G2520" t="str">
        <f>""</f>
        <v/>
      </c>
      <c r="H2520" t="str">
        <f>""</f>
        <v/>
      </c>
      <c r="J2520" t="str">
        <f t="shared" si="46"/>
        <v>TEXAS COUNTY &amp; DISTRICT RET</v>
      </c>
    </row>
    <row r="2521" spans="1:10" x14ac:dyDescent="0.3">
      <c r="A2521" t="str">
        <f>""</f>
        <v/>
      </c>
      <c r="G2521" t="str">
        <f>""</f>
        <v/>
      </c>
      <c r="H2521" t="str">
        <f>""</f>
        <v/>
      </c>
      <c r="J2521" t="str">
        <f t="shared" si="46"/>
        <v>TEXAS COUNTY &amp; DISTRICT RET</v>
      </c>
    </row>
    <row r="2522" spans="1:10" x14ac:dyDescent="0.3">
      <c r="A2522" t="str">
        <f>""</f>
        <v/>
      </c>
      <c r="G2522" t="str">
        <f>""</f>
        <v/>
      </c>
      <c r="H2522" t="str">
        <f>""</f>
        <v/>
      </c>
      <c r="J2522" t="str">
        <f t="shared" si="46"/>
        <v>TEXAS COUNTY &amp; DISTRICT RET</v>
      </c>
    </row>
    <row r="2523" spans="1:10" x14ac:dyDescent="0.3">
      <c r="A2523" t="str">
        <f>""</f>
        <v/>
      </c>
      <c r="G2523" t="str">
        <f>""</f>
        <v/>
      </c>
      <c r="H2523" t="str">
        <f>""</f>
        <v/>
      </c>
      <c r="J2523" t="str">
        <f t="shared" si="46"/>
        <v>TEXAS COUNTY &amp; DISTRICT RET</v>
      </c>
    </row>
    <row r="2524" spans="1:10" x14ac:dyDescent="0.3">
      <c r="A2524" t="str">
        <f>""</f>
        <v/>
      </c>
      <c r="G2524" t="str">
        <f>""</f>
        <v/>
      </c>
      <c r="H2524" t="str">
        <f>""</f>
        <v/>
      </c>
      <c r="J2524" t="str">
        <f t="shared" si="46"/>
        <v>TEXAS COUNTY &amp; DISTRICT RET</v>
      </c>
    </row>
    <row r="2525" spans="1:10" x14ac:dyDescent="0.3">
      <c r="A2525" t="str">
        <f>""</f>
        <v/>
      </c>
      <c r="G2525" t="str">
        <f>""</f>
        <v/>
      </c>
      <c r="H2525" t="str">
        <f>""</f>
        <v/>
      </c>
      <c r="J2525" t="str">
        <f t="shared" si="46"/>
        <v>TEXAS COUNTY &amp; DISTRICT RET</v>
      </c>
    </row>
    <row r="2526" spans="1:10" x14ac:dyDescent="0.3">
      <c r="A2526" t="str">
        <f>""</f>
        <v/>
      </c>
      <c r="G2526" t="str">
        <f>""</f>
        <v/>
      </c>
      <c r="H2526" t="str">
        <f>""</f>
        <v/>
      </c>
      <c r="J2526" t="str">
        <f t="shared" si="46"/>
        <v>TEXAS COUNTY &amp; DISTRICT RET</v>
      </c>
    </row>
    <row r="2527" spans="1:10" x14ac:dyDescent="0.3">
      <c r="A2527" t="str">
        <f>""</f>
        <v/>
      </c>
      <c r="G2527" t="str">
        <f>""</f>
        <v/>
      </c>
      <c r="H2527" t="str">
        <f>""</f>
        <v/>
      </c>
      <c r="J2527" t="str">
        <f t="shared" si="46"/>
        <v>TEXAS COUNTY &amp; DISTRICT RET</v>
      </c>
    </row>
    <row r="2528" spans="1:10" x14ac:dyDescent="0.3">
      <c r="A2528" t="str">
        <f>""</f>
        <v/>
      </c>
      <c r="G2528" t="str">
        <f>""</f>
        <v/>
      </c>
      <c r="H2528" t="str">
        <f>""</f>
        <v/>
      </c>
      <c r="J2528" t="str">
        <f t="shared" si="46"/>
        <v>TEXAS COUNTY &amp; DISTRICT RET</v>
      </c>
    </row>
    <row r="2529" spans="1:10" x14ac:dyDescent="0.3">
      <c r="A2529" t="str">
        <f>""</f>
        <v/>
      </c>
      <c r="G2529" t="str">
        <f>""</f>
        <v/>
      </c>
      <c r="H2529" t="str">
        <f>""</f>
        <v/>
      </c>
      <c r="J2529" t="str">
        <f t="shared" si="46"/>
        <v>TEXAS COUNTY &amp; DISTRICT RET</v>
      </c>
    </row>
    <row r="2530" spans="1:10" x14ac:dyDescent="0.3">
      <c r="A2530" t="str">
        <f>""</f>
        <v/>
      </c>
      <c r="G2530" t="str">
        <f>""</f>
        <v/>
      </c>
      <c r="H2530" t="str">
        <f>""</f>
        <v/>
      </c>
      <c r="J2530" t="str">
        <f t="shared" si="46"/>
        <v>TEXAS COUNTY &amp; DISTRICT RET</v>
      </c>
    </row>
    <row r="2531" spans="1:10" x14ac:dyDescent="0.3">
      <c r="A2531" t="str">
        <f>""</f>
        <v/>
      </c>
      <c r="G2531" t="str">
        <f>""</f>
        <v/>
      </c>
      <c r="H2531" t="str">
        <f>""</f>
        <v/>
      </c>
      <c r="J2531" t="str">
        <f t="shared" si="46"/>
        <v>TEXAS COUNTY &amp; DISTRICT RET</v>
      </c>
    </row>
    <row r="2532" spans="1:10" x14ac:dyDescent="0.3">
      <c r="A2532" t="str">
        <f>""</f>
        <v/>
      </c>
      <c r="G2532" t="str">
        <f>""</f>
        <v/>
      </c>
      <c r="H2532" t="str">
        <f>""</f>
        <v/>
      </c>
      <c r="J2532" t="str">
        <f t="shared" si="46"/>
        <v>TEXAS COUNTY &amp; DISTRICT RET</v>
      </c>
    </row>
    <row r="2533" spans="1:10" x14ac:dyDescent="0.3">
      <c r="A2533" t="str">
        <f>""</f>
        <v/>
      </c>
      <c r="G2533" t="str">
        <f>""</f>
        <v/>
      </c>
      <c r="H2533" t="str">
        <f>""</f>
        <v/>
      </c>
      <c r="J2533" t="str">
        <f t="shared" si="46"/>
        <v>TEXAS COUNTY &amp; DISTRICT RET</v>
      </c>
    </row>
    <row r="2534" spans="1:10" x14ac:dyDescent="0.3">
      <c r="A2534" t="str">
        <f>""</f>
        <v/>
      </c>
      <c r="G2534" t="str">
        <f>""</f>
        <v/>
      </c>
      <c r="H2534" t="str">
        <f>""</f>
        <v/>
      </c>
      <c r="J2534" t="str">
        <f t="shared" si="46"/>
        <v>TEXAS COUNTY &amp; DISTRICT RET</v>
      </c>
    </row>
    <row r="2535" spans="1:10" x14ac:dyDescent="0.3">
      <c r="A2535" t="str">
        <f>""</f>
        <v/>
      </c>
      <c r="G2535" t="str">
        <f>""</f>
        <v/>
      </c>
      <c r="H2535" t="str">
        <f>""</f>
        <v/>
      </c>
      <c r="J2535" t="str">
        <f t="shared" si="46"/>
        <v>TEXAS COUNTY &amp; DISTRICT RET</v>
      </c>
    </row>
    <row r="2536" spans="1:10" x14ac:dyDescent="0.3">
      <c r="A2536" t="str">
        <f>""</f>
        <v/>
      </c>
      <c r="G2536" t="str">
        <f>""</f>
        <v/>
      </c>
      <c r="H2536" t="str">
        <f>""</f>
        <v/>
      </c>
      <c r="J2536" t="str">
        <f t="shared" si="46"/>
        <v>TEXAS COUNTY &amp; DISTRICT RET</v>
      </c>
    </row>
    <row r="2537" spans="1:10" x14ac:dyDescent="0.3">
      <c r="A2537" t="str">
        <f>""</f>
        <v/>
      </c>
      <c r="G2537" t="str">
        <f>""</f>
        <v/>
      </c>
      <c r="H2537" t="str">
        <f>""</f>
        <v/>
      </c>
      <c r="J2537" t="str">
        <f t="shared" si="46"/>
        <v>TEXAS COUNTY &amp; DISTRICT RET</v>
      </c>
    </row>
    <row r="2538" spans="1:10" x14ac:dyDescent="0.3">
      <c r="A2538" t="str">
        <f>""</f>
        <v/>
      </c>
      <c r="G2538" t="str">
        <f>""</f>
        <v/>
      </c>
      <c r="H2538" t="str">
        <f>""</f>
        <v/>
      </c>
      <c r="J2538" t="str">
        <f t="shared" si="46"/>
        <v>TEXAS COUNTY &amp; DISTRICT RET</v>
      </c>
    </row>
    <row r="2539" spans="1:10" x14ac:dyDescent="0.3">
      <c r="A2539" t="str">
        <f>""</f>
        <v/>
      </c>
      <c r="G2539" t="str">
        <f>""</f>
        <v/>
      </c>
      <c r="H2539" t="str">
        <f>""</f>
        <v/>
      </c>
      <c r="J2539" t="str">
        <f t="shared" si="46"/>
        <v>TEXAS COUNTY &amp; DISTRICT RET</v>
      </c>
    </row>
    <row r="2540" spans="1:10" x14ac:dyDescent="0.3">
      <c r="A2540" t="str">
        <f>""</f>
        <v/>
      </c>
      <c r="G2540" t="str">
        <f>""</f>
        <v/>
      </c>
      <c r="H2540" t="str">
        <f>""</f>
        <v/>
      </c>
      <c r="J2540" t="str">
        <f t="shared" si="46"/>
        <v>TEXAS COUNTY &amp; DISTRICT RET</v>
      </c>
    </row>
    <row r="2541" spans="1:10" x14ac:dyDescent="0.3">
      <c r="A2541" t="str">
        <f>""</f>
        <v/>
      </c>
      <c r="G2541" t="str">
        <f>""</f>
        <v/>
      </c>
      <c r="H2541" t="str">
        <f>""</f>
        <v/>
      </c>
      <c r="J2541" t="str">
        <f t="shared" si="46"/>
        <v>TEXAS COUNTY &amp; DISTRICT RET</v>
      </c>
    </row>
    <row r="2542" spans="1:10" x14ac:dyDescent="0.3">
      <c r="A2542" t="str">
        <f>""</f>
        <v/>
      </c>
      <c r="G2542" t="str">
        <f>""</f>
        <v/>
      </c>
      <c r="H2542" t="str">
        <f>""</f>
        <v/>
      </c>
      <c r="J2542" t="str">
        <f t="shared" si="46"/>
        <v>TEXAS COUNTY &amp; DISTRICT RET</v>
      </c>
    </row>
    <row r="2543" spans="1:10" x14ac:dyDescent="0.3">
      <c r="A2543" t="str">
        <f>""</f>
        <v/>
      </c>
      <c r="G2543" t="str">
        <f>""</f>
        <v/>
      </c>
      <c r="H2543" t="str">
        <f>""</f>
        <v/>
      </c>
      <c r="J2543" t="str">
        <f t="shared" si="46"/>
        <v>TEXAS COUNTY &amp; DISTRICT RET</v>
      </c>
    </row>
    <row r="2544" spans="1:10" x14ac:dyDescent="0.3">
      <c r="A2544" t="str">
        <f>""</f>
        <v/>
      </c>
      <c r="G2544" t="str">
        <f>""</f>
        <v/>
      </c>
      <c r="H2544" t="str">
        <f>""</f>
        <v/>
      </c>
      <c r="J2544" t="str">
        <f t="shared" si="46"/>
        <v>TEXAS COUNTY &amp; DISTRICT RET</v>
      </c>
    </row>
    <row r="2545" spans="1:10" x14ac:dyDescent="0.3">
      <c r="A2545" t="str">
        <f>""</f>
        <v/>
      </c>
      <c r="G2545" t="str">
        <f>""</f>
        <v/>
      </c>
      <c r="H2545" t="str">
        <f>""</f>
        <v/>
      </c>
      <c r="J2545" t="str">
        <f t="shared" si="46"/>
        <v>TEXAS COUNTY &amp; DISTRICT RET</v>
      </c>
    </row>
    <row r="2546" spans="1:10" x14ac:dyDescent="0.3">
      <c r="A2546" t="str">
        <f>""</f>
        <v/>
      </c>
      <c r="G2546" t="str">
        <f>""</f>
        <v/>
      </c>
      <c r="H2546" t="str">
        <f>""</f>
        <v/>
      </c>
      <c r="J2546" t="str">
        <f t="shared" si="46"/>
        <v>TEXAS COUNTY &amp; DISTRICT RET</v>
      </c>
    </row>
    <row r="2547" spans="1:10" x14ac:dyDescent="0.3">
      <c r="A2547" t="str">
        <f>""</f>
        <v/>
      </c>
      <c r="G2547" t="str">
        <f>""</f>
        <v/>
      </c>
      <c r="H2547" t="str">
        <f>""</f>
        <v/>
      </c>
      <c r="J2547" t="str">
        <f t="shared" si="46"/>
        <v>TEXAS COUNTY &amp; DISTRICT RET</v>
      </c>
    </row>
    <row r="2548" spans="1:10" x14ac:dyDescent="0.3">
      <c r="A2548" t="str">
        <f>""</f>
        <v/>
      </c>
      <c r="G2548" t="str">
        <f>""</f>
        <v/>
      </c>
      <c r="H2548" t="str">
        <f>""</f>
        <v/>
      </c>
      <c r="J2548" t="str">
        <f t="shared" ref="J2548:J2566" si="47">"TEXAS COUNTY &amp; DISTRICT RET"</f>
        <v>TEXAS COUNTY &amp; DISTRICT RET</v>
      </c>
    </row>
    <row r="2549" spans="1:10" x14ac:dyDescent="0.3">
      <c r="A2549" t="str">
        <f>""</f>
        <v/>
      </c>
      <c r="G2549" t="str">
        <f>""</f>
        <v/>
      </c>
      <c r="H2549" t="str">
        <f>""</f>
        <v/>
      </c>
      <c r="J2549" t="str">
        <f t="shared" si="47"/>
        <v>TEXAS COUNTY &amp; DISTRICT RET</v>
      </c>
    </row>
    <row r="2550" spans="1:10" x14ac:dyDescent="0.3">
      <c r="A2550" t="str">
        <f>""</f>
        <v/>
      </c>
      <c r="G2550" t="str">
        <f>""</f>
        <v/>
      </c>
      <c r="H2550" t="str">
        <f>""</f>
        <v/>
      </c>
      <c r="J2550" t="str">
        <f t="shared" si="47"/>
        <v>TEXAS COUNTY &amp; DISTRICT RET</v>
      </c>
    </row>
    <row r="2551" spans="1:10" x14ac:dyDescent="0.3">
      <c r="A2551" t="str">
        <f>""</f>
        <v/>
      </c>
      <c r="G2551" t="str">
        <f>""</f>
        <v/>
      </c>
      <c r="H2551" t="str">
        <f>""</f>
        <v/>
      </c>
      <c r="J2551" t="str">
        <f t="shared" si="47"/>
        <v>TEXAS COUNTY &amp; DISTRICT RET</v>
      </c>
    </row>
    <row r="2552" spans="1:10" x14ac:dyDescent="0.3">
      <c r="A2552" t="str">
        <f>""</f>
        <v/>
      </c>
      <c r="G2552" t="str">
        <f>""</f>
        <v/>
      </c>
      <c r="H2552" t="str">
        <f>""</f>
        <v/>
      </c>
      <c r="J2552" t="str">
        <f t="shared" si="47"/>
        <v>TEXAS COUNTY &amp; DISTRICT RET</v>
      </c>
    </row>
    <row r="2553" spans="1:10" x14ac:dyDescent="0.3">
      <c r="A2553" t="str">
        <f>""</f>
        <v/>
      </c>
      <c r="G2553" t="str">
        <f>""</f>
        <v/>
      </c>
      <c r="H2553" t="str">
        <f>""</f>
        <v/>
      </c>
      <c r="J2553" t="str">
        <f t="shared" si="47"/>
        <v>TEXAS COUNTY &amp; DISTRICT RET</v>
      </c>
    </row>
    <row r="2554" spans="1:10" x14ac:dyDescent="0.3">
      <c r="A2554" t="str">
        <f>""</f>
        <v/>
      </c>
      <c r="G2554" t="str">
        <f>""</f>
        <v/>
      </c>
      <c r="H2554" t="str">
        <f>""</f>
        <v/>
      </c>
      <c r="J2554" t="str">
        <f t="shared" si="47"/>
        <v>TEXAS COUNTY &amp; DISTRICT RET</v>
      </c>
    </row>
    <row r="2555" spans="1:10" x14ac:dyDescent="0.3">
      <c r="A2555" t="str">
        <f>""</f>
        <v/>
      </c>
      <c r="G2555" t="str">
        <f>""</f>
        <v/>
      </c>
      <c r="H2555" t="str">
        <f>""</f>
        <v/>
      </c>
      <c r="J2555" t="str">
        <f t="shared" si="47"/>
        <v>TEXAS COUNTY &amp; DISTRICT RET</v>
      </c>
    </row>
    <row r="2556" spans="1:10" x14ac:dyDescent="0.3">
      <c r="A2556" t="str">
        <f>""</f>
        <v/>
      </c>
      <c r="G2556" t="str">
        <f>""</f>
        <v/>
      </c>
      <c r="H2556" t="str">
        <f>""</f>
        <v/>
      </c>
      <c r="J2556" t="str">
        <f t="shared" si="47"/>
        <v>TEXAS COUNTY &amp; DISTRICT RET</v>
      </c>
    </row>
    <row r="2557" spans="1:10" x14ac:dyDescent="0.3">
      <c r="A2557" t="str">
        <f>""</f>
        <v/>
      </c>
      <c r="G2557" t="str">
        <f>""</f>
        <v/>
      </c>
      <c r="H2557" t="str">
        <f>""</f>
        <v/>
      </c>
      <c r="J2557" t="str">
        <f t="shared" si="47"/>
        <v>TEXAS COUNTY &amp; DISTRICT RET</v>
      </c>
    </row>
    <row r="2558" spans="1:10" x14ac:dyDescent="0.3">
      <c r="A2558" t="str">
        <f>""</f>
        <v/>
      </c>
      <c r="G2558" t="str">
        <f>""</f>
        <v/>
      </c>
      <c r="H2558" t="str">
        <f>""</f>
        <v/>
      </c>
      <c r="J2558" t="str">
        <f t="shared" si="47"/>
        <v>TEXAS COUNTY &amp; DISTRICT RET</v>
      </c>
    </row>
    <row r="2559" spans="1:10" x14ac:dyDescent="0.3">
      <c r="A2559" t="str">
        <f>""</f>
        <v/>
      </c>
      <c r="G2559" t="str">
        <f>""</f>
        <v/>
      </c>
      <c r="H2559" t="str">
        <f>""</f>
        <v/>
      </c>
      <c r="J2559" t="str">
        <f t="shared" si="47"/>
        <v>TEXAS COUNTY &amp; DISTRICT RET</v>
      </c>
    </row>
    <row r="2560" spans="1:10" x14ac:dyDescent="0.3">
      <c r="A2560" t="str">
        <f>""</f>
        <v/>
      </c>
      <c r="G2560" t="str">
        <f>""</f>
        <v/>
      </c>
      <c r="H2560" t="str">
        <f>""</f>
        <v/>
      </c>
      <c r="J2560" t="str">
        <f t="shared" si="47"/>
        <v>TEXAS COUNTY &amp; DISTRICT RET</v>
      </c>
    </row>
    <row r="2561" spans="1:10" x14ac:dyDescent="0.3">
      <c r="A2561" t="str">
        <f>""</f>
        <v/>
      </c>
      <c r="G2561" t="str">
        <f>""</f>
        <v/>
      </c>
      <c r="H2561" t="str">
        <f>""</f>
        <v/>
      </c>
      <c r="J2561" t="str">
        <f t="shared" si="47"/>
        <v>TEXAS COUNTY &amp; DISTRICT RET</v>
      </c>
    </row>
    <row r="2562" spans="1:10" x14ac:dyDescent="0.3">
      <c r="A2562" t="str">
        <f>""</f>
        <v/>
      </c>
      <c r="G2562" t="str">
        <f>""</f>
        <v/>
      </c>
      <c r="H2562" t="str">
        <f>""</f>
        <v/>
      </c>
      <c r="J2562" t="str">
        <f t="shared" si="47"/>
        <v>TEXAS COUNTY &amp; DISTRICT RET</v>
      </c>
    </row>
    <row r="2563" spans="1:10" x14ac:dyDescent="0.3">
      <c r="A2563" t="str">
        <f>""</f>
        <v/>
      </c>
      <c r="G2563" t="str">
        <f>""</f>
        <v/>
      </c>
      <c r="H2563" t="str">
        <f>""</f>
        <v/>
      </c>
      <c r="J2563" t="str">
        <f t="shared" si="47"/>
        <v>TEXAS COUNTY &amp; DISTRICT RET</v>
      </c>
    </row>
    <row r="2564" spans="1:10" x14ac:dyDescent="0.3">
      <c r="A2564" t="str">
        <f>""</f>
        <v/>
      </c>
      <c r="G2564" t="str">
        <f>""</f>
        <v/>
      </c>
      <c r="H2564" t="str">
        <f>""</f>
        <v/>
      </c>
      <c r="J2564" t="str">
        <f t="shared" si="47"/>
        <v>TEXAS COUNTY &amp; DISTRICT RET</v>
      </c>
    </row>
    <row r="2565" spans="1:10" x14ac:dyDescent="0.3">
      <c r="A2565" t="str">
        <f>""</f>
        <v/>
      </c>
      <c r="G2565" t="str">
        <f>""</f>
        <v/>
      </c>
      <c r="H2565" t="str">
        <f>""</f>
        <v/>
      </c>
      <c r="J2565" t="str">
        <f t="shared" si="47"/>
        <v>TEXAS COUNTY &amp; DISTRICT RET</v>
      </c>
    </row>
    <row r="2566" spans="1:10" x14ac:dyDescent="0.3">
      <c r="A2566" t="str">
        <f>""</f>
        <v/>
      </c>
      <c r="G2566" t="str">
        <f>""</f>
        <v/>
      </c>
      <c r="H2566" t="str">
        <f>""</f>
        <v/>
      </c>
      <c r="J2566" t="str">
        <f t="shared" si="47"/>
        <v>TEXAS COUNTY &amp; DISTRICT RET</v>
      </c>
    </row>
    <row r="2567" spans="1:10" x14ac:dyDescent="0.3">
      <c r="A2567" t="str">
        <f>""</f>
        <v/>
      </c>
      <c r="G2567" t="str">
        <f>"RET201707123600"</f>
        <v>RET201707123600</v>
      </c>
      <c r="H2567" t="str">
        <f>"TEXAS COUNTY  DISTRICT RET"</f>
        <v>TEXAS COUNTY  DISTRICT RET</v>
      </c>
      <c r="I2567" s="2">
        <v>5562.57</v>
      </c>
      <c r="J2567" t="str">
        <f>"TEXAS COUNTY  DISTRICT RET"</f>
        <v>TEXAS COUNTY  DISTRICT RET</v>
      </c>
    </row>
    <row r="2568" spans="1:10" x14ac:dyDescent="0.3">
      <c r="A2568" t="str">
        <f>""</f>
        <v/>
      </c>
      <c r="G2568" t="str">
        <f>""</f>
        <v/>
      </c>
      <c r="H2568" t="str">
        <f>""</f>
        <v/>
      </c>
      <c r="J2568" t="str">
        <f>"TEXAS COUNTY  DISTRICT RET"</f>
        <v>TEXAS COUNTY  DISTRICT RET</v>
      </c>
    </row>
    <row r="2569" spans="1:10" x14ac:dyDescent="0.3">
      <c r="A2569" t="str">
        <f>""</f>
        <v/>
      </c>
      <c r="G2569" t="str">
        <f>"RET201707123601"</f>
        <v>RET201707123601</v>
      </c>
      <c r="H2569" t="str">
        <f>"TEXAS COUNTY &amp; DISTRICT RET"</f>
        <v>TEXAS COUNTY &amp; DISTRICT RET</v>
      </c>
      <c r="I2569" s="2">
        <v>7873.23</v>
      </c>
      <c r="J2569" t="str">
        <f t="shared" ref="J2569:J2600" si="48">"TEXAS COUNTY &amp; DISTRICT RET"</f>
        <v>TEXAS COUNTY &amp; DISTRICT RET</v>
      </c>
    </row>
    <row r="2570" spans="1:10" x14ac:dyDescent="0.3">
      <c r="A2570" t="str">
        <f>""</f>
        <v/>
      </c>
      <c r="G2570" t="str">
        <f>""</f>
        <v/>
      </c>
      <c r="H2570" t="str">
        <f>""</f>
        <v/>
      </c>
      <c r="J2570" t="str">
        <f t="shared" si="48"/>
        <v>TEXAS COUNTY &amp; DISTRICT RET</v>
      </c>
    </row>
    <row r="2571" spans="1:10" x14ac:dyDescent="0.3">
      <c r="A2571" t="str">
        <f>""</f>
        <v/>
      </c>
      <c r="G2571" t="str">
        <f>"RET201707123606"</f>
        <v>RET201707123606</v>
      </c>
      <c r="H2571" t="str">
        <f>"TEXAS COUNTY &amp; DISTRICT RET"</f>
        <v>TEXAS COUNTY &amp; DISTRICT RET</v>
      </c>
      <c r="I2571" s="2">
        <v>1366.13</v>
      </c>
      <c r="J2571" t="str">
        <f t="shared" si="48"/>
        <v>TEXAS COUNTY &amp; DISTRICT RET</v>
      </c>
    </row>
    <row r="2572" spans="1:10" x14ac:dyDescent="0.3">
      <c r="A2572" t="str">
        <f>""</f>
        <v/>
      </c>
      <c r="G2572" t="str">
        <f>""</f>
        <v/>
      </c>
      <c r="H2572" t="str">
        <f>""</f>
        <v/>
      </c>
      <c r="J2572" t="str">
        <f t="shared" si="48"/>
        <v>TEXAS COUNTY &amp; DISTRICT RET</v>
      </c>
    </row>
    <row r="2573" spans="1:10" x14ac:dyDescent="0.3">
      <c r="A2573" t="str">
        <f>""</f>
        <v/>
      </c>
      <c r="G2573" t="str">
        <f>"RET201707263863"</f>
        <v>RET201707263863</v>
      </c>
      <c r="H2573" t="str">
        <f>"TEXAS COUNTY &amp; DISTRICT RET"</f>
        <v>TEXAS COUNTY &amp; DISTRICT RET</v>
      </c>
      <c r="I2573" s="2">
        <v>136154.85</v>
      </c>
      <c r="J2573" t="str">
        <f t="shared" si="48"/>
        <v>TEXAS COUNTY &amp; DISTRICT RET</v>
      </c>
    </row>
    <row r="2574" spans="1:10" x14ac:dyDescent="0.3">
      <c r="A2574" t="str">
        <f>""</f>
        <v/>
      </c>
      <c r="G2574" t="str">
        <f>""</f>
        <v/>
      </c>
      <c r="H2574" t="str">
        <f>""</f>
        <v/>
      </c>
      <c r="J2574" t="str">
        <f t="shared" si="48"/>
        <v>TEXAS COUNTY &amp; DISTRICT RET</v>
      </c>
    </row>
    <row r="2575" spans="1:10" x14ac:dyDescent="0.3">
      <c r="A2575" t="str">
        <f>""</f>
        <v/>
      </c>
      <c r="G2575" t="str">
        <f>""</f>
        <v/>
      </c>
      <c r="H2575" t="str">
        <f>""</f>
        <v/>
      </c>
      <c r="J2575" t="str">
        <f t="shared" si="48"/>
        <v>TEXAS COUNTY &amp; DISTRICT RET</v>
      </c>
    </row>
    <row r="2576" spans="1:10" x14ac:dyDescent="0.3">
      <c r="A2576" t="str">
        <f>""</f>
        <v/>
      </c>
      <c r="G2576" t="str">
        <f>""</f>
        <v/>
      </c>
      <c r="H2576" t="str">
        <f>""</f>
        <v/>
      </c>
      <c r="J2576" t="str">
        <f t="shared" si="48"/>
        <v>TEXAS COUNTY &amp; DISTRICT RET</v>
      </c>
    </row>
    <row r="2577" spans="1:10" x14ac:dyDescent="0.3">
      <c r="A2577" t="str">
        <f>""</f>
        <v/>
      </c>
      <c r="G2577" t="str">
        <f>""</f>
        <v/>
      </c>
      <c r="H2577" t="str">
        <f>""</f>
        <v/>
      </c>
      <c r="J2577" t="str">
        <f t="shared" si="48"/>
        <v>TEXAS COUNTY &amp; DISTRICT RET</v>
      </c>
    </row>
    <row r="2578" spans="1:10" x14ac:dyDescent="0.3">
      <c r="A2578" t="str">
        <f>""</f>
        <v/>
      </c>
      <c r="G2578" t="str">
        <f>""</f>
        <v/>
      </c>
      <c r="H2578" t="str">
        <f>""</f>
        <v/>
      </c>
      <c r="J2578" t="str">
        <f t="shared" si="48"/>
        <v>TEXAS COUNTY &amp; DISTRICT RET</v>
      </c>
    </row>
    <row r="2579" spans="1:10" x14ac:dyDescent="0.3">
      <c r="A2579" t="str">
        <f>""</f>
        <v/>
      </c>
      <c r="G2579" t="str">
        <f>""</f>
        <v/>
      </c>
      <c r="H2579" t="str">
        <f>""</f>
        <v/>
      </c>
      <c r="J2579" t="str">
        <f t="shared" si="48"/>
        <v>TEXAS COUNTY &amp; DISTRICT RET</v>
      </c>
    </row>
    <row r="2580" spans="1:10" x14ac:dyDescent="0.3">
      <c r="A2580" t="str">
        <f>""</f>
        <v/>
      </c>
      <c r="G2580" t="str">
        <f>""</f>
        <v/>
      </c>
      <c r="H2580" t="str">
        <f>""</f>
        <v/>
      </c>
      <c r="J2580" t="str">
        <f t="shared" si="48"/>
        <v>TEXAS COUNTY &amp; DISTRICT RET</v>
      </c>
    </row>
    <row r="2581" spans="1:10" x14ac:dyDescent="0.3">
      <c r="A2581" t="str">
        <f>""</f>
        <v/>
      </c>
      <c r="G2581" t="str">
        <f>""</f>
        <v/>
      </c>
      <c r="H2581" t="str">
        <f>""</f>
        <v/>
      </c>
      <c r="J2581" t="str">
        <f t="shared" si="48"/>
        <v>TEXAS COUNTY &amp; DISTRICT RET</v>
      </c>
    </row>
    <row r="2582" spans="1:10" x14ac:dyDescent="0.3">
      <c r="A2582" t="str">
        <f>""</f>
        <v/>
      </c>
      <c r="G2582" t="str">
        <f>""</f>
        <v/>
      </c>
      <c r="H2582" t="str">
        <f>""</f>
        <v/>
      </c>
      <c r="J2582" t="str">
        <f t="shared" si="48"/>
        <v>TEXAS COUNTY &amp; DISTRICT RET</v>
      </c>
    </row>
    <row r="2583" spans="1:10" x14ac:dyDescent="0.3">
      <c r="A2583" t="str">
        <f>""</f>
        <v/>
      </c>
      <c r="G2583" t="str">
        <f>""</f>
        <v/>
      </c>
      <c r="H2583" t="str">
        <f>""</f>
        <v/>
      </c>
      <c r="J2583" t="str">
        <f t="shared" si="48"/>
        <v>TEXAS COUNTY &amp; DISTRICT RET</v>
      </c>
    </row>
    <row r="2584" spans="1:10" x14ac:dyDescent="0.3">
      <c r="A2584" t="str">
        <f>""</f>
        <v/>
      </c>
      <c r="G2584" t="str">
        <f>""</f>
        <v/>
      </c>
      <c r="H2584" t="str">
        <f>""</f>
        <v/>
      </c>
      <c r="J2584" t="str">
        <f t="shared" si="48"/>
        <v>TEXAS COUNTY &amp; DISTRICT RET</v>
      </c>
    </row>
    <row r="2585" spans="1:10" x14ac:dyDescent="0.3">
      <c r="A2585" t="str">
        <f>""</f>
        <v/>
      </c>
      <c r="G2585" t="str">
        <f>""</f>
        <v/>
      </c>
      <c r="H2585" t="str">
        <f>""</f>
        <v/>
      </c>
      <c r="J2585" t="str">
        <f t="shared" si="48"/>
        <v>TEXAS COUNTY &amp; DISTRICT RET</v>
      </c>
    </row>
    <row r="2586" spans="1:10" x14ac:dyDescent="0.3">
      <c r="A2586" t="str">
        <f>""</f>
        <v/>
      </c>
      <c r="G2586" t="str">
        <f>""</f>
        <v/>
      </c>
      <c r="H2586" t="str">
        <f>""</f>
        <v/>
      </c>
      <c r="J2586" t="str">
        <f t="shared" si="48"/>
        <v>TEXAS COUNTY &amp; DISTRICT RET</v>
      </c>
    </row>
    <row r="2587" spans="1:10" x14ac:dyDescent="0.3">
      <c r="A2587" t="str">
        <f>""</f>
        <v/>
      </c>
      <c r="G2587" t="str">
        <f>""</f>
        <v/>
      </c>
      <c r="H2587" t="str">
        <f>""</f>
        <v/>
      </c>
      <c r="J2587" t="str">
        <f t="shared" si="48"/>
        <v>TEXAS COUNTY &amp; DISTRICT RET</v>
      </c>
    </row>
    <row r="2588" spans="1:10" x14ac:dyDescent="0.3">
      <c r="A2588" t="str">
        <f>""</f>
        <v/>
      </c>
      <c r="G2588" t="str">
        <f>""</f>
        <v/>
      </c>
      <c r="H2588" t="str">
        <f>""</f>
        <v/>
      </c>
      <c r="J2588" t="str">
        <f t="shared" si="48"/>
        <v>TEXAS COUNTY &amp; DISTRICT RET</v>
      </c>
    </row>
    <row r="2589" spans="1:10" x14ac:dyDescent="0.3">
      <c r="A2589" t="str">
        <f>""</f>
        <v/>
      </c>
      <c r="G2589" t="str">
        <f>""</f>
        <v/>
      </c>
      <c r="H2589" t="str">
        <f>""</f>
        <v/>
      </c>
      <c r="J2589" t="str">
        <f t="shared" si="48"/>
        <v>TEXAS COUNTY &amp; DISTRICT RET</v>
      </c>
    </row>
    <row r="2590" spans="1:10" x14ac:dyDescent="0.3">
      <c r="A2590" t="str">
        <f>""</f>
        <v/>
      </c>
      <c r="G2590" t="str">
        <f>""</f>
        <v/>
      </c>
      <c r="H2590" t="str">
        <f>""</f>
        <v/>
      </c>
      <c r="J2590" t="str">
        <f t="shared" si="48"/>
        <v>TEXAS COUNTY &amp; DISTRICT RET</v>
      </c>
    </row>
    <row r="2591" spans="1:10" x14ac:dyDescent="0.3">
      <c r="A2591" t="str">
        <f>""</f>
        <v/>
      </c>
      <c r="G2591" t="str">
        <f>""</f>
        <v/>
      </c>
      <c r="H2591" t="str">
        <f>""</f>
        <v/>
      </c>
      <c r="J2591" t="str">
        <f t="shared" si="48"/>
        <v>TEXAS COUNTY &amp; DISTRICT RET</v>
      </c>
    </row>
    <row r="2592" spans="1:10" x14ac:dyDescent="0.3">
      <c r="A2592" t="str">
        <f>""</f>
        <v/>
      </c>
      <c r="G2592" t="str">
        <f>""</f>
        <v/>
      </c>
      <c r="H2592" t="str">
        <f>""</f>
        <v/>
      </c>
      <c r="J2592" t="str">
        <f t="shared" si="48"/>
        <v>TEXAS COUNTY &amp; DISTRICT RET</v>
      </c>
    </row>
    <row r="2593" spans="1:10" x14ac:dyDescent="0.3">
      <c r="A2593" t="str">
        <f>""</f>
        <v/>
      </c>
      <c r="G2593" t="str">
        <f>""</f>
        <v/>
      </c>
      <c r="H2593" t="str">
        <f>""</f>
        <v/>
      </c>
      <c r="J2593" t="str">
        <f t="shared" si="48"/>
        <v>TEXAS COUNTY &amp; DISTRICT RET</v>
      </c>
    </row>
    <row r="2594" spans="1:10" x14ac:dyDescent="0.3">
      <c r="A2594" t="str">
        <f>""</f>
        <v/>
      </c>
      <c r="G2594" t="str">
        <f>""</f>
        <v/>
      </c>
      <c r="H2594" t="str">
        <f>""</f>
        <v/>
      </c>
      <c r="J2594" t="str">
        <f t="shared" si="48"/>
        <v>TEXAS COUNTY &amp; DISTRICT RET</v>
      </c>
    </row>
    <row r="2595" spans="1:10" x14ac:dyDescent="0.3">
      <c r="A2595" t="str">
        <f>""</f>
        <v/>
      </c>
      <c r="G2595" t="str">
        <f>""</f>
        <v/>
      </c>
      <c r="H2595" t="str">
        <f>""</f>
        <v/>
      </c>
      <c r="J2595" t="str">
        <f t="shared" si="48"/>
        <v>TEXAS COUNTY &amp; DISTRICT RET</v>
      </c>
    </row>
    <row r="2596" spans="1:10" x14ac:dyDescent="0.3">
      <c r="A2596" t="str">
        <f>""</f>
        <v/>
      </c>
      <c r="G2596" t="str">
        <f>""</f>
        <v/>
      </c>
      <c r="H2596" t="str">
        <f>""</f>
        <v/>
      </c>
      <c r="J2596" t="str">
        <f t="shared" si="48"/>
        <v>TEXAS COUNTY &amp; DISTRICT RET</v>
      </c>
    </row>
    <row r="2597" spans="1:10" x14ac:dyDescent="0.3">
      <c r="A2597" t="str">
        <f>""</f>
        <v/>
      </c>
      <c r="G2597" t="str">
        <f>""</f>
        <v/>
      </c>
      <c r="H2597" t="str">
        <f>""</f>
        <v/>
      </c>
      <c r="J2597" t="str">
        <f t="shared" si="48"/>
        <v>TEXAS COUNTY &amp; DISTRICT RET</v>
      </c>
    </row>
    <row r="2598" spans="1:10" x14ac:dyDescent="0.3">
      <c r="A2598" t="str">
        <f>""</f>
        <v/>
      </c>
      <c r="G2598" t="str">
        <f>""</f>
        <v/>
      </c>
      <c r="H2598" t="str">
        <f>""</f>
        <v/>
      </c>
      <c r="J2598" t="str">
        <f t="shared" si="48"/>
        <v>TEXAS COUNTY &amp; DISTRICT RET</v>
      </c>
    </row>
    <row r="2599" spans="1:10" x14ac:dyDescent="0.3">
      <c r="A2599" t="str">
        <f>""</f>
        <v/>
      </c>
      <c r="G2599" t="str">
        <f>""</f>
        <v/>
      </c>
      <c r="H2599" t="str">
        <f>""</f>
        <v/>
      </c>
      <c r="J2599" t="str">
        <f t="shared" si="48"/>
        <v>TEXAS COUNTY &amp; DISTRICT RET</v>
      </c>
    </row>
    <row r="2600" spans="1:10" x14ac:dyDescent="0.3">
      <c r="A2600" t="str">
        <f>""</f>
        <v/>
      </c>
      <c r="G2600" t="str">
        <f>""</f>
        <v/>
      </c>
      <c r="H2600" t="str">
        <f>""</f>
        <v/>
      </c>
      <c r="J2600" t="str">
        <f t="shared" si="48"/>
        <v>TEXAS COUNTY &amp; DISTRICT RET</v>
      </c>
    </row>
    <row r="2601" spans="1:10" x14ac:dyDescent="0.3">
      <c r="A2601" t="str">
        <f>""</f>
        <v/>
      </c>
      <c r="G2601" t="str">
        <f>""</f>
        <v/>
      </c>
      <c r="H2601" t="str">
        <f>""</f>
        <v/>
      </c>
      <c r="J2601" t="str">
        <f t="shared" ref="J2601:J2623" si="49">"TEXAS COUNTY &amp; DISTRICT RET"</f>
        <v>TEXAS COUNTY &amp; DISTRICT RET</v>
      </c>
    </row>
    <row r="2602" spans="1:10" x14ac:dyDescent="0.3">
      <c r="A2602" t="str">
        <f>""</f>
        <v/>
      </c>
      <c r="G2602" t="str">
        <f>""</f>
        <v/>
      </c>
      <c r="H2602" t="str">
        <f>""</f>
        <v/>
      </c>
      <c r="J2602" t="str">
        <f t="shared" si="49"/>
        <v>TEXAS COUNTY &amp; DISTRICT RET</v>
      </c>
    </row>
    <row r="2603" spans="1:10" x14ac:dyDescent="0.3">
      <c r="A2603" t="str">
        <f>""</f>
        <v/>
      </c>
      <c r="G2603" t="str">
        <f>""</f>
        <v/>
      </c>
      <c r="H2603" t="str">
        <f>""</f>
        <v/>
      </c>
      <c r="J2603" t="str">
        <f t="shared" si="49"/>
        <v>TEXAS COUNTY &amp; DISTRICT RET</v>
      </c>
    </row>
    <row r="2604" spans="1:10" x14ac:dyDescent="0.3">
      <c r="A2604" t="str">
        <f>""</f>
        <v/>
      </c>
      <c r="G2604" t="str">
        <f>""</f>
        <v/>
      </c>
      <c r="H2604" t="str">
        <f>""</f>
        <v/>
      </c>
      <c r="J2604" t="str">
        <f t="shared" si="49"/>
        <v>TEXAS COUNTY &amp; DISTRICT RET</v>
      </c>
    </row>
    <row r="2605" spans="1:10" x14ac:dyDescent="0.3">
      <c r="A2605" t="str">
        <f>""</f>
        <v/>
      </c>
      <c r="G2605" t="str">
        <f>""</f>
        <v/>
      </c>
      <c r="H2605" t="str">
        <f>""</f>
        <v/>
      </c>
      <c r="J2605" t="str">
        <f t="shared" si="49"/>
        <v>TEXAS COUNTY &amp; DISTRICT RET</v>
      </c>
    </row>
    <row r="2606" spans="1:10" x14ac:dyDescent="0.3">
      <c r="A2606" t="str">
        <f>""</f>
        <v/>
      </c>
      <c r="G2606" t="str">
        <f>""</f>
        <v/>
      </c>
      <c r="H2606" t="str">
        <f>""</f>
        <v/>
      </c>
      <c r="J2606" t="str">
        <f t="shared" si="49"/>
        <v>TEXAS COUNTY &amp; DISTRICT RET</v>
      </c>
    </row>
    <row r="2607" spans="1:10" x14ac:dyDescent="0.3">
      <c r="A2607" t="str">
        <f>""</f>
        <v/>
      </c>
      <c r="G2607" t="str">
        <f>""</f>
        <v/>
      </c>
      <c r="H2607" t="str">
        <f>""</f>
        <v/>
      </c>
      <c r="J2607" t="str">
        <f t="shared" si="49"/>
        <v>TEXAS COUNTY &amp; DISTRICT RET</v>
      </c>
    </row>
    <row r="2608" spans="1:10" x14ac:dyDescent="0.3">
      <c r="A2608" t="str">
        <f>""</f>
        <v/>
      </c>
      <c r="G2608" t="str">
        <f>""</f>
        <v/>
      </c>
      <c r="H2608" t="str">
        <f>""</f>
        <v/>
      </c>
      <c r="J2608" t="str">
        <f t="shared" si="49"/>
        <v>TEXAS COUNTY &amp; DISTRICT RET</v>
      </c>
    </row>
    <row r="2609" spans="1:10" x14ac:dyDescent="0.3">
      <c r="A2609" t="str">
        <f>""</f>
        <v/>
      </c>
      <c r="G2609" t="str">
        <f>""</f>
        <v/>
      </c>
      <c r="H2609" t="str">
        <f>""</f>
        <v/>
      </c>
      <c r="J2609" t="str">
        <f t="shared" si="49"/>
        <v>TEXAS COUNTY &amp; DISTRICT RET</v>
      </c>
    </row>
    <row r="2610" spans="1:10" x14ac:dyDescent="0.3">
      <c r="A2610" t="str">
        <f>""</f>
        <v/>
      </c>
      <c r="G2610" t="str">
        <f>""</f>
        <v/>
      </c>
      <c r="H2610" t="str">
        <f>""</f>
        <v/>
      </c>
      <c r="J2610" t="str">
        <f t="shared" si="49"/>
        <v>TEXAS COUNTY &amp; DISTRICT RET</v>
      </c>
    </row>
    <row r="2611" spans="1:10" x14ac:dyDescent="0.3">
      <c r="A2611" t="str">
        <f>""</f>
        <v/>
      </c>
      <c r="G2611" t="str">
        <f>""</f>
        <v/>
      </c>
      <c r="H2611" t="str">
        <f>""</f>
        <v/>
      </c>
      <c r="J2611" t="str">
        <f t="shared" si="49"/>
        <v>TEXAS COUNTY &amp; DISTRICT RET</v>
      </c>
    </row>
    <row r="2612" spans="1:10" x14ac:dyDescent="0.3">
      <c r="A2612" t="str">
        <f>""</f>
        <v/>
      </c>
      <c r="G2612" t="str">
        <f>""</f>
        <v/>
      </c>
      <c r="H2612" t="str">
        <f>""</f>
        <v/>
      </c>
      <c r="J2612" t="str">
        <f t="shared" si="49"/>
        <v>TEXAS COUNTY &amp; DISTRICT RET</v>
      </c>
    </row>
    <row r="2613" spans="1:10" x14ac:dyDescent="0.3">
      <c r="A2613" t="str">
        <f>""</f>
        <v/>
      </c>
      <c r="G2613" t="str">
        <f>""</f>
        <v/>
      </c>
      <c r="H2613" t="str">
        <f>""</f>
        <v/>
      </c>
      <c r="J2613" t="str">
        <f t="shared" si="49"/>
        <v>TEXAS COUNTY &amp; DISTRICT RET</v>
      </c>
    </row>
    <row r="2614" spans="1:10" x14ac:dyDescent="0.3">
      <c r="A2614" t="str">
        <f>""</f>
        <v/>
      </c>
      <c r="G2614" t="str">
        <f>""</f>
        <v/>
      </c>
      <c r="H2614" t="str">
        <f>""</f>
        <v/>
      </c>
      <c r="J2614" t="str">
        <f t="shared" si="49"/>
        <v>TEXAS COUNTY &amp; DISTRICT RET</v>
      </c>
    </row>
    <row r="2615" spans="1:10" x14ac:dyDescent="0.3">
      <c r="A2615" t="str">
        <f>""</f>
        <v/>
      </c>
      <c r="G2615" t="str">
        <f>""</f>
        <v/>
      </c>
      <c r="H2615" t="str">
        <f>""</f>
        <v/>
      </c>
      <c r="J2615" t="str">
        <f t="shared" si="49"/>
        <v>TEXAS COUNTY &amp; DISTRICT RET</v>
      </c>
    </row>
    <row r="2616" spans="1:10" x14ac:dyDescent="0.3">
      <c r="A2616" t="str">
        <f>""</f>
        <v/>
      </c>
      <c r="G2616" t="str">
        <f>""</f>
        <v/>
      </c>
      <c r="H2616" t="str">
        <f>""</f>
        <v/>
      </c>
      <c r="J2616" t="str">
        <f t="shared" si="49"/>
        <v>TEXAS COUNTY &amp; DISTRICT RET</v>
      </c>
    </row>
    <row r="2617" spans="1:10" x14ac:dyDescent="0.3">
      <c r="A2617" t="str">
        <f>""</f>
        <v/>
      </c>
      <c r="G2617" t="str">
        <f>""</f>
        <v/>
      </c>
      <c r="H2617" t="str">
        <f>""</f>
        <v/>
      </c>
      <c r="J2617" t="str">
        <f t="shared" si="49"/>
        <v>TEXAS COUNTY &amp; DISTRICT RET</v>
      </c>
    </row>
    <row r="2618" spans="1:10" x14ac:dyDescent="0.3">
      <c r="A2618" t="str">
        <f>""</f>
        <v/>
      </c>
      <c r="G2618" t="str">
        <f>""</f>
        <v/>
      </c>
      <c r="H2618" t="str">
        <f>""</f>
        <v/>
      </c>
      <c r="J2618" t="str">
        <f t="shared" si="49"/>
        <v>TEXAS COUNTY &amp; DISTRICT RET</v>
      </c>
    </row>
    <row r="2619" spans="1:10" x14ac:dyDescent="0.3">
      <c r="A2619" t="str">
        <f>""</f>
        <v/>
      </c>
      <c r="G2619" t="str">
        <f>""</f>
        <v/>
      </c>
      <c r="H2619" t="str">
        <f>""</f>
        <v/>
      </c>
      <c r="J2619" t="str">
        <f t="shared" si="49"/>
        <v>TEXAS COUNTY &amp; DISTRICT RET</v>
      </c>
    </row>
    <row r="2620" spans="1:10" x14ac:dyDescent="0.3">
      <c r="A2620" t="str">
        <f>""</f>
        <v/>
      </c>
      <c r="G2620" t="str">
        <f>""</f>
        <v/>
      </c>
      <c r="H2620" t="str">
        <f>""</f>
        <v/>
      </c>
      <c r="J2620" t="str">
        <f t="shared" si="49"/>
        <v>TEXAS COUNTY &amp; DISTRICT RET</v>
      </c>
    </row>
    <row r="2621" spans="1:10" x14ac:dyDescent="0.3">
      <c r="A2621" t="str">
        <f>""</f>
        <v/>
      </c>
      <c r="G2621" t="str">
        <f>""</f>
        <v/>
      </c>
      <c r="H2621" t="str">
        <f>""</f>
        <v/>
      </c>
      <c r="J2621" t="str">
        <f t="shared" si="49"/>
        <v>TEXAS COUNTY &amp; DISTRICT RET</v>
      </c>
    </row>
    <row r="2622" spans="1:10" x14ac:dyDescent="0.3">
      <c r="A2622" t="str">
        <f>""</f>
        <v/>
      </c>
      <c r="G2622" t="str">
        <f>""</f>
        <v/>
      </c>
      <c r="H2622" t="str">
        <f>""</f>
        <v/>
      </c>
      <c r="J2622" t="str">
        <f t="shared" si="49"/>
        <v>TEXAS COUNTY &amp; DISTRICT RET</v>
      </c>
    </row>
    <row r="2623" spans="1:10" x14ac:dyDescent="0.3">
      <c r="A2623" t="str">
        <f>""</f>
        <v/>
      </c>
      <c r="G2623" t="str">
        <f>""</f>
        <v/>
      </c>
      <c r="H2623" t="str">
        <f>""</f>
        <v/>
      </c>
      <c r="J2623" t="str">
        <f t="shared" si="49"/>
        <v>TEXAS COUNTY &amp; DISTRICT RET</v>
      </c>
    </row>
    <row r="2624" spans="1:10" x14ac:dyDescent="0.3">
      <c r="A2624" t="str">
        <f>""</f>
        <v/>
      </c>
      <c r="G2624" t="str">
        <f>"RET201707263864"</f>
        <v>RET201707263864</v>
      </c>
      <c r="H2624" t="str">
        <f>"TEXAS COUNTY  DISTRICT RET"</f>
        <v>TEXAS COUNTY  DISTRICT RET</v>
      </c>
      <c r="I2624" s="2">
        <v>5548.12</v>
      </c>
      <c r="J2624" t="str">
        <f>"TEXAS COUNTY  DISTRICT RET"</f>
        <v>TEXAS COUNTY  DISTRICT RET</v>
      </c>
    </row>
    <row r="2625" spans="1:10" x14ac:dyDescent="0.3">
      <c r="A2625" t="str">
        <f>""</f>
        <v/>
      </c>
      <c r="G2625" t="str">
        <f>""</f>
        <v/>
      </c>
      <c r="H2625" t="str">
        <f>""</f>
        <v/>
      </c>
      <c r="J2625" t="str">
        <f>"TEXAS COUNTY  DISTRICT RET"</f>
        <v>TEXAS COUNTY  DISTRICT RET</v>
      </c>
    </row>
    <row r="2626" spans="1:10" x14ac:dyDescent="0.3">
      <c r="A2626" t="str">
        <f>""</f>
        <v/>
      </c>
      <c r="G2626" t="str">
        <f>"RET201707263865"</f>
        <v>RET201707263865</v>
      </c>
      <c r="H2626" t="str">
        <f>"TEXAS COUNTY &amp; DISTRICT RET"</f>
        <v>TEXAS COUNTY &amp; DISTRICT RET</v>
      </c>
      <c r="I2626" s="2">
        <v>8092.15</v>
      </c>
      <c r="J2626" t="str">
        <f>"TEXAS COUNTY &amp; DISTRICT RET"</f>
        <v>TEXAS COUNTY &amp; DISTRICT RET</v>
      </c>
    </row>
    <row r="2627" spans="1:10" x14ac:dyDescent="0.3">
      <c r="A2627" t="str">
        <f>""</f>
        <v/>
      </c>
      <c r="G2627" t="str">
        <f>""</f>
        <v/>
      </c>
      <c r="H2627" t="str">
        <f>""</f>
        <v/>
      </c>
      <c r="J2627" t="str">
        <f>"TEXAS COUNTY &amp; DISTRICT RET"</f>
        <v>TEXAS COUNTY &amp; DISTRICT RET</v>
      </c>
    </row>
    <row r="2628" spans="1:10" x14ac:dyDescent="0.3">
      <c r="A2628" t="str">
        <f>"002457"</f>
        <v>002457</v>
      </c>
      <c r="B2628" t="s">
        <v>491</v>
      </c>
      <c r="C2628">
        <v>45749</v>
      </c>
      <c r="D2628" s="2">
        <v>1390</v>
      </c>
      <c r="E2628" s="1">
        <v>42947</v>
      </c>
      <c r="F2628" t="s">
        <v>11</v>
      </c>
      <c r="G2628" t="str">
        <f>"LEG201707123599"</f>
        <v>LEG201707123599</v>
      </c>
      <c r="H2628" t="str">
        <f>"TEXAS LEGAL PROTECTION PLAN"</f>
        <v>TEXAS LEGAL PROTECTION PLAN</v>
      </c>
      <c r="I2628" s="2">
        <v>695</v>
      </c>
      <c r="J2628" t="str">
        <f>"TEXAS LEGAL PROTECTION PLAN"</f>
        <v>TEXAS LEGAL PROTECTION PLAN</v>
      </c>
    </row>
    <row r="2629" spans="1:10" x14ac:dyDescent="0.3">
      <c r="A2629" t="str">
        <f>""</f>
        <v/>
      </c>
      <c r="G2629" t="str">
        <f>"LEG201707123600"</f>
        <v>LEG201707123600</v>
      </c>
      <c r="H2629" t="str">
        <f>"TEXAS LEGAL PROTECTION PLAN"</f>
        <v>TEXAS LEGAL PROTECTION PLAN</v>
      </c>
      <c r="I2629" s="2">
        <v>10</v>
      </c>
      <c r="J2629" t="str">
        <f>"TEXAS LEGAL PROTECTION PLAN"</f>
        <v>TEXAS LEGAL PROTECTION PLAN</v>
      </c>
    </row>
    <row r="2630" spans="1:10" x14ac:dyDescent="0.3">
      <c r="A2630" t="str">
        <f>""</f>
        <v/>
      </c>
      <c r="G2630" t="str">
        <f>"LEG201707263863"</f>
        <v>LEG201707263863</v>
      </c>
      <c r="H2630" t="str">
        <f>"TEXAS LEGAL PROTECTION PLAN"</f>
        <v>TEXAS LEGAL PROTECTION PLAN</v>
      </c>
      <c r="I2630" s="2">
        <v>675</v>
      </c>
      <c r="J2630" t="str">
        <f>"TEXAS LEGAL PROTECTION PLAN"</f>
        <v>TEXAS LEGAL PROTECTION PLAN</v>
      </c>
    </row>
    <row r="2631" spans="1:10" x14ac:dyDescent="0.3">
      <c r="A2631" t="str">
        <f>""</f>
        <v/>
      </c>
      <c r="G2631" t="str">
        <f>"LEG201707263864"</f>
        <v>LEG201707263864</v>
      </c>
      <c r="H2631" t="str">
        <f>"TEXAS LEGAL PROTECTION PLAN"</f>
        <v>TEXAS LEGAL PROTECTION PLAN</v>
      </c>
      <c r="I2631" s="2">
        <v>10</v>
      </c>
      <c r="J2631" t="str">
        <f>"TEXAS LEGAL PROTECTION PLAN"</f>
        <v>TEXAS LEGAL PROTECTION PLAN</v>
      </c>
    </row>
    <row r="2632" spans="1:10" x14ac:dyDescent="0.3">
      <c r="A2632" t="str">
        <f>"T14362"</f>
        <v>T14362</v>
      </c>
      <c r="B2632" t="s">
        <v>492</v>
      </c>
      <c r="C2632">
        <v>45722</v>
      </c>
      <c r="D2632" s="2">
        <v>186</v>
      </c>
      <c r="E2632" s="1">
        <v>42930</v>
      </c>
      <c r="F2632" t="s">
        <v>11</v>
      </c>
      <c r="G2632" t="str">
        <f>"SL6201707123599"</f>
        <v>SL6201707123599</v>
      </c>
      <c r="H2632" t="str">
        <f>"TG STUDENT LOAN - P CROUCH"</f>
        <v>TG STUDENT LOAN - P CROUCH</v>
      </c>
      <c r="I2632" s="2">
        <v>186</v>
      </c>
      <c r="J2632" t="str">
        <f>"TG STUDENT LOAN - P CROUCH"</f>
        <v>TG STUDENT LOAN - P CROUCH</v>
      </c>
    </row>
    <row r="2633" spans="1:10" x14ac:dyDescent="0.3">
      <c r="A2633" t="str">
        <f>"T14362"</f>
        <v>T14362</v>
      </c>
      <c r="B2633" t="s">
        <v>492</v>
      </c>
      <c r="C2633">
        <v>45748</v>
      </c>
      <c r="D2633" s="2">
        <v>186</v>
      </c>
      <c r="E2633" s="1">
        <v>42944</v>
      </c>
      <c r="F2633" t="s">
        <v>11</v>
      </c>
      <c r="G2633" t="str">
        <f>"SL6201707263863"</f>
        <v>SL6201707263863</v>
      </c>
      <c r="H2633" t="str">
        <f>"TG STUDENT LOAN - P CROUCH"</f>
        <v>TG STUDENT LOAN - P CROUCH</v>
      </c>
      <c r="I2633" s="2">
        <v>186</v>
      </c>
      <c r="J2633" t="str">
        <f>"TG STUDENT LOAN - P CROUCH"</f>
        <v>TG STUDENT LOAN - P CROUCH</v>
      </c>
    </row>
    <row r="2634" spans="1:10" x14ac:dyDescent="0.3">
      <c r="A2634" t="str">
        <f>"VERITY"</f>
        <v>VERITY</v>
      </c>
      <c r="B2634" t="s">
        <v>493</v>
      </c>
      <c r="C2634">
        <v>0</v>
      </c>
      <c r="D2634" s="2">
        <v>17948.41</v>
      </c>
      <c r="E2634" s="1">
        <v>42930</v>
      </c>
      <c r="F2634" t="s">
        <v>35</v>
      </c>
      <c r="G2634" t="str">
        <f>"FSA201707123599"</f>
        <v>FSA201707123599</v>
      </c>
      <c r="H2634" t="str">
        <f>"VERITY NAT 125 VENDOR"</f>
        <v>VERITY NAT 125 VENDOR</v>
      </c>
      <c r="I2634" s="2">
        <v>8159.28</v>
      </c>
      <c r="J2634" t="str">
        <f>"VERITY NAT 125 VENDOR"</f>
        <v>VERITY NAT 125 VENDOR</v>
      </c>
    </row>
    <row r="2635" spans="1:10" x14ac:dyDescent="0.3">
      <c r="A2635" t="str">
        <f>""</f>
        <v/>
      </c>
      <c r="G2635" t="str">
        <f>"FSA201707123600"</f>
        <v>FSA201707123600</v>
      </c>
      <c r="H2635" t="str">
        <f>"VERITY NAT 125 VENDOR"</f>
        <v>VERITY NAT 125 VENDOR</v>
      </c>
      <c r="I2635" s="2">
        <v>528.16999999999996</v>
      </c>
      <c r="J2635" t="str">
        <f>"VERITY NAT 125 VENDOR"</f>
        <v>VERITY NAT 125 VENDOR</v>
      </c>
    </row>
    <row r="2636" spans="1:10" x14ac:dyDescent="0.3">
      <c r="A2636" t="str">
        <f>""</f>
        <v/>
      </c>
      <c r="G2636" t="str">
        <f>"FSA201707123606"</f>
        <v>FSA201707123606</v>
      </c>
      <c r="H2636" t="str">
        <f>"VERITY NAT 125 VENDOR"</f>
        <v>VERITY NAT 125 VENDOR</v>
      </c>
      <c r="I2636" s="2">
        <v>212.5</v>
      </c>
      <c r="J2636" t="str">
        <f>"VERITY NAT 125 VENDOR"</f>
        <v>VERITY NAT 125 VENDOR</v>
      </c>
    </row>
    <row r="2637" spans="1:10" x14ac:dyDescent="0.3">
      <c r="A2637" t="str">
        <f>""</f>
        <v/>
      </c>
      <c r="G2637" t="str">
        <f>"FSC201707123599"</f>
        <v>FSC201707123599</v>
      </c>
      <c r="H2637" t="str">
        <f>"VERITY NAT 125 DEP CARE"</f>
        <v>VERITY NAT 125 DEP CARE</v>
      </c>
      <c r="I2637" s="2">
        <v>416.66</v>
      </c>
      <c r="J2637" t="str">
        <f>"VERITY NAT 125 DEP CARE"</f>
        <v>VERITY NAT 125 DEP CARE</v>
      </c>
    </row>
    <row r="2638" spans="1:10" x14ac:dyDescent="0.3">
      <c r="A2638" t="str">
        <f>""</f>
        <v/>
      </c>
      <c r="G2638" t="str">
        <f>"FSF201707123599"</f>
        <v>FSF201707123599</v>
      </c>
      <c r="H2638" t="str">
        <f>"VERITY NAT 125 VENDOR"</f>
        <v>VERITY NAT 125 VENDOR</v>
      </c>
      <c r="I2638" s="2">
        <v>624.75</v>
      </c>
      <c r="J2638" t="str">
        <f t="shared" ref="J2638:J2679" si="50">"VERITY NAT 125 VENDOR"</f>
        <v>VERITY NAT 125 VENDOR</v>
      </c>
    </row>
    <row r="2639" spans="1:10" x14ac:dyDescent="0.3">
      <c r="A2639" t="str">
        <f>""</f>
        <v/>
      </c>
      <c r="G2639" t="str">
        <f>""</f>
        <v/>
      </c>
      <c r="H2639" t="str">
        <f>""</f>
        <v/>
      </c>
      <c r="J2639" t="str">
        <f t="shared" si="50"/>
        <v>VERITY NAT 125 VENDOR</v>
      </c>
    </row>
    <row r="2640" spans="1:10" x14ac:dyDescent="0.3">
      <c r="A2640" t="str">
        <f>""</f>
        <v/>
      </c>
      <c r="G2640" t="str">
        <f>""</f>
        <v/>
      </c>
      <c r="H2640" t="str">
        <f>""</f>
        <v/>
      </c>
      <c r="J2640" t="str">
        <f t="shared" si="50"/>
        <v>VERITY NAT 125 VENDOR</v>
      </c>
    </row>
    <row r="2641" spans="1:10" x14ac:dyDescent="0.3">
      <c r="A2641" t="str">
        <f>""</f>
        <v/>
      </c>
      <c r="G2641" t="str">
        <f>""</f>
        <v/>
      </c>
      <c r="H2641" t="str">
        <f>""</f>
        <v/>
      </c>
      <c r="J2641" t="str">
        <f t="shared" si="50"/>
        <v>VERITY NAT 125 VENDOR</v>
      </c>
    </row>
    <row r="2642" spans="1:10" x14ac:dyDescent="0.3">
      <c r="A2642" t="str">
        <f>""</f>
        <v/>
      </c>
      <c r="G2642" t="str">
        <f>""</f>
        <v/>
      </c>
      <c r="H2642" t="str">
        <f>""</f>
        <v/>
      </c>
      <c r="J2642" t="str">
        <f t="shared" si="50"/>
        <v>VERITY NAT 125 VENDOR</v>
      </c>
    </row>
    <row r="2643" spans="1:10" x14ac:dyDescent="0.3">
      <c r="A2643" t="str">
        <f>""</f>
        <v/>
      </c>
      <c r="G2643" t="str">
        <f>""</f>
        <v/>
      </c>
      <c r="H2643" t="str">
        <f>""</f>
        <v/>
      </c>
      <c r="J2643" t="str">
        <f t="shared" si="50"/>
        <v>VERITY NAT 125 VENDOR</v>
      </c>
    </row>
    <row r="2644" spans="1:10" x14ac:dyDescent="0.3">
      <c r="A2644" t="str">
        <f>""</f>
        <v/>
      </c>
      <c r="G2644" t="str">
        <f>""</f>
        <v/>
      </c>
      <c r="H2644" t="str">
        <f>""</f>
        <v/>
      </c>
      <c r="J2644" t="str">
        <f t="shared" si="50"/>
        <v>VERITY NAT 125 VENDOR</v>
      </c>
    </row>
    <row r="2645" spans="1:10" x14ac:dyDescent="0.3">
      <c r="A2645" t="str">
        <f>""</f>
        <v/>
      </c>
      <c r="G2645" t="str">
        <f>""</f>
        <v/>
      </c>
      <c r="H2645" t="str">
        <f>""</f>
        <v/>
      </c>
      <c r="J2645" t="str">
        <f t="shared" si="50"/>
        <v>VERITY NAT 125 VENDOR</v>
      </c>
    </row>
    <row r="2646" spans="1:10" x14ac:dyDescent="0.3">
      <c r="A2646" t="str">
        <f>""</f>
        <v/>
      </c>
      <c r="G2646" t="str">
        <f>""</f>
        <v/>
      </c>
      <c r="H2646" t="str">
        <f>""</f>
        <v/>
      </c>
      <c r="J2646" t="str">
        <f t="shared" si="50"/>
        <v>VERITY NAT 125 VENDOR</v>
      </c>
    </row>
    <row r="2647" spans="1:10" x14ac:dyDescent="0.3">
      <c r="A2647" t="str">
        <f>""</f>
        <v/>
      </c>
      <c r="G2647" t="str">
        <f>""</f>
        <v/>
      </c>
      <c r="H2647" t="str">
        <f>""</f>
        <v/>
      </c>
      <c r="J2647" t="str">
        <f t="shared" si="50"/>
        <v>VERITY NAT 125 VENDOR</v>
      </c>
    </row>
    <row r="2648" spans="1:10" x14ac:dyDescent="0.3">
      <c r="A2648" t="str">
        <f>""</f>
        <v/>
      </c>
      <c r="G2648" t="str">
        <f>""</f>
        <v/>
      </c>
      <c r="H2648" t="str">
        <f>""</f>
        <v/>
      </c>
      <c r="J2648" t="str">
        <f t="shared" si="50"/>
        <v>VERITY NAT 125 VENDOR</v>
      </c>
    </row>
    <row r="2649" spans="1:10" x14ac:dyDescent="0.3">
      <c r="A2649" t="str">
        <f>""</f>
        <v/>
      </c>
      <c r="G2649" t="str">
        <f>""</f>
        <v/>
      </c>
      <c r="H2649" t="str">
        <f>""</f>
        <v/>
      </c>
      <c r="J2649" t="str">
        <f t="shared" si="50"/>
        <v>VERITY NAT 125 VENDOR</v>
      </c>
    </row>
    <row r="2650" spans="1:10" x14ac:dyDescent="0.3">
      <c r="A2650" t="str">
        <f>""</f>
        <v/>
      </c>
      <c r="G2650" t="str">
        <f>""</f>
        <v/>
      </c>
      <c r="H2650" t="str">
        <f>""</f>
        <v/>
      </c>
      <c r="J2650" t="str">
        <f t="shared" si="50"/>
        <v>VERITY NAT 125 VENDOR</v>
      </c>
    </row>
    <row r="2651" spans="1:10" x14ac:dyDescent="0.3">
      <c r="A2651" t="str">
        <f>""</f>
        <v/>
      </c>
      <c r="G2651" t="str">
        <f>""</f>
        <v/>
      </c>
      <c r="H2651" t="str">
        <f>""</f>
        <v/>
      </c>
      <c r="J2651" t="str">
        <f t="shared" si="50"/>
        <v>VERITY NAT 125 VENDOR</v>
      </c>
    </row>
    <row r="2652" spans="1:10" x14ac:dyDescent="0.3">
      <c r="A2652" t="str">
        <f>""</f>
        <v/>
      </c>
      <c r="G2652" t="str">
        <f>""</f>
        <v/>
      </c>
      <c r="H2652" t="str">
        <f>""</f>
        <v/>
      </c>
      <c r="J2652" t="str">
        <f t="shared" si="50"/>
        <v>VERITY NAT 125 VENDOR</v>
      </c>
    </row>
    <row r="2653" spans="1:10" x14ac:dyDescent="0.3">
      <c r="A2653" t="str">
        <f>""</f>
        <v/>
      </c>
      <c r="G2653" t="str">
        <f>""</f>
        <v/>
      </c>
      <c r="H2653" t="str">
        <f>""</f>
        <v/>
      </c>
      <c r="J2653" t="str">
        <f t="shared" si="50"/>
        <v>VERITY NAT 125 VENDOR</v>
      </c>
    </row>
    <row r="2654" spans="1:10" x14ac:dyDescent="0.3">
      <c r="A2654" t="str">
        <f>""</f>
        <v/>
      </c>
      <c r="G2654" t="str">
        <f>""</f>
        <v/>
      </c>
      <c r="H2654" t="str">
        <f>""</f>
        <v/>
      </c>
      <c r="J2654" t="str">
        <f t="shared" si="50"/>
        <v>VERITY NAT 125 VENDOR</v>
      </c>
    </row>
    <row r="2655" spans="1:10" x14ac:dyDescent="0.3">
      <c r="A2655" t="str">
        <f>""</f>
        <v/>
      </c>
      <c r="G2655" t="str">
        <f>""</f>
        <v/>
      </c>
      <c r="H2655" t="str">
        <f>""</f>
        <v/>
      </c>
      <c r="J2655" t="str">
        <f t="shared" si="50"/>
        <v>VERITY NAT 125 VENDOR</v>
      </c>
    </row>
    <row r="2656" spans="1:10" x14ac:dyDescent="0.3">
      <c r="A2656" t="str">
        <f>""</f>
        <v/>
      </c>
      <c r="G2656" t="str">
        <f>""</f>
        <v/>
      </c>
      <c r="H2656" t="str">
        <f>""</f>
        <v/>
      </c>
      <c r="J2656" t="str">
        <f t="shared" si="50"/>
        <v>VERITY NAT 125 VENDOR</v>
      </c>
    </row>
    <row r="2657" spans="1:10" x14ac:dyDescent="0.3">
      <c r="A2657" t="str">
        <f>""</f>
        <v/>
      </c>
      <c r="G2657" t="str">
        <f>""</f>
        <v/>
      </c>
      <c r="H2657" t="str">
        <f>""</f>
        <v/>
      </c>
      <c r="J2657" t="str">
        <f t="shared" si="50"/>
        <v>VERITY NAT 125 VENDOR</v>
      </c>
    </row>
    <row r="2658" spans="1:10" x14ac:dyDescent="0.3">
      <c r="A2658" t="str">
        <f>""</f>
        <v/>
      </c>
      <c r="G2658" t="str">
        <f>""</f>
        <v/>
      </c>
      <c r="H2658" t="str">
        <f>""</f>
        <v/>
      </c>
      <c r="J2658" t="str">
        <f t="shared" si="50"/>
        <v>VERITY NAT 125 VENDOR</v>
      </c>
    </row>
    <row r="2659" spans="1:10" x14ac:dyDescent="0.3">
      <c r="A2659" t="str">
        <f>""</f>
        <v/>
      </c>
      <c r="G2659" t="str">
        <f>""</f>
        <v/>
      </c>
      <c r="H2659" t="str">
        <f>""</f>
        <v/>
      </c>
      <c r="J2659" t="str">
        <f t="shared" si="50"/>
        <v>VERITY NAT 125 VENDOR</v>
      </c>
    </row>
    <row r="2660" spans="1:10" x14ac:dyDescent="0.3">
      <c r="A2660" t="str">
        <f>""</f>
        <v/>
      </c>
      <c r="G2660" t="str">
        <f>""</f>
        <v/>
      </c>
      <c r="H2660" t="str">
        <f>""</f>
        <v/>
      </c>
      <c r="J2660" t="str">
        <f t="shared" si="50"/>
        <v>VERITY NAT 125 VENDOR</v>
      </c>
    </row>
    <row r="2661" spans="1:10" x14ac:dyDescent="0.3">
      <c r="A2661" t="str">
        <f>""</f>
        <v/>
      </c>
      <c r="G2661" t="str">
        <f>""</f>
        <v/>
      </c>
      <c r="H2661" t="str">
        <f>""</f>
        <v/>
      </c>
      <c r="J2661" t="str">
        <f t="shared" si="50"/>
        <v>VERITY NAT 125 VENDOR</v>
      </c>
    </row>
    <row r="2662" spans="1:10" x14ac:dyDescent="0.3">
      <c r="A2662" t="str">
        <f>""</f>
        <v/>
      </c>
      <c r="G2662" t="str">
        <f>""</f>
        <v/>
      </c>
      <c r="H2662" t="str">
        <f>""</f>
        <v/>
      </c>
      <c r="J2662" t="str">
        <f t="shared" si="50"/>
        <v>VERITY NAT 125 VENDOR</v>
      </c>
    </row>
    <row r="2663" spans="1:10" x14ac:dyDescent="0.3">
      <c r="A2663" t="str">
        <f>""</f>
        <v/>
      </c>
      <c r="G2663" t="str">
        <f>""</f>
        <v/>
      </c>
      <c r="H2663" t="str">
        <f>""</f>
        <v/>
      </c>
      <c r="J2663" t="str">
        <f t="shared" si="50"/>
        <v>VERITY NAT 125 VENDOR</v>
      </c>
    </row>
    <row r="2664" spans="1:10" x14ac:dyDescent="0.3">
      <c r="A2664" t="str">
        <f>""</f>
        <v/>
      </c>
      <c r="G2664" t="str">
        <f>""</f>
        <v/>
      </c>
      <c r="H2664" t="str">
        <f>""</f>
        <v/>
      </c>
      <c r="J2664" t="str">
        <f t="shared" si="50"/>
        <v>VERITY NAT 125 VENDOR</v>
      </c>
    </row>
    <row r="2665" spans="1:10" x14ac:dyDescent="0.3">
      <c r="A2665" t="str">
        <f>""</f>
        <v/>
      </c>
      <c r="G2665" t="str">
        <f>""</f>
        <v/>
      </c>
      <c r="H2665" t="str">
        <f>""</f>
        <v/>
      </c>
      <c r="J2665" t="str">
        <f t="shared" si="50"/>
        <v>VERITY NAT 125 VENDOR</v>
      </c>
    </row>
    <row r="2666" spans="1:10" x14ac:dyDescent="0.3">
      <c r="A2666" t="str">
        <f>""</f>
        <v/>
      </c>
      <c r="G2666" t="str">
        <f>""</f>
        <v/>
      </c>
      <c r="H2666" t="str">
        <f>""</f>
        <v/>
      </c>
      <c r="J2666" t="str">
        <f t="shared" si="50"/>
        <v>VERITY NAT 125 VENDOR</v>
      </c>
    </row>
    <row r="2667" spans="1:10" x14ac:dyDescent="0.3">
      <c r="A2667" t="str">
        <f>""</f>
        <v/>
      </c>
      <c r="G2667" t="str">
        <f>""</f>
        <v/>
      </c>
      <c r="H2667" t="str">
        <f>""</f>
        <v/>
      </c>
      <c r="J2667" t="str">
        <f t="shared" si="50"/>
        <v>VERITY NAT 125 VENDOR</v>
      </c>
    </row>
    <row r="2668" spans="1:10" x14ac:dyDescent="0.3">
      <c r="A2668" t="str">
        <f>""</f>
        <v/>
      </c>
      <c r="G2668" t="str">
        <f>""</f>
        <v/>
      </c>
      <c r="H2668" t="str">
        <f>""</f>
        <v/>
      </c>
      <c r="J2668" t="str">
        <f t="shared" si="50"/>
        <v>VERITY NAT 125 VENDOR</v>
      </c>
    </row>
    <row r="2669" spans="1:10" x14ac:dyDescent="0.3">
      <c r="A2669" t="str">
        <f>""</f>
        <v/>
      </c>
      <c r="G2669" t="str">
        <f>""</f>
        <v/>
      </c>
      <c r="H2669" t="str">
        <f>""</f>
        <v/>
      </c>
      <c r="J2669" t="str">
        <f t="shared" si="50"/>
        <v>VERITY NAT 125 VENDOR</v>
      </c>
    </row>
    <row r="2670" spans="1:10" x14ac:dyDescent="0.3">
      <c r="A2670" t="str">
        <f>""</f>
        <v/>
      </c>
      <c r="G2670" t="str">
        <f>""</f>
        <v/>
      </c>
      <c r="H2670" t="str">
        <f>""</f>
        <v/>
      </c>
      <c r="J2670" t="str">
        <f t="shared" si="50"/>
        <v>VERITY NAT 125 VENDOR</v>
      </c>
    </row>
    <row r="2671" spans="1:10" x14ac:dyDescent="0.3">
      <c r="A2671" t="str">
        <f>""</f>
        <v/>
      </c>
      <c r="G2671" t="str">
        <f>""</f>
        <v/>
      </c>
      <c r="H2671" t="str">
        <f>""</f>
        <v/>
      </c>
      <c r="J2671" t="str">
        <f t="shared" si="50"/>
        <v>VERITY NAT 125 VENDOR</v>
      </c>
    </row>
    <row r="2672" spans="1:10" x14ac:dyDescent="0.3">
      <c r="A2672" t="str">
        <f>""</f>
        <v/>
      </c>
      <c r="G2672" t="str">
        <f>""</f>
        <v/>
      </c>
      <c r="H2672" t="str">
        <f>""</f>
        <v/>
      </c>
      <c r="J2672" t="str">
        <f t="shared" si="50"/>
        <v>VERITY NAT 125 VENDOR</v>
      </c>
    </row>
    <row r="2673" spans="1:10" x14ac:dyDescent="0.3">
      <c r="A2673" t="str">
        <f>""</f>
        <v/>
      </c>
      <c r="G2673" t="str">
        <f>""</f>
        <v/>
      </c>
      <c r="H2673" t="str">
        <f>""</f>
        <v/>
      </c>
      <c r="J2673" t="str">
        <f t="shared" si="50"/>
        <v>VERITY NAT 125 VENDOR</v>
      </c>
    </row>
    <row r="2674" spans="1:10" x14ac:dyDescent="0.3">
      <c r="A2674" t="str">
        <f>""</f>
        <v/>
      </c>
      <c r="G2674" t="str">
        <f>""</f>
        <v/>
      </c>
      <c r="H2674" t="str">
        <f>""</f>
        <v/>
      </c>
      <c r="J2674" t="str">
        <f t="shared" si="50"/>
        <v>VERITY NAT 125 VENDOR</v>
      </c>
    </row>
    <row r="2675" spans="1:10" x14ac:dyDescent="0.3">
      <c r="A2675" t="str">
        <f>""</f>
        <v/>
      </c>
      <c r="G2675" t="str">
        <f>""</f>
        <v/>
      </c>
      <c r="H2675" t="str">
        <f>""</f>
        <v/>
      </c>
      <c r="J2675" t="str">
        <f t="shared" si="50"/>
        <v>VERITY NAT 125 VENDOR</v>
      </c>
    </row>
    <row r="2676" spans="1:10" x14ac:dyDescent="0.3">
      <c r="A2676" t="str">
        <f>""</f>
        <v/>
      </c>
      <c r="G2676" t="str">
        <f>"FSF201707123600"</f>
        <v>FSF201707123600</v>
      </c>
      <c r="H2676" t="str">
        <f>"VERITY NAT 125 VENDOR"</f>
        <v>VERITY NAT 125 VENDOR</v>
      </c>
      <c r="I2676" s="2">
        <v>25.5</v>
      </c>
      <c r="J2676" t="str">
        <f t="shared" si="50"/>
        <v>VERITY NAT 125 VENDOR</v>
      </c>
    </row>
    <row r="2677" spans="1:10" x14ac:dyDescent="0.3">
      <c r="A2677" t="str">
        <f>""</f>
        <v/>
      </c>
      <c r="G2677" t="str">
        <f>""</f>
        <v/>
      </c>
      <c r="H2677" t="str">
        <f>""</f>
        <v/>
      </c>
      <c r="J2677" t="str">
        <f t="shared" si="50"/>
        <v>VERITY NAT 125 VENDOR</v>
      </c>
    </row>
    <row r="2678" spans="1:10" x14ac:dyDescent="0.3">
      <c r="A2678" t="str">
        <f>""</f>
        <v/>
      </c>
      <c r="G2678" t="str">
        <f>"FSF201707123606"</f>
        <v>FSF201707123606</v>
      </c>
      <c r="H2678" t="str">
        <f>"VERITY NAT 125 VENDOR"</f>
        <v>VERITY NAT 125 VENDOR</v>
      </c>
      <c r="I2678" s="2">
        <v>8.5</v>
      </c>
      <c r="J2678" t="str">
        <f t="shared" si="50"/>
        <v>VERITY NAT 125 VENDOR</v>
      </c>
    </row>
    <row r="2679" spans="1:10" x14ac:dyDescent="0.3">
      <c r="A2679" t="str">
        <f>""</f>
        <v/>
      </c>
      <c r="G2679" t="str">
        <f>""</f>
        <v/>
      </c>
      <c r="H2679" t="str">
        <f>""</f>
        <v/>
      </c>
      <c r="J2679" t="str">
        <f t="shared" si="50"/>
        <v>VERITY NAT 125 VENDOR</v>
      </c>
    </row>
    <row r="2680" spans="1:10" x14ac:dyDescent="0.3">
      <c r="A2680" t="str">
        <f>""</f>
        <v/>
      </c>
      <c r="G2680" t="str">
        <f>"FSO201707123599"</f>
        <v>FSO201707123599</v>
      </c>
      <c r="H2680" t="str">
        <f>"VERITY FSA ONLY FEE"</f>
        <v>VERITY FSA ONLY FEE</v>
      </c>
      <c r="I2680" s="2">
        <v>24</v>
      </c>
      <c r="J2680" t="str">
        <f t="shared" ref="J2680:J2689" si="51">"VERITY FSA ONLY FEE"</f>
        <v>VERITY FSA ONLY FEE</v>
      </c>
    </row>
    <row r="2681" spans="1:10" x14ac:dyDescent="0.3">
      <c r="A2681" t="str">
        <f>""</f>
        <v/>
      </c>
      <c r="G2681" t="str">
        <f>""</f>
        <v/>
      </c>
      <c r="H2681" t="str">
        <f>""</f>
        <v/>
      </c>
      <c r="J2681" t="str">
        <f t="shared" si="51"/>
        <v>VERITY FSA ONLY FEE</v>
      </c>
    </row>
    <row r="2682" spans="1:10" x14ac:dyDescent="0.3">
      <c r="A2682" t="str">
        <f>""</f>
        <v/>
      </c>
      <c r="G2682" t="str">
        <f>""</f>
        <v/>
      </c>
      <c r="H2682" t="str">
        <f>""</f>
        <v/>
      </c>
      <c r="J2682" t="str">
        <f t="shared" si="51"/>
        <v>VERITY FSA ONLY FEE</v>
      </c>
    </row>
    <row r="2683" spans="1:10" x14ac:dyDescent="0.3">
      <c r="A2683" t="str">
        <f>""</f>
        <v/>
      </c>
      <c r="G2683" t="str">
        <f>""</f>
        <v/>
      </c>
      <c r="H2683" t="str">
        <f>""</f>
        <v/>
      </c>
      <c r="J2683" t="str">
        <f t="shared" si="51"/>
        <v>VERITY FSA ONLY FEE</v>
      </c>
    </row>
    <row r="2684" spans="1:10" x14ac:dyDescent="0.3">
      <c r="A2684" t="str">
        <f>""</f>
        <v/>
      </c>
      <c r="G2684" t="str">
        <f>""</f>
        <v/>
      </c>
      <c r="H2684" t="str">
        <f>""</f>
        <v/>
      </c>
      <c r="J2684" t="str">
        <f t="shared" si="51"/>
        <v>VERITY FSA ONLY FEE</v>
      </c>
    </row>
    <row r="2685" spans="1:10" x14ac:dyDescent="0.3">
      <c r="A2685" t="str">
        <f>""</f>
        <v/>
      </c>
      <c r="G2685" t="str">
        <f>""</f>
        <v/>
      </c>
      <c r="H2685" t="str">
        <f>""</f>
        <v/>
      </c>
      <c r="J2685" t="str">
        <f t="shared" si="51"/>
        <v>VERITY FSA ONLY FEE</v>
      </c>
    </row>
    <row r="2686" spans="1:10" x14ac:dyDescent="0.3">
      <c r="A2686" t="str">
        <f>""</f>
        <v/>
      </c>
      <c r="G2686" t="str">
        <f>""</f>
        <v/>
      </c>
      <c r="H2686" t="str">
        <f>""</f>
        <v/>
      </c>
      <c r="J2686" t="str">
        <f t="shared" si="51"/>
        <v>VERITY FSA ONLY FEE</v>
      </c>
    </row>
    <row r="2687" spans="1:10" x14ac:dyDescent="0.3">
      <c r="A2687" t="str">
        <f>""</f>
        <v/>
      </c>
      <c r="G2687" t="str">
        <f>""</f>
        <v/>
      </c>
      <c r="H2687" t="str">
        <f>""</f>
        <v/>
      </c>
      <c r="J2687" t="str">
        <f t="shared" si="51"/>
        <v>VERITY FSA ONLY FEE</v>
      </c>
    </row>
    <row r="2688" spans="1:10" x14ac:dyDescent="0.3">
      <c r="A2688" t="str">
        <f>""</f>
        <v/>
      </c>
      <c r="G2688" t="str">
        <f>""</f>
        <v/>
      </c>
      <c r="H2688" t="str">
        <f>""</f>
        <v/>
      </c>
      <c r="J2688" t="str">
        <f t="shared" si="51"/>
        <v>VERITY FSA ONLY FEE</v>
      </c>
    </row>
    <row r="2689" spans="1:10" x14ac:dyDescent="0.3">
      <c r="A2689" t="str">
        <f>""</f>
        <v/>
      </c>
      <c r="G2689" t="str">
        <f>""</f>
        <v/>
      </c>
      <c r="H2689" t="str">
        <f>""</f>
        <v/>
      </c>
      <c r="J2689" t="str">
        <f t="shared" si="51"/>
        <v>VERITY FSA ONLY FEE</v>
      </c>
    </row>
    <row r="2690" spans="1:10" x14ac:dyDescent="0.3">
      <c r="A2690" t="str">
        <f>""</f>
        <v/>
      </c>
      <c r="G2690" t="str">
        <f>"FSO201707123600"</f>
        <v>FSO201707123600</v>
      </c>
      <c r="H2690" t="str">
        <f>"VERITY FSA ONLY"</f>
        <v>VERITY FSA ONLY</v>
      </c>
      <c r="I2690" s="2">
        <v>3</v>
      </c>
      <c r="J2690" t="str">
        <f>"VERITY FSA ONLY"</f>
        <v>VERITY FSA ONLY</v>
      </c>
    </row>
    <row r="2691" spans="1:10" x14ac:dyDescent="0.3">
      <c r="A2691" t="str">
        <f>""</f>
        <v/>
      </c>
      <c r="G2691" t="str">
        <f>""</f>
        <v/>
      </c>
      <c r="H2691" t="str">
        <f>""</f>
        <v/>
      </c>
      <c r="J2691" t="str">
        <f>"VERITY FSA ONLY"</f>
        <v>VERITY FSA ONLY</v>
      </c>
    </row>
    <row r="2692" spans="1:10" x14ac:dyDescent="0.3">
      <c r="A2692" t="str">
        <f>""</f>
        <v/>
      </c>
      <c r="G2692" t="str">
        <f>"HRA201707123599"</f>
        <v>HRA201707123599</v>
      </c>
      <c r="H2692" t="str">
        <f>"VERITY HRA FEES"</f>
        <v>VERITY HRA FEES</v>
      </c>
      <c r="I2692" s="2">
        <v>6884.71</v>
      </c>
      <c r="J2692" t="str">
        <f t="shared" ref="J2692:J2723" si="52">"VERITY HRA FEES"</f>
        <v>VERITY HRA FEES</v>
      </c>
    </row>
    <row r="2693" spans="1:10" x14ac:dyDescent="0.3">
      <c r="A2693" t="str">
        <f>""</f>
        <v/>
      </c>
      <c r="G2693" t="str">
        <f>""</f>
        <v/>
      </c>
      <c r="H2693" t="str">
        <f>""</f>
        <v/>
      </c>
      <c r="J2693" t="str">
        <f t="shared" si="52"/>
        <v>VERITY HRA FEES</v>
      </c>
    </row>
    <row r="2694" spans="1:10" x14ac:dyDescent="0.3">
      <c r="A2694" t="str">
        <f>""</f>
        <v/>
      </c>
      <c r="G2694" t="str">
        <f>""</f>
        <v/>
      </c>
      <c r="H2694" t="str">
        <f>""</f>
        <v/>
      </c>
      <c r="J2694" t="str">
        <f t="shared" si="52"/>
        <v>VERITY HRA FEES</v>
      </c>
    </row>
    <row r="2695" spans="1:10" x14ac:dyDescent="0.3">
      <c r="A2695" t="str">
        <f>""</f>
        <v/>
      </c>
      <c r="G2695" t="str">
        <f>""</f>
        <v/>
      </c>
      <c r="H2695" t="str">
        <f>""</f>
        <v/>
      </c>
      <c r="J2695" t="str">
        <f t="shared" si="52"/>
        <v>VERITY HRA FEES</v>
      </c>
    </row>
    <row r="2696" spans="1:10" x14ac:dyDescent="0.3">
      <c r="A2696" t="str">
        <f>""</f>
        <v/>
      </c>
      <c r="G2696" t="str">
        <f>""</f>
        <v/>
      </c>
      <c r="H2696" t="str">
        <f>""</f>
        <v/>
      </c>
      <c r="J2696" t="str">
        <f t="shared" si="52"/>
        <v>VERITY HRA FEES</v>
      </c>
    </row>
    <row r="2697" spans="1:10" x14ac:dyDescent="0.3">
      <c r="A2697" t="str">
        <f>""</f>
        <v/>
      </c>
      <c r="G2697" t="str">
        <f>""</f>
        <v/>
      </c>
      <c r="H2697" t="str">
        <f>""</f>
        <v/>
      </c>
      <c r="J2697" t="str">
        <f t="shared" si="52"/>
        <v>VERITY HRA FEES</v>
      </c>
    </row>
    <row r="2698" spans="1:10" x14ac:dyDescent="0.3">
      <c r="A2698" t="str">
        <f>""</f>
        <v/>
      </c>
      <c r="G2698" t="str">
        <f>""</f>
        <v/>
      </c>
      <c r="H2698" t="str">
        <f>""</f>
        <v/>
      </c>
      <c r="J2698" t="str">
        <f t="shared" si="52"/>
        <v>VERITY HRA FEES</v>
      </c>
    </row>
    <row r="2699" spans="1:10" x14ac:dyDescent="0.3">
      <c r="A2699" t="str">
        <f>""</f>
        <v/>
      </c>
      <c r="G2699" t="str">
        <f>""</f>
        <v/>
      </c>
      <c r="H2699" t="str">
        <f>""</f>
        <v/>
      </c>
      <c r="J2699" t="str">
        <f t="shared" si="52"/>
        <v>VERITY HRA FEES</v>
      </c>
    </row>
    <row r="2700" spans="1:10" x14ac:dyDescent="0.3">
      <c r="A2700" t="str">
        <f>""</f>
        <v/>
      </c>
      <c r="G2700" t="str">
        <f>""</f>
        <v/>
      </c>
      <c r="H2700" t="str">
        <f>""</f>
        <v/>
      </c>
      <c r="J2700" t="str">
        <f t="shared" si="52"/>
        <v>VERITY HRA FEES</v>
      </c>
    </row>
    <row r="2701" spans="1:10" x14ac:dyDescent="0.3">
      <c r="A2701" t="str">
        <f>""</f>
        <v/>
      </c>
      <c r="G2701" t="str">
        <f>""</f>
        <v/>
      </c>
      <c r="H2701" t="str">
        <f>""</f>
        <v/>
      </c>
      <c r="J2701" t="str">
        <f t="shared" si="52"/>
        <v>VERITY HRA FEES</v>
      </c>
    </row>
    <row r="2702" spans="1:10" x14ac:dyDescent="0.3">
      <c r="A2702" t="str">
        <f>""</f>
        <v/>
      </c>
      <c r="G2702" t="str">
        <f>""</f>
        <v/>
      </c>
      <c r="H2702" t="str">
        <f>""</f>
        <v/>
      </c>
      <c r="J2702" t="str">
        <f t="shared" si="52"/>
        <v>VERITY HRA FEES</v>
      </c>
    </row>
    <row r="2703" spans="1:10" x14ac:dyDescent="0.3">
      <c r="A2703" t="str">
        <f>""</f>
        <v/>
      </c>
      <c r="G2703" t="str">
        <f>""</f>
        <v/>
      </c>
      <c r="H2703" t="str">
        <f>""</f>
        <v/>
      </c>
      <c r="J2703" t="str">
        <f t="shared" si="52"/>
        <v>VERITY HRA FEES</v>
      </c>
    </row>
    <row r="2704" spans="1:10" x14ac:dyDescent="0.3">
      <c r="A2704" t="str">
        <f>""</f>
        <v/>
      </c>
      <c r="G2704" t="str">
        <f>""</f>
        <v/>
      </c>
      <c r="H2704" t="str">
        <f>""</f>
        <v/>
      </c>
      <c r="J2704" t="str">
        <f t="shared" si="52"/>
        <v>VERITY HRA FEES</v>
      </c>
    </row>
    <row r="2705" spans="1:10" x14ac:dyDescent="0.3">
      <c r="A2705" t="str">
        <f>""</f>
        <v/>
      </c>
      <c r="G2705" t="str">
        <f>""</f>
        <v/>
      </c>
      <c r="H2705" t="str">
        <f>""</f>
        <v/>
      </c>
      <c r="J2705" t="str">
        <f t="shared" si="52"/>
        <v>VERITY HRA FEES</v>
      </c>
    </row>
    <row r="2706" spans="1:10" x14ac:dyDescent="0.3">
      <c r="A2706" t="str">
        <f>""</f>
        <v/>
      </c>
      <c r="G2706" t="str">
        <f>""</f>
        <v/>
      </c>
      <c r="H2706" t="str">
        <f>""</f>
        <v/>
      </c>
      <c r="J2706" t="str">
        <f t="shared" si="52"/>
        <v>VERITY HRA FEES</v>
      </c>
    </row>
    <row r="2707" spans="1:10" x14ac:dyDescent="0.3">
      <c r="A2707" t="str">
        <f>""</f>
        <v/>
      </c>
      <c r="G2707" t="str">
        <f>""</f>
        <v/>
      </c>
      <c r="H2707" t="str">
        <f>""</f>
        <v/>
      </c>
      <c r="J2707" t="str">
        <f t="shared" si="52"/>
        <v>VERITY HRA FEES</v>
      </c>
    </row>
    <row r="2708" spans="1:10" x14ac:dyDescent="0.3">
      <c r="A2708" t="str">
        <f>""</f>
        <v/>
      </c>
      <c r="G2708" t="str">
        <f>""</f>
        <v/>
      </c>
      <c r="H2708" t="str">
        <f>""</f>
        <v/>
      </c>
      <c r="J2708" t="str">
        <f t="shared" si="52"/>
        <v>VERITY HRA FEES</v>
      </c>
    </row>
    <row r="2709" spans="1:10" x14ac:dyDescent="0.3">
      <c r="A2709" t="str">
        <f>""</f>
        <v/>
      </c>
      <c r="G2709" t="str">
        <f>""</f>
        <v/>
      </c>
      <c r="H2709" t="str">
        <f>""</f>
        <v/>
      </c>
      <c r="J2709" t="str">
        <f t="shared" si="52"/>
        <v>VERITY HRA FEES</v>
      </c>
    </row>
    <row r="2710" spans="1:10" x14ac:dyDescent="0.3">
      <c r="A2710" t="str">
        <f>""</f>
        <v/>
      </c>
      <c r="G2710" t="str">
        <f>""</f>
        <v/>
      </c>
      <c r="H2710" t="str">
        <f>""</f>
        <v/>
      </c>
      <c r="J2710" t="str">
        <f t="shared" si="52"/>
        <v>VERITY HRA FEES</v>
      </c>
    </row>
    <row r="2711" spans="1:10" x14ac:dyDescent="0.3">
      <c r="A2711" t="str">
        <f>""</f>
        <v/>
      </c>
      <c r="G2711" t="str">
        <f>""</f>
        <v/>
      </c>
      <c r="H2711" t="str">
        <f>""</f>
        <v/>
      </c>
      <c r="J2711" t="str">
        <f t="shared" si="52"/>
        <v>VERITY HRA FEES</v>
      </c>
    </row>
    <row r="2712" spans="1:10" x14ac:dyDescent="0.3">
      <c r="A2712" t="str">
        <f>""</f>
        <v/>
      </c>
      <c r="G2712" t="str">
        <f>""</f>
        <v/>
      </c>
      <c r="H2712" t="str">
        <f>""</f>
        <v/>
      </c>
      <c r="J2712" t="str">
        <f t="shared" si="52"/>
        <v>VERITY HRA FEES</v>
      </c>
    </row>
    <row r="2713" spans="1:10" x14ac:dyDescent="0.3">
      <c r="A2713" t="str">
        <f>""</f>
        <v/>
      </c>
      <c r="G2713" t="str">
        <f>""</f>
        <v/>
      </c>
      <c r="H2713" t="str">
        <f>""</f>
        <v/>
      </c>
      <c r="J2713" t="str">
        <f t="shared" si="52"/>
        <v>VERITY HRA FEES</v>
      </c>
    </row>
    <row r="2714" spans="1:10" x14ac:dyDescent="0.3">
      <c r="A2714" t="str">
        <f>""</f>
        <v/>
      </c>
      <c r="G2714" t="str">
        <f>""</f>
        <v/>
      </c>
      <c r="H2714" t="str">
        <f>""</f>
        <v/>
      </c>
      <c r="J2714" t="str">
        <f t="shared" si="52"/>
        <v>VERITY HRA FEES</v>
      </c>
    </row>
    <row r="2715" spans="1:10" x14ac:dyDescent="0.3">
      <c r="A2715" t="str">
        <f>""</f>
        <v/>
      </c>
      <c r="G2715" t="str">
        <f>""</f>
        <v/>
      </c>
      <c r="H2715" t="str">
        <f>""</f>
        <v/>
      </c>
      <c r="J2715" t="str">
        <f t="shared" si="52"/>
        <v>VERITY HRA FEES</v>
      </c>
    </row>
    <row r="2716" spans="1:10" x14ac:dyDescent="0.3">
      <c r="A2716" t="str">
        <f>""</f>
        <v/>
      </c>
      <c r="G2716" t="str">
        <f>""</f>
        <v/>
      </c>
      <c r="H2716" t="str">
        <f>""</f>
        <v/>
      </c>
      <c r="J2716" t="str">
        <f t="shared" si="52"/>
        <v>VERITY HRA FEES</v>
      </c>
    </row>
    <row r="2717" spans="1:10" x14ac:dyDescent="0.3">
      <c r="A2717" t="str">
        <f>""</f>
        <v/>
      </c>
      <c r="G2717" t="str">
        <f>""</f>
        <v/>
      </c>
      <c r="H2717" t="str">
        <f>""</f>
        <v/>
      </c>
      <c r="J2717" t="str">
        <f t="shared" si="52"/>
        <v>VERITY HRA FEES</v>
      </c>
    </row>
    <row r="2718" spans="1:10" x14ac:dyDescent="0.3">
      <c r="A2718" t="str">
        <f>""</f>
        <v/>
      </c>
      <c r="G2718" t="str">
        <f>""</f>
        <v/>
      </c>
      <c r="H2718" t="str">
        <f>""</f>
        <v/>
      </c>
      <c r="J2718" t="str">
        <f t="shared" si="52"/>
        <v>VERITY HRA FEES</v>
      </c>
    </row>
    <row r="2719" spans="1:10" x14ac:dyDescent="0.3">
      <c r="A2719" t="str">
        <f>""</f>
        <v/>
      </c>
      <c r="G2719" t="str">
        <f>""</f>
        <v/>
      </c>
      <c r="H2719" t="str">
        <f>""</f>
        <v/>
      </c>
      <c r="J2719" t="str">
        <f t="shared" si="52"/>
        <v>VERITY HRA FEES</v>
      </c>
    </row>
    <row r="2720" spans="1:10" x14ac:dyDescent="0.3">
      <c r="A2720" t="str">
        <f>""</f>
        <v/>
      </c>
      <c r="G2720" t="str">
        <f>""</f>
        <v/>
      </c>
      <c r="H2720" t="str">
        <f>""</f>
        <v/>
      </c>
      <c r="J2720" t="str">
        <f t="shared" si="52"/>
        <v>VERITY HRA FEES</v>
      </c>
    </row>
    <row r="2721" spans="1:10" x14ac:dyDescent="0.3">
      <c r="A2721" t="str">
        <f>""</f>
        <v/>
      </c>
      <c r="G2721" t="str">
        <f>""</f>
        <v/>
      </c>
      <c r="H2721" t="str">
        <f>""</f>
        <v/>
      </c>
      <c r="J2721" t="str">
        <f t="shared" si="52"/>
        <v>VERITY HRA FEES</v>
      </c>
    </row>
    <row r="2722" spans="1:10" x14ac:dyDescent="0.3">
      <c r="A2722" t="str">
        <f>""</f>
        <v/>
      </c>
      <c r="G2722" t="str">
        <f>""</f>
        <v/>
      </c>
      <c r="H2722" t="str">
        <f>""</f>
        <v/>
      </c>
      <c r="J2722" t="str">
        <f t="shared" si="52"/>
        <v>VERITY HRA FEES</v>
      </c>
    </row>
    <row r="2723" spans="1:10" x14ac:dyDescent="0.3">
      <c r="A2723" t="str">
        <f>""</f>
        <v/>
      </c>
      <c r="G2723" t="str">
        <f>""</f>
        <v/>
      </c>
      <c r="H2723" t="str">
        <f>""</f>
        <v/>
      </c>
      <c r="J2723" t="str">
        <f t="shared" si="52"/>
        <v>VERITY HRA FEES</v>
      </c>
    </row>
    <row r="2724" spans="1:10" x14ac:dyDescent="0.3">
      <c r="A2724" t="str">
        <f>""</f>
        <v/>
      </c>
      <c r="G2724" t="str">
        <f>""</f>
        <v/>
      </c>
      <c r="H2724" t="str">
        <f>""</f>
        <v/>
      </c>
      <c r="J2724" t="str">
        <f t="shared" ref="J2724:J2740" si="53">"VERITY HRA FEES"</f>
        <v>VERITY HRA FEES</v>
      </c>
    </row>
    <row r="2725" spans="1:10" x14ac:dyDescent="0.3">
      <c r="A2725" t="str">
        <f>""</f>
        <v/>
      </c>
      <c r="G2725" t="str">
        <f>""</f>
        <v/>
      </c>
      <c r="H2725" t="str">
        <f>""</f>
        <v/>
      </c>
      <c r="J2725" t="str">
        <f t="shared" si="53"/>
        <v>VERITY HRA FEES</v>
      </c>
    </row>
    <row r="2726" spans="1:10" x14ac:dyDescent="0.3">
      <c r="A2726" t="str">
        <f>""</f>
        <v/>
      </c>
      <c r="G2726" t="str">
        <f>""</f>
        <v/>
      </c>
      <c r="H2726" t="str">
        <f>""</f>
        <v/>
      </c>
      <c r="J2726" t="str">
        <f t="shared" si="53"/>
        <v>VERITY HRA FEES</v>
      </c>
    </row>
    <row r="2727" spans="1:10" x14ac:dyDescent="0.3">
      <c r="A2727" t="str">
        <f>""</f>
        <v/>
      </c>
      <c r="G2727" t="str">
        <f>""</f>
        <v/>
      </c>
      <c r="H2727" t="str">
        <f>""</f>
        <v/>
      </c>
      <c r="J2727" t="str">
        <f t="shared" si="53"/>
        <v>VERITY HRA FEES</v>
      </c>
    </row>
    <row r="2728" spans="1:10" x14ac:dyDescent="0.3">
      <c r="A2728" t="str">
        <f>""</f>
        <v/>
      </c>
      <c r="G2728" t="str">
        <f>""</f>
        <v/>
      </c>
      <c r="H2728" t="str">
        <f>""</f>
        <v/>
      </c>
      <c r="J2728" t="str">
        <f t="shared" si="53"/>
        <v>VERITY HRA FEES</v>
      </c>
    </row>
    <row r="2729" spans="1:10" x14ac:dyDescent="0.3">
      <c r="A2729" t="str">
        <f>""</f>
        <v/>
      </c>
      <c r="G2729" t="str">
        <f>""</f>
        <v/>
      </c>
      <c r="H2729" t="str">
        <f>""</f>
        <v/>
      </c>
      <c r="J2729" t="str">
        <f t="shared" si="53"/>
        <v>VERITY HRA FEES</v>
      </c>
    </row>
    <row r="2730" spans="1:10" x14ac:dyDescent="0.3">
      <c r="A2730" t="str">
        <f>""</f>
        <v/>
      </c>
      <c r="G2730" t="str">
        <f>""</f>
        <v/>
      </c>
      <c r="H2730" t="str">
        <f>""</f>
        <v/>
      </c>
      <c r="J2730" t="str">
        <f t="shared" si="53"/>
        <v>VERITY HRA FEES</v>
      </c>
    </row>
    <row r="2731" spans="1:10" x14ac:dyDescent="0.3">
      <c r="A2731" t="str">
        <f>""</f>
        <v/>
      </c>
      <c r="G2731" t="str">
        <f>""</f>
        <v/>
      </c>
      <c r="H2731" t="str">
        <f>""</f>
        <v/>
      </c>
      <c r="J2731" t="str">
        <f t="shared" si="53"/>
        <v>VERITY HRA FEES</v>
      </c>
    </row>
    <row r="2732" spans="1:10" x14ac:dyDescent="0.3">
      <c r="A2732" t="str">
        <f>""</f>
        <v/>
      </c>
      <c r="G2732" t="str">
        <f>""</f>
        <v/>
      </c>
      <c r="H2732" t="str">
        <f>""</f>
        <v/>
      </c>
      <c r="J2732" t="str">
        <f t="shared" si="53"/>
        <v>VERITY HRA FEES</v>
      </c>
    </row>
    <row r="2733" spans="1:10" x14ac:dyDescent="0.3">
      <c r="A2733" t="str">
        <f>""</f>
        <v/>
      </c>
      <c r="G2733" t="str">
        <f>""</f>
        <v/>
      </c>
      <c r="H2733" t="str">
        <f>""</f>
        <v/>
      </c>
      <c r="J2733" t="str">
        <f t="shared" si="53"/>
        <v>VERITY HRA FEES</v>
      </c>
    </row>
    <row r="2734" spans="1:10" x14ac:dyDescent="0.3">
      <c r="A2734" t="str">
        <f>""</f>
        <v/>
      </c>
      <c r="G2734" t="str">
        <f>""</f>
        <v/>
      </c>
      <c r="H2734" t="str">
        <f>""</f>
        <v/>
      </c>
      <c r="J2734" t="str">
        <f t="shared" si="53"/>
        <v>VERITY HRA FEES</v>
      </c>
    </row>
    <row r="2735" spans="1:10" x14ac:dyDescent="0.3">
      <c r="A2735" t="str">
        <f>""</f>
        <v/>
      </c>
      <c r="G2735" t="str">
        <f>""</f>
        <v/>
      </c>
      <c r="H2735" t="str">
        <f>""</f>
        <v/>
      </c>
      <c r="J2735" t="str">
        <f t="shared" si="53"/>
        <v>VERITY HRA FEES</v>
      </c>
    </row>
    <row r="2736" spans="1:10" x14ac:dyDescent="0.3">
      <c r="A2736" t="str">
        <f>""</f>
        <v/>
      </c>
      <c r="G2736" t="str">
        <f>""</f>
        <v/>
      </c>
      <c r="H2736" t="str">
        <f>""</f>
        <v/>
      </c>
      <c r="J2736" t="str">
        <f t="shared" si="53"/>
        <v>VERITY HRA FEES</v>
      </c>
    </row>
    <row r="2737" spans="1:10" x14ac:dyDescent="0.3">
      <c r="A2737" t="str">
        <f>""</f>
        <v/>
      </c>
      <c r="G2737" t="str">
        <f>""</f>
        <v/>
      </c>
      <c r="H2737" t="str">
        <f>""</f>
        <v/>
      </c>
      <c r="J2737" t="str">
        <f t="shared" si="53"/>
        <v>VERITY HRA FEES</v>
      </c>
    </row>
    <row r="2738" spans="1:10" x14ac:dyDescent="0.3">
      <c r="A2738" t="str">
        <f>""</f>
        <v/>
      </c>
      <c r="G2738" t="str">
        <f>""</f>
        <v/>
      </c>
      <c r="H2738" t="str">
        <f>""</f>
        <v/>
      </c>
      <c r="J2738" t="str">
        <f t="shared" si="53"/>
        <v>VERITY HRA FEES</v>
      </c>
    </row>
    <row r="2739" spans="1:10" x14ac:dyDescent="0.3">
      <c r="A2739" t="str">
        <f>""</f>
        <v/>
      </c>
      <c r="G2739" t="str">
        <f>"HRA201707123600"</f>
        <v>HRA201707123600</v>
      </c>
      <c r="H2739" t="str">
        <f>"VERITY HRA FEES"</f>
        <v>VERITY HRA FEES</v>
      </c>
      <c r="I2739" s="2">
        <v>200</v>
      </c>
      <c r="J2739" t="str">
        <f t="shared" si="53"/>
        <v>VERITY HRA FEES</v>
      </c>
    </row>
    <row r="2740" spans="1:10" x14ac:dyDescent="0.3">
      <c r="A2740" t="str">
        <f>""</f>
        <v/>
      </c>
      <c r="G2740" t="str">
        <f>"HRA201707123606"</f>
        <v>HRA201707123606</v>
      </c>
      <c r="H2740" t="str">
        <f>"VERITY HRA FEES"</f>
        <v>VERITY HRA FEES</v>
      </c>
      <c r="I2740" s="2">
        <v>33.340000000000003</v>
      </c>
      <c r="J2740" t="str">
        <f t="shared" si="53"/>
        <v>VERITY HRA FEES</v>
      </c>
    </row>
    <row r="2741" spans="1:10" x14ac:dyDescent="0.3">
      <c r="A2741" t="str">
        <f>""</f>
        <v/>
      </c>
      <c r="G2741" t="str">
        <f>"HRF201707123599"</f>
        <v>HRF201707123599</v>
      </c>
      <c r="H2741" t="str">
        <f>"VERITY HRA FEE"</f>
        <v>VERITY HRA FEE</v>
      </c>
      <c r="I2741" s="2">
        <v>798</v>
      </c>
      <c r="J2741" t="str">
        <f t="shared" ref="J2741:J2781" si="54">"VERITY HRA FEE"</f>
        <v>VERITY HRA FEE</v>
      </c>
    </row>
    <row r="2742" spans="1:10" x14ac:dyDescent="0.3">
      <c r="A2742" t="str">
        <f>""</f>
        <v/>
      </c>
      <c r="G2742" t="str">
        <f>""</f>
        <v/>
      </c>
      <c r="H2742" t="str">
        <f>""</f>
        <v/>
      </c>
      <c r="J2742" t="str">
        <f t="shared" si="54"/>
        <v>VERITY HRA FEE</v>
      </c>
    </row>
    <row r="2743" spans="1:10" x14ac:dyDescent="0.3">
      <c r="A2743" t="str">
        <f>""</f>
        <v/>
      </c>
      <c r="G2743" t="str">
        <f>""</f>
        <v/>
      </c>
      <c r="H2743" t="str">
        <f>""</f>
        <v/>
      </c>
      <c r="J2743" t="str">
        <f t="shared" si="54"/>
        <v>VERITY HRA FEE</v>
      </c>
    </row>
    <row r="2744" spans="1:10" x14ac:dyDescent="0.3">
      <c r="A2744" t="str">
        <f>""</f>
        <v/>
      </c>
      <c r="G2744" t="str">
        <f>""</f>
        <v/>
      </c>
      <c r="H2744" t="str">
        <f>""</f>
        <v/>
      </c>
      <c r="J2744" t="str">
        <f t="shared" si="54"/>
        <v>VERITY HRA FEE</v>
      </c>
    </row>
    <row r="2745" spans="1:10" x14ac:dyDescent="0.3">
      <c r="A2745" t="str">
        <f>""</f>
        <v/>
      </c>
      <c r="G2745" t="str">
        <f>""</f>
        <v/>
      </c>
      <c r="H2745" t="str">
        <f>""</f>
        <v/>
      </c>
      <c r="J2745" t="str">
        <f t="shared" si="54"/>
        <v>VERITY HRA FEE</v>
      </c>
    </row>
    <row r="2746" spans="1:10" x14ac:dyDescent="0.3">
      <c r="A2746" t="str">
        <f>""</f>
        <v/>
      </c>
      <c r="G2746" t="str">
        <f>""</f>
        <v/>
      </c>
      <c r="H2746" t="str">
        <f>""</f>
        <v/>
      </c>
      <c r="J2746" t="str">
        <f t="shared" si="54"/>
        <v>VERITY HRA FEE</v>
      </c>
    </row>
    <row r="2747" spans="1:10" x14ac:dyDescent="0.3">
      <c r="A2747" t="str">
        <f>""</f>
        <v/>
      </c>
      <c r="G2747" t="str">
        <f>""</f>
        <v/>
      </c>
      <c r="H2747" t="str">
        <f>""</f>
        <v/>
      </c>
      <c r="J2747" t="str">
        <f t="shared" si="54"/>
        <v>VERITY HRA FEE</v>
      </c>
    </row>
    <row r="2748" spans="1:10" x14ac:dyDescent="0.3">
      <c r="A2748" t="str">
        <f>""</f>
        <v/>
      </c>
      <c r="G2748" t="str">
        <f>""</f>
        <v/>
      </c>
      <c r="H2748" t="str">
        <f>""</f>
        <v/>
      </c>
      <c r="J2748" t="str">
        <f t="shared" si="54"/>
        <v>VERITY HRA FEE</v>
      </c>
    </row>
    <row r="2749" spans="1:10" x14ac:dyDescent="0.3">
      <c r="A2749" t="str">
        <f>""</f>
        <v/>
      </c>
      <c r="G2749" t="str">
        <f>""</f>
        <v/>
      </c>
      <c r="H2749" t="str">
        <f>""</f>
        <v/>
      </c>
      <c r="J2749" t="str">
        <f t="shared" si="54"/>
        <v>VERITY HRA FEE</v>
      </c>
    </row>
    <row r="2750" spans="1:10" x14ac:dyDescent="0.3">
      <c r="A2750" t="str">
        <f>""</f>
        <v/>
      </c>
      <c r="G2750" t="str">
        <f>""</f>
        <v/>
      </c>
      <c r="H2750" t="str">
        <f>""</f>
        <v/>
      </c>
      <c r="J2750" t="str">
        <f t="shared" si="54"/>
        <v>VERITY HRA FEE</v>
      </c>
    </row>
    <row r="2751" spans="1:10" x14ac:dyDescent="0.3">
      <c r="A2751" t="str">
        <f>""</f>
        <v/>
      </c>
      <c r="G2751" t="str">
        <f>""</f>
        <v/>
      </c>
      <c r="H2751" t="str">
        <f>""</f>
        <v/>
      </c>
      <c r="J2751" t="str">
        <f t="shared" si="54"/>
        <v>VERITY HRA FEE</v>
      </c>
    </row>
    <row r="2752" spans="1:10" x14ac:dyDescent="0.3">
      <c r="A2752" t="str">
        <f>""</f>
        <v/>
      </c>
      <c r="G2752" t="str">
        <f>""</f>
        <v/>
      </c>
      <c r="H2752" t="str">
        <f>""</f>
        <v/>
      </c>
      <c r="J2752" t="str">
        <f t="shared" si="54"/>
        <v>VERITY HRA FEE</v>
      </c>
    </row>
    <row r="2753" spans="1:10" x14ac:dyDescent="0.3">
      <c r="A2753" t="str">
        <f>""</f>
        <v/>
      </c>
      <c r="G2753" t="str">
        <f>""</f>
        <v/>
      </c>
      <c r="H2753" t="str">
        <f>""</f>
        <v/>
      </c>
      <c r="J2753" t="str">
        <f t="shared" si="54"/>
        <v>VERITY HRA FEE</v>
      </c>
    </row>
    <row r="2754" spans="1:10" x14ac:dyDescent="0.3">
      <c r="A2754" t="str">
        <f>""</f>
        <v/>
      </c>
      <c r="G2754" t="str">
        <f>""</f>
        <v/>
      </c>
      <c r="H2754" t="str">
        <f>""</f>
        <v/>
      </c>
      <c r="J2754" t="str">
        <f t="shared" si="54"/>
        <v>VERITY HRA FEE</v>
      </c>
    </row>
    <row r="2755" spans="1:10" x14ac:dyDescent="0.3">
      <c r="A2755" t="str">
        <f>""</f>
        <v/>
      </c>
      <c r="G2755" t="str">
        <f>""</f>
        <v/>
      </c>
      <c r="H2755" t="str">
        <f>""</f>
        <v/>
      </c>
      <c r="J2755" t="str">
        <f t="shared" si="54"/>
        <v>VERITY HRA FEE</v>
      </c>
    </row>
    <row r="2756" spans="1:10" x14ac:dyDescent="0.3">
      <c r="A2756" t="str">
        <f>""</f>
        <v/>
      </c>
      <c r="G2756" t="str">
        <f>""</f>
        <v/>
      </c>
      <c r="H2756" t="str">
        <f>""</f>
        <v/>
      </c>
      <c r="J2756" t="str">
        <f t="shared" si="54"/>
        <v>VERITY HRA FEE</v>
      </c>
    </row>
    <row r="2757" spans="1:10" x14ac:dyDescent="0.3">
      <c r="A2757" t="str">
        <f>""</f>
        <v/>
      </c>
      <c r="G2757" t="str">
        <f>""</f>
        <v/>
      </c>
      <c r="H2757" t="str">
        <f>""</f>
        <v/>
      </c>
      <c r="J2757" t="str">
        <f t="shared" si="54"/>
        <v>VERITY HRA FEE</v>
      </c>
    </row>
    <row r="2758" spans="1:10" x14ac:dyDescent="0.3">
      <c r="A2758" t="str">
        <f>""</f>
        <v/>
      </c>
      <c r="G2758" t="str">
        <f>""</f>
        <v/>
      </c>
      <c r="H2758" t="str">
        <f>""</f>
        <v/>
      </c>
      <c r="J2758" t="str">
        <f t="shared" si="54"/>
        <v>VERITY HRA FEE</v>
      </c>
    </row>
    <row r="2759" spans="1:10" x14ac:dyDescent="0.3">
      <c r="A2759" t="str">
        <f>""</f>
        <v/>
      </c>
      <c r="G2759" t="str">
        <f>""</f>
        <v/>
      </c>
      <c r="H2759" t="str">
        <f>""</f>
        <v/>
      </c>
      <c r="J2759" t="str">
        <f t="shared" si="54"/>
        <v>VERITY HRA FEE</v>
      </c>
    </row>
    <row r="2760" spans="1:10" x14ac:dyDescent="0.3">
      <c r="A2760" t="str">
        <f>""</f>
        <v/>
      </c>
      <c r="G2760" t="str">
        <f>""</f>
        <v/>
      </c>
      <c r="H2760" t="str">
        <f>""</f>
        <v/>
      </c>
      <c r="J2760" t="str">
        <f t="shared" si="54"/>
        <v>VERITY HRA FEE</v>
      </c>
    </row>
    <row r="2761" spans="1:10" x14ac:dyDescent="0.3">
      <c r="A2761" t="str">
        <f>""</f>
        <v/>
      </c>
      <c r="G2761" t="str">
        <f>""</f>
        <v/>
      </c>
      <c r="H2761" t="str">
        <f>""</f>
        <v/>
      </c>
      <c r="J2761" t="str">
        <f t="shared" si="54"/>
        <v>VERITY HRA FEE</v>
      </c>
    </row>
    <row r="2762" spans="1:10" x14ac:dyDescent="0.3">
      <c r="A2762" t="str">
        <f>""</f>
        <v/>
      </c>
      <c r="G2762" t="str">
        <f>""</f>
        <v/>
      </c>
      <c r="H2762" t="str">
        <f>""</f>
        <v/>
      </c>
      <c r="J2762" t="str">
        <f t="shared" si="54"/>
        <v>VERITY HRA FEE</v>
      </c>
    </row>
    <row r="2763" spans="1:10" x14ac:dyDescent="0.3">
      <c r="A2763" t="str">
        <f>""</f>
        <v/>
      </c>
      <c r="G2763" t="str">
        <f>""</f>
        <v/>
      </c>
      <c r="H2763" t="str">
        <f>""</f>
        <v/>
      </c>
      <c r="J2763" t="str">
        <f t="shared" si="54"/>
        <v>VERITY HRA FEE</v>
      </c>
    </row>
    <row r="2764" spans="1:10" x14ac:dyDescent="0.3">
      <c r="A2764" t="str">
        <f>""</f>
        <v/>
      </c>
      <c r="G2764" t="str">
        <f>""</f>
        <v/>
      </c>
      <c r="H2764" t="str">
        <f>""</f>
        <v/>
      </c>
      <c r="J2764" t="str">
        <f t="shared" si="54"/>
        <v>VERITY HRA FEE</v>
      </c>
    </row>
    <row r="2765" spans="1:10" x14ac:dyDescent="0.3">
      <c r="A2765" t="str">
        <f>""</f>
        <v/>
      </c>
      <c r="G2765" t="str">
        <f>""</f>
        <v/>
      </c>
      <c r="H2765" t="str">
        <f>""</f>
        <v/>
      </c>
      <c r="J2765" t="str">
        <f t="shared" si="54"/>
        <v>VERITY HRA FEE</v>
      </c>
    </row>
    <row r="2766" spans="1:10" x14ac:dyDescent="0.3">
      <c r="A2766" t="str">
        <f>""</f>
        <v/>
      </c>
      <c r="G2766" t="str">
        <f>""</f>
        <v/>
      </c>
      <c r="H2766" t="str">
        <f>""</f>
        <v/>
      </c>
      <c r="J2766" t="str">
        <f t="shared" si="54"/>
        <v>VERITY HRA FEE</v>
      </c>
    </row>
    <row r="2767" spans="1:10" x14ac:dyDescent="0.3">
      <c r="A2767" t="str">
        <f>""</f>
        <v/>
      </c>
      <c r="G2767" t="str">
        <f>""</f>
        <v/>
      </c>
      <c r="H2767" t="str">
        <f>""</f>
        <v/>
      </c>
      <c r="J2767" t="str">
        <f t="shared" si="54"/>
        <v>VERITY HRA FEE</v>
      </c>
    </row>
    <row r="2768" spans="1:10" x14ac:dyDescent="0.3">
      <c r="A2768" t="str">
        <f>""</f>
        <v/>
      </c>
      <c r="G2768" t="str">
        <f>""</f>
        <v/>
      </c>
      <c r="H2768" t="str">
        <f>""</f>
        <v/>
      </c>
      <c r="J2768" t="str">
        <f t="shared" si="54"/>
        <v>VERITY HRA FEE</v>
      </c>
    </row>
    <row r="2769" spans="1:10" x14ac:dyDescent="0.3">
      <c r="A2769" t="str">
        <f>""</f>
        <v/>
      </c>
      <c r="G2769" t="str">
        <f>""</f>
        <v/>
      </c>
      <c r="H2769" t="str">
        <f>""</f>
        <v/>
      </c>
      <c r="J2769" t="str">
        <f t="shared" si="54"/>
        <v>VERITY HRA FEE</v>
      </c>
    </row>
    <row r="2770" spans="1:10" x14ac:dyDescent="0.3">
      <c r="A2770" t="str">
        <f>""</f>
        <v/>
      </c>
      <c r="G2770" t="str">
        <f>""</f>
        <v/>
      </c>
      <c r="H2770" t="str">
        <f>""</f>
        <v/>
      </c>
      <c r="J2770" t="str">
        <f t="shared" si="54"/>
        <v>VERITY HRA FEE</v>
      </c>
    </row>
    <row r="2771" spans="1:10" x14ac:dyDescent="0.3">
      <c r="A2771" t="str">
        <f>""</f>
        <v/>
      </c>
      <c r="G2771" t="str">
        <f>""</f>
        <v/>
      </c>
      <c r="H2771" t="str">
        <f>""</f>
        <v/>
      </c>
      <c r="J2771" t="str">
        <f t="shared" si="54"/>
        <v>VERITY HRA FEE</v>
      </c>
    </row>
    <row r="2772" spans="1:10" x14ac:dyDescent="0.3">
      <c r="A2772" t="str">
        <f>""</f>
        <v/>
      </c>
      <c r="G2772" t="str">
        <f>""</f>
        <v/>
      </c>
      <c r="H2772" t="str">
        <f>""</f>
        <v/>
      </c>
      <c r="J2772" t="str">
        <f t="shared" si="54"/>
        <v>VERITY HRA FEE</v>
      </c>
    </row>
    <row r="2773" spans="1:10" x14ac:dyDescent="0.3">
      <c r="A2773" t="str">
        <f>""</f>
        <v/>
      </c>
      <c r="G2773" t="str">
        <f>""</f>
        <v/>
      </c>
      <c r="H2773" t="str">
        <f>""</f>
        <v/>
      </c>
      <c r="J2773" t="str">
        <f t="shared" si="54"/>
        <v>VERITY HRA FEE</v>
      </c>
    </row>
    <row r="2774" spans="1:10" x14ac:dyDescent="0.3">
      <c r="A2774" t="str">
        <f>""</f>
        <v/>
      </c>
      <c r="G2774" t="str">
        <f>""</f>
        <v/>
      </c>
      <c r="H2774" t="str">
        <f>""</f>
        <v/>
      </c>
      <c r="J2774" t="str">
        <f t="shared" si="54"/>
        <v>VERITY HRA FEE</v>
      </c>
    </row>
    <row r="2775" spans="1:10" x14ac:dyDescent="0.3">
      <c r="A2775" t="str">
        <f>""</f>
        <v/>
      </c>
      <c r="G2775" t="str">
        <f>""</f>
        <v/>
      </c>
      <c r="H2775" t="str">
        <f>""</f>
        <v/>
      </c>
      <c r="J2775" t="str">
        <f t="shared" si="54"/>
        <v>VERITY HRA FEE</v>
      </c>
    </row>
    <row r="2776" spans="1:10" x14ac:dyDescent="0.3">
      <c r="A2776" t="str">
        <f>""</f>
        <v/>
      </c>
      <c r="G2776" t="str">
        <f>""</f>
        <v/>
      </c>
      <c r="H2776" t="str">
        <f>""</f>
        <v/>
      </c>
      <c r="J2776" t="str">
        <f t="shared" si="54"/>
        <v>VERITY HRA FEE</v>
      </c>
    </row>
    <row r="2777" spans="1:10" x14ac:dyDescent="0.3">
      <c r="A2777" t="str">
        <f>""</f>
        <v/>
      </c>
      <c r="G2777" t="str">
        <f>""</f>
        <v/>
      </c>
      <c r="H2777" t="str">
        <f>""</f>
        <v/>
      </c>
      <c r="J2777" t="str">
        <f t="shared" si="54"/>
        <v>VERITY HRA FEE</v>
      </c>
    </row>
    <row r="2778" spans="1:10" x14ac:dyDescent="0.3">
      <c r="A2778" t="str">
        <f>""</f>
        <v/>
      </c>
      <c r="G2778" t="str">
        <f>""</f>
        <v/>
      </c>
      <c r="H2778" t="str">
        <f>""</f>
        <v/>
      </c>
      <c r="J2778" t="str">
        <f t="shared" si="54"/>
        <v>VERITY HRA FEE</v>
      </c>
    </row>
    <row r="2779" spans="1:10" x14ac:dyDescent="0.3">
      <c r="A2779" t="str">
        <f>""</f>
        <v/>
      </c>
      <c r="G2779" t="str">
        <f>""</f>
        <v/>
      </c>
      <c r="H2779" t="str">
        <f>""</f>
        <v/>
      </c>
      <c r="J2779" t="str">
        <f t="shared" si="54"/>
        <v>VERITY HRA FEE</v>
      </c>
    </row>
    <row r="2780" spans="1:10" x14ac:dyDescent="0.3">
      <c r="A2780" t="str">
        <f>""</f>
        <v/>
      </c>
      <c r="G2780" t="str">
        <f>""</f>
        <v/>
      </c>
      <c r="H2780" t="str">
        <f>""</f>
        <v/>
      </c>
      <c r="J2780" t="str">
        <f t="shared" si="54"/>
        <v>VERITY HRA FEE</v>
      </c>
    </row>
    <row r="2781" spans="1:10" x14ac:dyDescent="0.3">
      <c r="A2781" t="str">
        <f>""</f>
        <v/>
      </c>
      <c r="G2781" t="str">
        <f>"HRF201707123600"</f>
        <v>HRF201707123600</v>
      </c>
      <c r="H2781" t="str">
        <f>"VERITY HRA FEE"</f>
        <v>VERITY HRA FEE</v>
      </c>
      <c r="I2781" s="2">
        <v>30</v>
      </c>
      <c r="J2781" t="str">
        <f t="shared" si="54"/>
        <v>VERITY HRA FEE</v>
      </c>
    </row>
    <row r="2782" spans="1:10" x14ac:dyDescent="0.3">
      <c r="A2782" t="str">
        <f>"VERITY"</f>
        <v>VERITY</v>
      </c>
      <c r="B2782" t="s">
        <v>493</v>
      </c>
      <c r="C2782">
        <v>0</v>
      </c>
      <c r="D2782" s="2">
        <v>17576.05</v>
      </c>
      <c r="E2782" s="1">
        <v>42944</v>
      </c>
      <c r="F2782" t="s">
        <v>35</v>
      </c>
      <c r="G2782" t="str">
        <f>"FSA201707263863"</f>
        <v>FSA201707263863</v>
      </c>
      <c r="H2782" t="str">
        <f>"VERITY NAT 125 VENDOR"</f>
        <v>VERITY NAT 125 VENDOR</v>
      </c>
      <c r="I2782" s="2">
        <v>8159.28</v>
      </c>
      <c r="J2782" t="str">
        <f>"VERITY NAT 125 VENDOR"</f>
        <v>VERITY NAT 125 VENDOR</v>
      </c>
    </row>
    <row r="2783" spans="1:10" x14ac:dyDescent="0.3">
      <c r="A2783" t="str">
        <f>""</f>
        <v/>
      </c>
      <c r="G2783" t="str">
        <f>"FSA201707263864"</f>
        <v>FSA201707263864</v>
      </c>
      <c r="H2783" t="str">
        <f>"VERITY NAT 125 VENDOR"</f>
        <v>VERITY NAT 125 VENDOR</v>
      </c>
      <c r="I2783" s="2">
        <v>528.16999999999996</v>
      </c>
      <c r="J2783" t="str">
        <f>"VERITY NAT 125 VENDOR"</f>
        <v>VERITY NAT 125 VENDOR</v>
      </c>
    </row>
    <row r="2784" spans="1:10" x14ac:dyDescent="0.3">
      <c r="A2784" t="str">
        <f>""</f>
        <v/>
      </c>
      <c r="G2784" t="str">
        <f>"FSC201707263863"</f>
        <v>FSC201707263863</v>
      </c>
      <c r="H2784" t="str">
        <f>"VERITY NAT 125 DEP CARE"</f>
        <v>VERITY NAT 125 DEP CARE</v>
      </c>
      <c r="I2784" s="2">
        <v>416.66</v>
      </c>
      <c r="J2784" t="str">
        <f>"VERITY NAT 125 DEP CARE"</f>
        <v>VERITY NAT 125 DEP CARE</v>
      </c>
    </row>
    <row r="2785" spans="1:10" x14ac:dyDescent="0.3">
      <c r="A2785" t="str">
        <f>""</f>
        <v/>
      </c>
      <c r="G2785" t="str">
        <f>"FSF201707263863"</f>
        <v>FSF201707263863</v>
      </c>
      <c r="H2785" t="str">
        <f>"VERITY NAT 125 VENDOR"</f>
        <v>VERITY NAT 125 VENDOR</v>
      </c>
      <c r="I2785" s="2">
        <v>624.75</v>
      </c>
      <c r="J2785" t="str">
        <f t="shared" ref="J2785:J2824" si="55">"VERITY NAT 125 VENDOR"</f>
        <v>VERITY NAT 125 VENDOR</v>
      </c>
    </row>
    <row r="2786" spans="1:10" x14ac:dyDescent="0.3">
      <c r="A2786" t="str">
        <f>""</f>
        <v/>
      </c>
      <c r="G2786" t="str">
        <f>""</f>
        <v/>
      </c>
      <c r="H2786" t="str">
        <f>""</f>
        <v/>
      </c>
      <c r="J2786" t="str">
        <f t="shared" si="55"/>
        <v>VERITY NAT 125 VENDOR</v>
      </c>
    </row>
    <row r="2787" spans="1:10" x14ac:dyDescent="0.3">
      <c r="A2787" t="str">
        <f>""</f>
        <v/>
      </c>
      <c r="G2787" t="str">
        <f>""</f>
        <v/>
      </c>
      <c r="H2787" t="str">
        <f>""</f>
        <v/>
      </c>
      <c r="J2787" t="str">
        <f t="shared" si="55"/>
        <v>VERITY NAT 125 VENDOR</v>
      </c>
    </row>
    <row r="2788" spans="1:10" x14ac:dyDescent="0.3">
      <c r="A2788" t="str">
        <f>""</f>
        <v/>
      </c>
      <c r="G2788" t="str">
        <f>""</f>
        <v/>
      </c>
      <c r="H2788" t="str">
        <f>""</f>
        <v/>
      </c>
      <c r="J2788" t="str">
        <f t="shared" si="55"/>
        <v>VERITY NAT 125 VENDOR</v>
      </c>
    </row>
    <row r="2789" spans="1:10" x14ac:dyDescent="0.3">
      <c r="A2789" t="str">
        <f>""</f>
        <v/>
      </c>
      <c r="G2789" t="str">
        <f>""</f>
        <v/>
      </c>
      <c r="H2789" t="str">
        <f>""</f>
        <v/>
      </c>
      <c r="J2789" t="str">
        <f t="shared" si="55"/>
        <v>VERITY NAT 125 VENDOR</v>
      </c>
    </row>
    <row r="2790" spans="1:10" x14ac:dyDescent="0.3">
      <c r="A2790" t="str">
        <f>""</f>
        <v/>
      </c>
      <c r="G2790" t="str">
        <f>""</f>
        <v/>
      </c>
      <c r="H2790" t="str">
        <f>""</f>
        <v/>
      </c>
      <c r="J2790" t="str">
        <f t="shared" si="55"/>
        <v>VERITY NAT 125 VENDOR</v>
      </c>
    </row>
    <row r="2791" spans="1:10" x14ac:dyDescent="0.3">
      <c r="A2791" t="str">
        <f>""</f>
        <v/>
      </c>
      <c r="G2791" t="str">
        <f>""</f>
        <v/>
      </c>
      <c r="H2791" t="str">
        <f>""</f>
        <v/>
      </c>
      <c r="J2791" t="str">
        <f t="shared" si="55"/>
        <v>VERITY NAT 125 VENDOR</v>
      </c>
    </row>
    <row r="2792" spans="1:10" x14ac:dyDescent="0.3">
      <c r="A2792" t="str">
        <f>""</f>
        <v/>
      </c>
      <c r="G2792" t="str">
        <f>""</f>
        <v/>
      </c>
      <c r="H2792" t="str">
        <f>""</f>
        <v/>
      </c>
      <c r="J2792" t="str">
        <f t="shared" si="55"/>
        <v>VERITY NAT 125 VENDOR</v>
      </c>
    </row>
    <row r="2793" spans="1:10" x14ac:dyDescent="0.3">
      <c r="A2793" t="str">
        <f>""</f>
        <v/>
      </c>
      <c r="G2793" t="str">
        <f>""</f>
        <v/>
      </c>
      <c r="H2793" t="str">
        <f>""</f>
        <v/>
      </c>
      <c r="J2793" t="str">
        <f t="shared" si="55"/>
        <v>VERITY NAT 125 VENDOR</v>
      </c>
    </row>
    <row r="2794" spans="1:10" x14ac:dyDescent="0.3">
      <c r="A2794" t="str">
        <f>""</f>
        <v/>
      </c>
      <c r="G2794" t="str">
        <f>""</f>
        <v/>
      </c>
      <c r="H2794" t="str">
        <f>""</f>
        <v/>
      </c>
      <c r="J2794" t="str">
        <f t="shared" si="55"/>
        <v>VERITY NAT 125 VENDOR</v>
      </c>
    </row>
    <row r="2795" spans="1:10" x14ac:dyDescent="0.3">
      <c r="A2795" t="str">
        <f>""</f>
        <v/>
      </c>
      <c r="G2795" t="str">
        <f>""</f>
        <v/>
      </c>
      <c r="H2795" t="str">
        <f>""</f>
        <v/>
      </c>
      <c r="J2795" t="str">
        <f t="shared" si="55"/>
        <v>VERITY NAT 125 VENDOR</v>
      </c>
    </row>
    <row r="2796" spans="1:10" x14ac:dyDescent="0.3">
      <c r="A2796" t="str">
        <f>""</f>
        <v/>
      </c>
      <c r="G2796" t="str">
        <f>""</f>
        <v/>
      </c>
      <c r="H2796" t="str">
        <f>""</f>
        <v/>
      </c>
      <c r="J2796" t="str">
        <f t="shared" si="55"/>
        <v>VERITY NAT 125 VENDOR</v>
      </c>
    </row>
    <row r="2797" spans="1:10" x14ac:dyDescent="0.3">
      <c r="A2797" t="str">
        <f>""</f>
        <v/>
      </c>
      <c r="G2797" t="str">
        <f>""</f>
        <v/>
      </c>
      <c r="H2797" t="str">
        <f>""</f>
        <v/>
      </c>
      <c r="J2797" t="str">
        <f t="shared" si="55"/>
        <v>VERITY NAT 125 VENDOR</v>
      </c>
    </row>
    <row r="2798" spans="1:10" x14ac:dyDescent="0.3">
      <c r="A2798" t="str">
        <f>""</f>
        <v/>
      </c>
      <c r="G2798" t="str">
        <f>""</f>
        <v/>
      </c>
      <c r="H2798" t="str">
        <f>""</f>
        <v/>
      </c>
      <c r="J2798" t="str">
        <f t="shared" si="55"/>
        <v>VERITY NAT 125 VENDOR</v>
      </c>
    </row>
    <row r="2799" spans="1:10" x14ac:dyDescent="0.3">
      <c r="A2799" t="str">
        <f>""</f>
        <v/>
      </c>
      <c r="G2799" t="str">
        <f>""</f>
        <v/>
      </c>
      <c r="H2799" t="str">
        <f>""</f>
        <v/>
      </c>
      <c r="J2799" t="str">
        <f t="shared" si="55"/>
        <v>VERITY NAT 125 VENDOR</v>
      </c>
    </row>
    <row r="2800" spans="1:10" x14ac:dyDescent="0.3">
      <c r="A2800" t="str">
        <f>""</f>
        <v/>
      </c>
      <c r="G2800" t="str">
        <f>""</f>
        <v/>
      </c>
      <c r="H2800" t="str">
        <f>""</f>
        <v/>
      </c>
      <c r="J2800" t="str">
        <f t="shared" si="55"/>
        <v>VERITY NAT 125 VENDOR</v>
      </c>
    </row>
    <row r="2801" spans="1:10" x14ac:dyDescent="0.3">
      <c r="A2801" t="str">
        <f>""</f>
        <v/>
      </c>
      <c r="G2801" t="str">
        <f>""</f>
        <v/>
      </c>
      <c r="H2801" t="str">
        <f>""</f>
        <v/>
      </c>
      <c r="J2801" t="str">
        <f t="shared" si="55"/>
        <v>VERITY NAT 125 VENDOR</v>
      </c>
    </row>
    <row r="2802" spans="1:10" x14ac:dyDescent="0.3">
      <c r="A2802" t="str">
        <f>""</f>
        <v/>
      </c>
      <c r="G2802" t="str">
        <f>""</f>
        <v/>
      </c>
      <c r="H2802" t="str">
        <f>""</f>
        <v/>
      </c>
      <c r="J2802" t="str">
        <f t="shared" si="55"/>
        <v>VERITY NAT 125 VENDOR</v>
      </c>
    </row>
    <row r="2803" spans="1:10" x14ac:dyDescent="0.3">
      <c r="A2803" t="str">
        <f>""</f>
        <v/>
      </c>
      <c r="G2803" t="str">
        <f>""</f>
        <v/>
      </c>
      <c r="H2803" t="str">
        <f>""</f>
        <v/>
      </c>
      <c r="J2803" t="str">
        <f t="shared" si="55"/>
        <v>VERITY NAT 125 VENDOR</v>
      </c>
    </row>
    <row r="2804" spans="1:10" x14ac:dyDescent="0.3">
      <c r="A2804" t="str">
        <f>""</f>
        <v/>
      </c>
      <c r="G2804" t="str">
        <f>""</f>
        <v/>
      </c>
      <c r="H2804" t="str">
        <f>""</f>
        <v/>
      </c>
      <c r="J2804" t="str">
        <f t="shared" si="55"/>
        <v>VERITY NAT 125 VENDOR</v>
      </c>
    </row>
    <row r="2805" spans="1:10" x14ac:dyDescent="0.3">
      <c r="A2805" t="str">
        <f>""</f>
        <v/>
      </c>
      <c r="G2805" t="str">
        <f>""</f>
        <v/>
      </c>
      <c r="H2805" t="str">
        <f>""</f>
        <v/>
      </c>
      <c r="J2805" t="str">
        <f t="shared" si="55"/>
        <v>VERITY NAT 125 VENDOR</v>
      </c>
    </row>
    <row r="2806" spans="1:10" x14ac:dyDescent="0.3">
      <c r="A2806" t="str">
        <f>""</f>
        <v/>
      </c>
      <c r="G2806" t="str">
        <f>""</f>
        <v/>
      </c>
      <c r="H2806" t="str">
        <f>""</f>
        <v/>
      </c>
      <c r="J2806" t="str">
        <f t="shared" si="55"/>
        <v>VERITY NAT 125 VENDOR</v>
      </c>
    </row>
    <row r="2807" spans="1:10" x14ac:dyDescent="0.3">
      <c r="A2807" t="str">
        <f>""</f>
        <v/>
      </c>
      <c r="G2807" t="str">
        <f>""</f>
        <v/>
      </c>
      <c r="H2807" t="str">
        <f>""</f>
        <v/>
      </c>
      <c r="J2807" t="str">
        <f t="shared" si="55"/>
        <v>VERITY NAT 125 VENDOR</v>
      </c>
    </row>
    <row r="2808" spans="1:10" x14ac:dyDescent="0.3">
      <c r="A2808" t="str">
        <f>""</f>
        <v/>
      </c>
      <c r="G2808" t="str">
        <f>""</f>
        <v/>
      </c>
      <c r="H2808" t="str">
        <f>""</f>
        <v/>
      </c>
      <c r="J2808" t="str">
        <f t="shared" si="55"/>
        <v>VERITY NAT 125 VENDOR</v>
      </c>
    </row>
    <row r="2809" spans="1:10" x14ac:dyDescent="0.3">
      <c r="A2809" t="str">
        <f>""</f>
        <v/>
      </c>
      <c r="G2809" t="str">
        <f>""</f>
        <v/>
      </c>
      <c r="H2809" t="str">
        <f>""</f>
        <v/>
      </c>
      <c r="J2809" t="str">
        <f t="shared" si="55"/>
        <v>VERITY NAT 125 VENDOR</v>
      </c>
    </row>
    <row r="2810" spans="1:10" x14ac:dyDescent="0.3">
      <c r="A2810" t="str">
        <f>""</f>
        <v/>
      </c>
      <c r="G2810" t="str">
        <f>""</f>
        <v/>
      </c>
      <c r="H2810" t="str">
        <f>""</f>
        <v/>
      </c>
      <c r="J2810" t="str">
        <f t="shared" si="55"/>
        <v>VERITY NAT 125 VENDOR</v>
      </c>
    </row>
    <row r="2811" spans="1:10" x14ac:dyDescent="0.3">
      <c r="A2811" t="str">
        <f>""</f>
        <v/>
      </c>
      <c r="G2811" t="str">
        <f>""</f>
        <v/>
      </c>
      <c r="H2811" t="str">
        <f>""</f>
        <v/>
      </c>
      <c r="J2811" t="str">
        <f t="shared" si="55"/>
        <v>VERITY NAT 125 VENDOR</v>
      </c>
    </row>
    <row r="2812" spans="1:10" x14ac:dyDescent="0.3">
      <c r="A2812" t="str">
        <f>""</f>
        <v/>
      </c>
      <c r="G2812" t="str">
        <f>""</f>
        <v/>
      </c>
      <c r="H2812" t="str">
        <f>""</f>
        <v/>
      </c>
      <c r="J2812" t="str">
        <f t="shared" si="55"/>
        <v>VERITY NAT 125 VENDOR</v>
      </c>
    </row>
    <row r="2813" spans="1:10" x14ac:dyDescent="0.3">
      <c r="A2813" t="str">
        <f>""</f>
        <v/>
      </c>
      <c r="G2813" t="str">
        <f>""</f>
        <v/>
      </c>
      <c r="H2813" t="str">
        <f>""</f>
        <v/>
      </c>
      <c r="J2813" t="str">
        <f t="shared" si="55"/>
        <v>VERITY NAT 125 VENDOR</v>
      </c>
    </row>
    <row r="2814" spans="1:10" x14ac:dyDescent="0.3">
      <c r="A2814" t="str">
        <f>""</f>
        <v/>
      </c>
      <c r="G2814" t="str">
        <f>""</f>
        <v/>
      </c>
      <c r="H2814" t="str">
        <f>""</f>
        <v/>
      </c>
      <c r="J2814" t="str">
        <f t="shared" si="55"/>
        <v>VERITY NAT 125 VENDOR</v>
      </c>
    </row>
    <row r="2815" spans="1:10" x14ac:dyDescent="0.3">
      <c r="A2815" t="str">
        <f>""</f>
        <v/>
      </c>
      <c r="G2815" t="str">
        <f>""</f>
        <v/>
      </c>
      <c r="H2815" t="str">
        <f>""</f>
        <v/>
      </c>
      <c r="J2815" t="str">
        <f t="shared" si="55"/>
        <v>VERITY NAT 125 VENDOR</v>
      </c>
    </row>
    <row r="2816" spans="1:10" x14ac:dyDescent="0.3">
      <c r="A2816" t="str">
        <f>""</f>
        <v/>
      </c>
      <c r="G2816" t="str">
        <f>""</f>
        <v/>
      </c>
      <c r="H2816" t="str">
        <f>""</f>
        <v/>
      </c>
      <c r="J2816" t="str">
        <f t="shared" si="55"/>
        <v>VERITY NAT 125 VENDOR</v>
      </c>
    </row>
    <row r="2817" spans="1:10" x14ac:dyDescent="0.3">
      <c r="A2817" t="str">
        <f>""</f>
        <v/>
      </c>
      <c r="G2817" t="str">
        <f>""</f>
        <v/>
      </c>
      <c r="H2817" t="str">
        <f>""</f>
        <v/>
      </c>
      <c r="J2817" t="str">
        <f t="shared" si="55"/>
        <v>VERITY NAT 125 VENDOR</v>
      </c>
    </row>
    <row r="2818" spans="1:10" x14ac:dyDescent="0.3">
      <c r="A2818" t="str">
        <f>""</f>
        <v/>
      </c>
      <c r="G2818" t="str">
        <f>""</f>
        <v/>
      </c>
      <c r="H2818" t="str">
        <f>""</f>
        <v/>
      </c>
      <c r="J2818" t="str">
        <f t="shared" si="55"/>
        <v>VERITY NAT 125 VENDOR</v>
      </c>
    </row>
    <row r="2819" spans="1:10" x14ac:dyDescent="0.3">
      <c r="A2819" t="str">
        <f>""</f>
        <v/>
      </c>
      <c r="G2819" t="str">
        <f>""</f>
        <v/>
      </c>
      <c r="H2819" t="str">
        <f>""</f>
        <v/>
      </c>
      <c r="J2819" t="str">
        <f t="shared" si="55"/>
        <v>VERITY NAT 125 VENDOR</v>
      </c>
    </row>
    <row r="2820" spans="1:10" x14ac:dyDescent="0.3">
      <c r="A2820" t="str">
        <f>""</f>
        <v/>
      </c>
      <c r="G2820" t="str">
        <f>""</f>
        <v/>
      </c>
      <c r="H2820" t="str">
        <f>""</f>
        <v/>
      </c>
      <c r="J2820" t="str">
        <f t="shared" si="55"/>
        <v>VERITY NAT 125 VENDOR</v>
      </c>
    </row>
    <row r="2821" spans="1:10" x14ac:dyDescent="0.3">
      <c r="A2821" t="str">
        <f>""</f>
        <v/>
      </c>
      <c r="G2821" t="str">
        <f>""</f>
        <v/>
      </c>
      <c r="H2821" t="str">
        <f>""</f>
        <v/>
      </c>
      <c r="J2821" t="str">
        <f t="shared" si="55"/>
        <v>VERITY NAT 125 VENDOR</v>
      </c>
    </row>
    <row r="2822" spans="1:10" x14ac:dyDescent="0.3">
      <c r="A2822" t="str">
        <f>""</f>
        <v/>
      </c>
      <c r="G2822" t="str">
        <f>""</f>
        <v/>
      </c>
      <c r="H2822" t="str">
        <f>""</f>
        <v/>
      </c>
      <c r="J2822" t="str">
        <f t="shared" si="55"/>
        <v>VERITY NAT 125 VENDOR</v>
      </c>
    </row>
    <row r="2823" spans="1:10" x14ac:dyDescent="0.3">
      <c r="A2823" t="str">
        <f>""</f>
        <v/>
      </c>
      <c r="G2823" t="str">
        <f>"FSF201707263864"</f>
        <v>FSF201707263864</v>
      </c>
      <c r="H2823" t="str">
        <f>"VERITY NAT 125 VENDOR"</f>
        <v>VERITY NAT 125 VENDOR</v>
      </c>
      <c r="I2823" s="2">
        <v>25.5</v>
      </c>
      <c r="J2823" t="str">
        <f t="shared" si="55"/>
        <v>VERITY NAT 125 VENDOR</v>
      </c>
    </row>
    <row r="2824" spans="1:10" x14ac:dyDescent="0.3">
      <c r="A2824" t="str">
        <f>""</f>
        <v/>
      </c>
      <c r="G2824" t="str">
        <f>""</f>
        <v/>
      </c>
      <c r="H2824" t="str">
        <f>""</f>
        <v/>
      </c>
      <c r="J2824" t="str">
        <f t="shared" si="55"/>
        <v>VERITY NAT 125 VENDOR</v>
      </c>
    </row>
    <row r="2825" spans="1:10" x14ac:dyDescent="0.3">
      <c r="A2825" t="str">
        <f>""</f>
        <v/>
      </c>
      <c r="G2825" t="str">
        <f>"FSO201707263863"</f>
        <v>FSO201707263863</v>
      </c>
      <c r="H2825" t="str">
        <f>"VERITY FSA ONLY FEE"</f>
        <v>VERITY FSA ONLY FEE</v>
      </c>
      <c r="I2825" s="2">
        <v>24</v>
      </c>
      <c r="J2825" t="str">
        <f t="shared" ref="J2825:J2834" si="56">"VERITY FSA ONLY FEE"</f>
        <v>VERITY FSA ONLY FEE</v>
      </c>
    </row>
    <row r="2826" spans="1:10" x14ac:dyDescent="0.3">
      <c r="A2826" t="str">
        <f>""</f>
        <v/>
      </c>
      <c r="G2826" t="str">
        <f>""</f>
        <v/>
      </c>
      <c r="H2826" t="str">
        <f>""</f>
        <v/>
      </c>
      <c r="J2826" t="str">
        <f t="shared" si="56"/>
        <v>VERITY FSA ONLY FEE</v>
      </c>
    </row>
    <row r="2827" spans="1:10" x14ac:dyDescent="0.3">
      <c r="A2827" t="str">
        <f>""</f>
        <v/>
      </c>
      <c r="G2827" t="str">
        <f>""</f>
        <v/>
      </c>
      <c r="H2827" t="str">
        <f>""</f>
        <v/>
      </c>
      <c r="J2827" t="str">
        <f t="shared" si="56"/>
        <v>VERITY FSA ONLY FEE</v>
      </c>
    </row>
    <row r="2828" spans="1:10" x14ac:dyDescent="0.3">
      <c r="A2828" t="str">
        <f>""</f>
        <v/>
      </c>
      <c r="G2828" t="str">
        <f>""</f>
        <v/>
      </c>
      <c r="H2828" t="str">
        <f>""</f>
        <v/>
      </c>
      <c r="J2828" t="str">
        <f t="shared" si="56"/>
        <v>VERITY FSA ONLY FEE</v>
      </c>
    </row>
    <row r="2829" spans="1:10" x14ac:dyDescent="0.3">
      <c r="A2829" t="str">
        <f>""</f>
        <v/>
      </c>
      <c r="G2829" t="str">
        <f>""</f>
        <v/>
      </c>
      <c r="H2829" t="str">
        <f>""</f>
        <v/>
      </c>
      <c r="J2829" t="str">
        <f t="shared" si="56"/>
        <v>VERITY FSA ONLY FEE</v>
      </c>
    </row>
    <row r="2830" spans="1:10" x14ac:dyDescent="0.3">
      <c r="A2830" t="str">
        <f>""</f>
        <v/>
      </c>
      <c r="G2830" t="str">
        <f>""</f>
        <v/>
      </c>
      <c r="H2830" t="str">
        <f>""</f>
        <v/>
      </c>
      <c r="J2830" t="str">
        <f t="shared" si="56"/>
        <v>VERITY FSA ONLY FEE</v>
      </c>
    </row>
    <row r="2831" spans="1:10" x14ac:dyDescent="0.3">
      <c r="A2831" t="str">
        <f>""</f>
        <v/>
      </c>
      <c r="G2831" t="str">
        <f>""</f>
        <v/>
      </c>
      <c r="H2831" t="str">
        <f>""</f>
        <v/>
      </c>
      <c r="J2831" t="str">
        <f t="shared" si="56"/>
        <v>VERITY FSA ONLY FEE</v>
      </c>
    </row>
    <row r="2832" spans="1:10" x14ac:dyDescent="0.3">
      <c r="A2832" t="str">
        <f>""</f>
        <v/>
      </c>
      <c r="G2832" t="str">
        <f>""</f>
        <v/>
      </c>
      <c r="H2832" t="str">
        <f>""</f>
        <v/>
      </c>
      <c r="J2832" t="str">
        <f t="shared" si="56"/>
        <v>VERITY FSA ONLY FEE</v>
      </c>
    </row>
    <row r="2833" spans="1:10" x14ac:dyDescent="0.3">
      <c r="A2833" t="str">
        <f>""</f>
        <v/>
      </c>
      <c r="G2833" t="str">
        <f>""</f>
        <v/>
      </c>
      <c r="H2833" t="str">
        <f>""</f>
        <v/>
      </c>
      <c r="J2833" t="str">
        <f t="shared" si="56"/>
        <v>VERITY FSA ONLY FEE</v>
      </c>
    </row>
    <row r="2834" spans="1:10" x14ac:dyDescent="0.3">
      <c r="A2834" t="str">
        <f>""</f>
        <v/>
      </c>
      <c r="G2834" t="str">
        <f>""</f>
        <v/>
      </c>
      <c r="H2834" t="str">
        <f>""</f>
        <v/>
      </c>
      <c r="J2834" t="str">
        <f t="shared" si="56"/>
        <v>VERITY FSA ONLY FEE</v>
      </c>
    </row>
    <row r="2835" spans="1:10" x14ac:dyDescent="0.3">
      <c r="A2835" t="str">
        <f>""</f>
        <v/>
      </c>
      <c r="G2835" t="str">
        <f>"FSO201707263864"</f>
        <v>FSO201707263864</v>
      </c>
      <c r="H2835" t="str">
        <f>"VERITY FSA ONLY"</f>
        <v>VERITY FSA ONLY</v>
      </c>
      <c r="I2835" s="2">
        <v>3</v>
      </c>
      <c r="J2835" t="str">
        <f>"VERITY FSA ONLY"</f>
        <v>VERITY FSA ONLY</v>
      </c>
    </row>
    <row r="2836" spans="1:10" x14ac:dyDescent="0.3">
      <c r="A2836" t="str">
        <f>""</f>
        <v/>
      </c>
      <c r="G2836" t="str">
        <f>""</f>
        <v/>
      </c>
      <c r="H2836" t="str">
        <f>""</f>
        <v/>
      </c>
      <c r="J2836" t="str">
        <f>"VERITY FSA ONLY"</f>
        <v>VERITY FSA ONLY</v>
      </c>
    </row>
    <row r="2837" spans="1:10" x14ac:dyDescent="0.3">
      <c r="A2837" t="str">
        <f>""</f>
        <v/>
      </c>
      <c r="G2837" t="str">
        <f>"HRA201707263863"</f>
        <v>HRA201707263863</v>
      </c>
      <c r="H2837" t="str">
        <f>"VERITY HRA FEES"</f>
        <v>VERITY HRA FEES</v>
      </c>
      <c r="I2837" s="2">
        <v>6784.69</v>
      </c>
      <c r="J2837" t="str">
        <f t="shared" ref="J2837:J2884" si="57">"VERITY HRA FEES"</f>
        <v>VERITY HRA FEES</v>
      </c>
    </row>
    <row r="2838" spans="1:10" x14ac:dyDescent="0.3">
      <c r="A2838" t="str">
        <f>""</f>
        <v/>
      </c>
      <c r="G2838" t="str">
        <f>""</f>
        <v/>
      </c>
      <c r="H2838" t="str">
        <f>""</f>
        <v/>
      </c>
      <c r="J2838" t="str">
        <f t="shared" si="57"/>
        <v>VERITY HRA FEES</v>
      </c>
    </row>
    <row r="2839" spans="1:10" x14ac:dyDescent="0.3">
      <c r="A2839" t="str">
        <f>""</f>
        <v/>
      </c>
      <c r="G2839" t="str">
        <f>""</f>
        <v/>
      </c>
      <c r="H2839" t="str">
        <f>""</f>
        <v/>
      </c>
      <c r="J2839" t="str">
        <f t="shared" si="57"/>
        <v>VERITY HRA FEES</v>
      </c>
    </row>
    <row r="2840" spans="1:10" x14ac:dyDescent="0.3">
      <c r="A2840" t="str">
        <f>""</f>
        <v/>
      </c>
      <c r="G2840" t="str">
        <f>""</f>
        <v/>
      </c>
      <c r="H2840" t="str">
        <f>""</f>
        <v/>
      </c>
      <c r="J2840" t="str">
        <f t="shared" si="57"/>
        <v>VERITY HRA FEES</v>
      </c>
    </row>
    <row r="2841" spans="1:10" x14ac:dyDescent="0.3">
      <c r="A2841" t="str">
        <f>""</f>
        <v/>
      </c>
      <c r="G2841" t="str">
        <f>""</f>
        <v/>
      </c>
      <c r="H2841" t="str">
        <f>""</f>
        <v/>
      </c>
      <c r="J2841" t="str">
        <f t="shared" si="57"/>
        <v>VERITY HRA FEES</v>
      </c>
    </row>
    <row r="2842" spans="1:10" x14ac:dyDescent="0.3">
      <c r="A2842" t="str">
        <f>""</f>
        <v/>
      </c>
      <c r="G2842" t="str">
        <f>""</f>
        <v/>
      </c>
      <c r="H2842" t="str">
        <f>""</f>
        <v/>
      </c>
      <c r="J2842" t="str">
        <f t="shared" si="57"/>
        <v>VERITY HRA FEES</v>
      </c>
    </row>
    <row r="2843" spans="1:10" x14ac:dyDescent="0.3">
      <c r="A2843" t="str">
        <f>""</f>
        <v/>
      </c>
      <c r="G2843" t="str">
        <f>""</f>
        <v/>
      </c>
      <c r="H2843" t="str">
        <f>""</f>
        <v/>
      </c>
      <c r="J2843" t="str">
        <f t="shared" si="57"/>
        <v>VERITY HRA FEES</v>
      </c>
    </row>
    <row r="2844" spans="1:10" x14ac:dyDescent="0.3">
      <c r="A2844" t="str">
        <f>""</f>
        <v/>
      </c>
      <c r="G2844" t="str">
        <f>""</f>
        <v/>
      </c>
      <c r="H2844" t="str">
        <f>""</f>
        <v/>
      </c>
      <c r="J2844" t="str">
        <f t="shared" si="57"/>
        <v>VERITY HRA FEES</v>
      </c>
    </row>
    <row r="2845" spans="1:10" x14ac:dyDescent="0.3">
      <c r="A2845" t="str">
        <f>""</f>
        <v/>
      </c>
      <c r="G2845" t="str">
        <f>""</f>
        <v/>
      </c>
      <c r="H2845" t="str">
        <f>""</f>
        <v/>
      </c>
      <c r="J2845" t="str">
        <f t="shared" si="57"/>
        <v>VERITY HRA FEES</v>
      </c>
    </row>
    <row r="2846" spans="1:10" x14ac:dyDescent="0.3">
      <c r="A2846" t="str">
        <f>""</f>
        <v/>
      </c>
      <c r="G2846" t="str">
        <f>""</f>
        <v/>
      </c>
      <c r="H2846" t="str">
        <f>""</f>
        <v/>
      </c>
      <c r="J2846" t="str">
        <f t="shared" si="57"/>
        <v>VERITY HRA FEES</v>
      </c>
    </row>
    <row r="2847" spans="1:10" x14ac:dyDescent="0.3">
      <c r="A2847" t="str">
        <f>""</f>
        <v/>
      </c>
      <c r="G2847" t="str">
        <f>""</f>
        <v/>
      </c>
      <c r="H2847" t="str">
        <f>""</f>
        <v/>
      </c>
      <c r="J2847" t="str">
        <f t="shared" si="57"/>
        <v>VERITY HRA FEES</v>
      </c>
    </row>
    <row r="2848" spans="1:10" x14ac:dyDescent="0.3">
      <c r="A2848" t="str">
        <f>""</f>
        <v/>
      </c>
      <c r="G2848" t="str">
        <f>""</f>
        <v/>
      </c>
      <c r="H2848" t="str">
        <f>""</f>
        <v/>
      </c>
      <c r="J2848" t="str">
        <f t="shared" si="57"/>
        <v>VERITY HRA FEES</v>
      </c>
    </row>
    <row r="2849" spans="1:10" x14ac:dyDescent="0.3">
      <c r="A2849" t="str">
        <f>""</f>
        <v/>
      </c>
      <c r="G2849" t="str">
        <f>""</f>
        <v/>
      </c>
      <c r="H2849" t="str">
        <f>""</f>
        <v/>
      </c>
      <c r="J2849" t="str">
        <f t="shared" si="57"/>
        <v>VERITY HRA FEES</v>
      </c>
    </row>
    <row r="2850" spans="1:10" x14ac:dyDescent="0.3">
      <c r="A2850" t="str">
        <f>""</f>
        <v/>
      </c>
      <c r="G2850" t="str">
        <f>""</f>
        <v/>
      </c>
      <c r="H2850" t="str">
        <f>""</f>
        <v/>
      </c>
      <c r="J2850" t="str">
        <f t="shared" si="57"/>
        <v>VERITY HRA FEES</v>
      </c>
    </row>
    <row r="2851" spans="1:10" x14ac:dyDescent="0.3">
      <c r="A2851" t="str">
        <f>""</f>
        <v/>
      </c>
      <c r="G2851" t="str">
        <f>""</f>
        <v/>
      </c>
      <c r="H2851" t="str">
        <f>""</f>
        <v/>
      </c>
      <c r="J2851" t="str">
        <f t="shared" si="57"/>
        <v>VERITY HRA FEES</v>
      </c>
    </row>
    <row r="2852" spans="1:10" x14ac:dyDescent="0.3">
      <c r="A2852" t="str">
        <f>""</f>
        <v/>
      </c>
      <c r="G2852" t="str">
        <f>""</f>
        <v/>
      </c>
      <c r="H2852" t="str">
        <f>""</f>
        <v/>
      </c>
      <c r="J2852" t="str">
        <f t="shared" si="57"/>
        <v>VERITY HRA FEES</v>
      </c>
    </row>
    <row r="2853" spans="1:10" x14ac:dyDescent="0.3">
      <c r="A2853" t="str">
        <f>""</f>
        <v/>
      </c>
      <c r="G2853" t="str">
        <f>""</f>
        <v/>
      </c>
      <c r="H2853" t="str">
        <f>""</f>
        <v/>
      </c>
      <c r="J2853" t="str">
        <f t="shared" si="57"/>
        <v>VERITY HRA FEES</v>
      </c>
    </row>
    <row r="2854" spans="1:10" x14ac:dyDescent="0.3">
      <c r="A2854" t="str">
        <f>""</f>
        <v/>
      </c>
      <c r="G2854" t="str">
        <f>""</f>
        <v/>
      </c>
      <c r="H2854" t="str">
        <f>""</f>
        <v/>
      </c>
      <c r="J2854" t="str">
        <f t="shared" si="57"/>
        <v>VERITY HRA FEES</v>
      </c>
    </row>
    <row r="2855" spans="1:10" x14ac:dyDescent="0.3">
      <c r="A2855" t="str">
        <f>""</f>
        <v/>
      </c>
      <c r="G2855" t="str">
        <f>""</f>
        <v/>
      </c>
      <c r="H2855" t="str">
        <f>""</f>
        <v/>
      </c>
      <c r="J2855" t="str">
        <f t="shared" si="57"/>
        <v>VERITY HRA FEES</v>
      </c>
    </row>
    <row r="2856" spans="1:10" x14ac:dyDescent="0.3">
      <c r="A2856" t="str">
        <f>""</f>
        <v/>
      </c>
      <c r="G2856" t="str">
        <f>""</f>
        <v/>
      </c>
      <c r="H2856" t="str">
        <f>""</f>
        <v/>
      </c>
      <c r="J2856" t="str">
        <f t="shared" si="57"/>
        <v>VERITY HRA FEES</v>
      </c>
    </row>
    <row r="2857" spans="1:10" x14ac:dyDescent="0.3">
      <c r="A2857" t="str">
        <f>""</f>
        <v/>
      </c>
      <c r="G2857" t="str">
        <f>""</f>
        <v/>
      </c>
      <c r="H2857" t="str">
        <f>""</f>
        <v/>
      </c>
      <c r="J2857" t="str">
        <f t="shared" si="57"/>
        <v>VERITY HRA FEES</v>
      </c>
    </row>
    <row r="2858" spans="1:10" x14ac:dyDescent="0.3">
      <c r="A2858" t="str">
        <f>""</f>
        <v/>
      </c>
      <c r="G2858" t="str">
        <f>""</f>
        <v/>
      </c>
      <c r="H2858" t="str">
        <f>""</f>
        <v/>
      </c>
      <c r="J2858" t="str">
        <f t="shared" si="57"/>
        <v>VERITY HRA FEES</v>
      </c>
    </row>
    <row r="2859" spans="1:10" x14ac:dyDescent="0.3">
      <c r="A2859" t="str">
        <f>""</f>
        <v/>
      </c>
      <c r="G2859" t="str">
        <f>""</f>
        <v/>
      </c>
      <c r="H2859" t="str">
        <f>""</f>
        <v/>
      </c>
      <c r="J2859" t="str">
        <f t="shared" si="57"/>
        <v>VERITY HRA FEES</v>
      </c>
    </row>
    <row r="2860" spans="1:10" x14ac:dyDescent="0.3">
      <c r="A2860" t="str">
        <f>""</f>
        <v/>
      </c>
      <c r="G2860" t="str">
        <f>""</f>
        <v/>
      </c>
      <c r="H2860" t="str">
        <f>""</f>
        <v/>
      </c>
      <c r="J2860" t="str">
        <f t="shared" si="57"/>
        <v>VERITY HRA FEES</v>
      </c>
    </row>
    <row r="2861" spans="1:10" x14ac:dyDescent="0.3">
      <c r="A2861" t="str">
        <f>""</f>
        <v/>
      </c>
      <c r="G2861" t="str">
        <f>""</f>
        <v/>
      </c>
      <c r="H2861" t="str">
        <f>""</f>
        <v/>
      </c>
      <c r="J2861" t="str">
        <f t="shared" si="57"/>
        <v>VERITY HRA FEES</v>
      </c>
    </row>
    <row r="2862" spans="1:10" x14ac:dyDescent="0.3">
      <c r="A2862" t="str">
        <f>""</f>
        <v/>
      </c>
      <c r="G2862" t="str">
        <f>""</f>
        <v/>
      </c>
      <c r="H2862" t="str">
        <f>""</f>
        <v/>
      </c>
      <c r="J2862" t="str">
        <f t="shared" si="57"/>
        <v>VERITY HRA FEES</v>
      </c>
    </row>
    <row r="2863" spans="1:10" x14ac:dyDescent="0.3">
      <c r="A2863" t="str">
        <f>""</f>
        <v/>
      </c>
      <c r="G2863" t="str">
        <f>""</f>
        <v/>
      </c>
      <c r="H2863" t="str">
        <f>""</f>
        <v/>
      </c>
      <c r="J2863" t="str">
        <f t="shared" si="57"/>
        <v>VERITY HRA FEES</v>
      </c>
    </row>
    <row r="2864" spans="1:10" x14ac:dyDescent="0.3">
      <c r="A2864" t="str">
        <f>""</f>
        <v/>
      </c>
      <c r="G2864" t="str">
        <f>""</f>
        <v/>
      </c>
      <c r="H2864" t="str">
        <f>""</f>
        <v/>
      </c>
      <c r="J2864" t="str">
        <f t="shared" si="57"/>
        <v>VERITY HRA FEES</v>
      </c>
    </row>
    <row r="2865" spans="1:10" x14ac:dyDescent="0.3">
      <c r="A2865" t="str">
        <f>""</f>
        <v/>
      </c>
      <c r="G2865" t="str">
        <f>""</f>
        <v/>
      </c>
      <c r="H2865" t="str">
        <f>""</f>
        <v/>
      </c>
      <c r="J2865" t="str">
        <f t="shared" si="57"/>
        <v>VERITY HRA FEES</v>
      </c>
    </row>
    <row r="2866" spans="1:10" x14ac:dyDescent="0.3">
      <c r="A2866" t="str">
        <f>""</f>
        <v/>
      </c>
      <c r="G2866" t="str">
        <f>""</f>
        <v/>
      </c>
      <c r="H2866" t="str">
        <f>""</f>
        <v/>
      </c>
      <c r="J2866" t="str">
        <f t="shared" si="57"/>
        <v>VERITY HRA FEES</v>
      </c>
    </row>
    <row r="2867" spans="1:10" x14ac:dyDescent="0.3">
      <c r="A2867" t="str">
        <f>""</f>
        <v/>
      </c>
      <c r="G2867" t="str">
        <f>""</f>
        <v/>
      </c>
      <c r="H2867" t="str">
        <f>""</f>
        <v/>
      </c>
      <c r="J2867" t="str">
        <f t="shared" si="57"/>
        <v>VERITY HRA FEES</v>
      </c>
    </row>
    <row r="2868" spans="1:10" x14ac:dyDescent="0.3">
      <c r="A2868" t="str">
        <f>""</f>
        <v/>
      </c>
      <c r="G2868" t="str">
        <f>""</f>
        <v/>
      </c>
      <c r="H2868" t="str">
        <f>""</f>
        <v/>
      </c>
      <c r="J2868" t="str">
        <f t="shared" si="57"/>
        <v>VERITY HRA FEES</v>
      </c>
    </row>
    <row r="2869" spans="1:10" x14ac:dyDescent="0.3">
      <c r="A2869" t="str">
        <f>""</f>
        <v/>
      </c>
      <c r="G2869" t="str">
        <f>""</f>
        <v/>
      </c>
      <c r="H2869" t="str">
        <f>""</f>
        <v/>
      </c>
      <c r="J2869" t="str">
        <f t="shared" si="57"/>
        <v>VERITY HRA FEES</v>
      </c>
    </row>
    <row r="2870" spans="1:10" x14ac:dyDescent="0.3">
      <c r="A2870" t="str">
        <f>""</f>
        <v/>
      </c>
      <c r="G2870" t="str">
        <f>""</f>
        <v/>
      </c>
      <c r="H2870" t="str">
        <f>""</f>
        <v/>
      </c>
      <c r="J2870" t="str">
        <f t="shared" si="57"/>
        <v>VERITY HRA FEES</v>
      </c>
    </row>
    <row r="2871" spans="1:10" x14ac:dyDescent="0.3">
      <c r="A2871" t="str">
        <f>""</f>
        <v/>
      </c>
      <c r="G2871" t="str">
        <f>""</f>
        <v/>
      </c>
      <c r="H2871" t="str">
        <f>""</f>
        <v/>
      </c>
      <c r="J2871" t="str">
        <f t="shared" si="57"/>
        <v>VERITY HRA FEES</v>
      </c>
    </row>
    <row r="2872" spans="1:10" x14ac:dyDescent="0.3">
      <c r="A2872" t="str">
        <f>""</f>
        <v/>
      </c>
      <c r="G2872" t="str">
        <f>""</f>
        <v/>
      </c>
      <c r="H2872" t="str">
        <f>""</f>
        <v/>
      </c>
      <c r="J2872" t="str">
        <f t="shared" si="57"/>
        <v>VERITY HRA FEES</v>
      </c>
    </row>
    <row r="2873" spans="1:10" x14ac:dyDescent="0.3">
      <c r="A2873" t="str">
        <f>""</f>
        <v/>
      </c>
      <c r="G2873" t="str">
        <f>""</f>
        <v/>
      </c>
      <c r="H2873" t="str">
        <f>""</f>
        <v/>
      </c>
      <c r="J2873" t="str">
        <f t="shared" si="57"/>
        <v>VERITY HRA FEES</v>
      </c>
    </row>
    <row r="2874" spans="1:10" x14ac:dyDescent="0.3">
      <c r="A2874" t="str">
        <f>""</f>
        <v/>
      </c>
      <c r="G2874" t="str">
        <f>""</f>
        <v/>
      </c>
      <c r="H2874" t="str">
        <f>""</f>
        <v/>
      </c>
      <c r="J2874" t="str">
        <f t="shared" si="57"/>
        <v>VERITY HRA FEES</v>
      </c>
    </row>
    <row r="2875" spans="1:10" x14ac:dyDescent="0.3">
      <c r="A2875" t="str">
        <f>""</f>
        <v/>
      </c>
      <c r="G2875" t="str">
        <f>""</f>
        <v/>
      </c>
      <c r="H2875" t="str">
        <f>""</f>
        <v/>
      </c>
      <c r="J2875" t="str">
        <f t="shared" si="57"/>
        <v>VERITY HRA FEES</v>
      </c>
    </row>
    <row r="2876" spans="1:10" x14ac:dyDescent="0.3">
      <c r="A2876" t="str">
        <f>""</f>
        <v/>
      </c>
      <c r="G2876" t="str">
        <f>""</f>
        <v/>
      </c>
      <c r="H2876" t="str">
        <f>""</f>
        <v/>
      </c>
      <c r="J2876" t="str">
        <f t="shared" si="57"/>
        <v>VERITY HRA FEES</v>
      </c>
    </row>
    <row r="2877" spans="1:10" x14ac:dyDescent="0.3">
      <c r="A2877" t="str">
        <f>""</f>
        <v/>
      </c>
      <c r="G2877" t="str">
        <f>""</f>
        <v/>
      </c>
      <c r="H2877" t="str">
        <f>""</f>
        <v/>
      </c>
      <c r="J2877" t="str">
        <f t="shared" si="57"/>
        <v>VERITY HRA FEES</v>
      </c>
    </row>
    <row r="2878" spans="1:10" x14ac:dyDescent="0.3">
      <c r="A2878" t="str">
        <f>""</f>
        <v/>
      </c>
      <c r="G2878" t="str">
        <f>""</f>
        <v/>
      </c>
      <c r="H2878" t="str">
        <f>""</f>
        <v/>
      </c>
      <c r="J2878" t="str">
        <f t="shared" si="57"/>
        <v>VERITY HRA FEES</v>
      </c>
    </row>
    <row r="2879" spans="1:10" x14ac:dyDescent="0.3">
      <c r="A2879" t="str">
        <f>""</f>
        <v/>
      </c>
      <c r="G2879" t="str">
        <f>""</f>
        <v/>
      </c>
      <c r="H2879" t="str">
        <f>""</f>
        <v/>
      </c>
      <c r="J2879" t="str">
        <f t="shared" si="57"/>
        <v>VERITY HRA FEES</v>
      </c>
    </row>
    <row r="2880" spans="1:10" x14ac:dyDescent="0.3">
      <c r="A2880" t="str">
        <f>""</f>
        <v/>
      </c>
      <c r="G2880" t="str">
        <f>""</f>
        <v/>
      </c>
      <c r="H2880" t="str">
        <f>""</f>
        <v/>
      </c>
      <c r="J2880" t="str">
        <f t="shared" si="57"/>
        <v>VERITY HRA FEES</v>
      </c>
    </row>
    <row r="2881" spans="1:10" x14ac:dyDescent="0.3">
      <c r="A2881" t="str">
        <f>""</f>
        <v/>
      </c>
      <c r="G2881" t="str">
        <f>""</f>
        <v/>
      </c>
      <c r="H2881" t="str">
        <f>""</f>
        <v/>
      </c>
      <c r="J2881" t="str">
        <f t="shared" si="57"/>
        <v>VERITY HRA FEES</v>
      </c>
    </row>
    <row r="2882" spans="1:10" x14ac:dyDescent="0.3">
      <c r="A2882" t="str">
        <f>""</f>
        <v/>
      </c>
      <c r="G2882" t="str">
        <f>""</f>
        <v/>
      </c>
      <c r="H2882" t="str">
        <f>""</f>
        <v/>
      </c>
      <c r="J2882" t="str">
        <f t="shared" si="57"/>
        <v>VERITY HRA FEES</v>
      </c>
    </row>
    <row r="2883" spans="1:10" x14ac:dyDescent="0.3">
      <c r="A2883" t="str">
        <f>""</f>
        <v/>
      </c>
      <c r="G2883" t="str">
        <f>""</f>
        <v/>
      </c>
      <c r="H2883" t="str">
        <f>""</f>
        <v/>
      </c>
      <c r="J2883" t="str">
        <f t="shared" si="57"/>
        <v>VERITY HRA FEES</v>
      </c>
    </row>
    <row r="2884" spans="1:10" x14ac:dyDescent="0.3">
      <c r="A2884" t="str">
        <f>""</f>
        <v/>
      </c>
      <c r="G2884" t="str">
        <f>"HRA201707263864"</f>
        <v>HRA201707263864</v>
      </c>
      <c r="H2884" t="str">
        <f>"VERITY HRA FEES"</f>
        <v>VERITY HRA FEES</v>
      </c>
      <c r="I2884" s="2">
        <v>200</v>
      </c>
      <c r="J2884" t="str">
        <f t="shared" si="57"/>
        <v>VERITY HRA FEES</v>
      </c>
    </row>
    <row r="2885" spans="1:10" x14ac:dyDescent="0.3">
      <c r="A2885" t="str">
        <f>""</f>
        <v/>
      </c>
      <c r="G2885" t="str">
        <f>"HRF201707263863"</f>
        <v>HRF201707263863</v>
      </c>
      <c r="H2885" t="str">
        <f>"VERITY HRA FEE"</f>
        <v>VERITY HRA FEE</v>
      </c>
      <c r="I2885" s="2">
        <v>780</v>
      </c>
      <c r="J2885" t="str">
        <f t="shared" ref="J2885:J2925" si="58">"VERITY HRA FEE"</f>
        <v>VERITY HRA FEE</v>
      </c>
    </row>
    <row r="2886" spans="1:10" x14ac:dyDescent="0.3">
      <c r="A2886" t="str">
        <f>""</f>
        <v/>
      </c>
      <c r="G2886" t="str">
        <f>""</f>
        <v/>
      </c>
      <c r="H2886" t="str">
        <f>""</f>
        <v/>
      </c>
      <c r="J2886" t="str">
        <f t="shared" si="58"/>
        <v>VERITY HRA FEE</v>
      </c>
    </row>
    <row r="2887" spans="1:10" x14ac:dyDescent="0.3">
      <c r="A2887" t="str">
        <f>""</f>
        <v/>
      </c>
      <c r="G2887" t="str">
        <f>""</f>
        <v/>
      </c>
      <c r="H2887" t="str">
        <f>""</f>
        <v/>
      </c>
      <c r="J2887" t="str">
        <f t="shared" si="58"/>
        <v>VERITY HRA FEE</v>
      </c>
    </row>
    <row r="2888" spans="1:10" x14ac:dyDescent="0.3">
      <c r="A2888" t="str">
        <f>""</f>
        <v/>
      </c>
      <c r="G2888" t="str">
        <f>""</f>
        <v/>
      </c>
      <c r="H2888" t="str">
        <f>""</f>
        <v/>
      </c>
      <c r="J2888" t="str">
        <f t="shared" si="58"/>
        <v>VERITY HRA FEE</v>
      </c>
    </row>
    <row r="2889" spans="1:10" x14ac:dyDescent="0.3">
      <c r="A2889" t="str">
        <f>""</f>
        <v/>
      </c>
      <c r="G2889" t="str">
        <f>""</f>
        <v/>
      </c>
      <c r="H2889" t="str">
        <f>""</f>
        <v/>
      </c>
      <c r="J2889" t="str">
        <f t="shared" si="58"/>
        <v>VERITY HRA FEE</v>
      </c>
    </row>
    <row r="2890" spans="1:10" x14ac:dyDescent="0.3">
      <c r="A2890" t="str">
        <f>""</f>
        <v/>
      </c>
      <c r="G2890" t="str">
        <f>""</f>
        <v/>
      </c>
      <c r="H2890" t="str">
        <f>""</f>
        <v/>
      </c>
      <c r="J2890" t="str">
        <f t="shared" si="58"/>
        <v>VERITY HRA FEE</v>
      </c>
    </row>
    <row r="2891" spans="1:10" x14ac:dyDescent="0.3">
      <c r="A2891" t="str">
        <f>""</f>
        <v/>
      </c>
      <c r="G2891" t="str">
        <f>""</f>
        <v/>
      </c>
      <c r="H2891" t="str">
        <f>""</f>
        <v/>
      </c>
      <c r="J2891" t="str">
        <f t="shared" si="58"/>
        <v>VERITY HRA FEE</v>
      </c>
    </row>
    <row r="2892" spans="1:10" x14ac:dyDescent="0.3">
      <c r="A2892" t="str">
        <f>""</f>
        <v/>
      </c>
      <c r="G2892" t="str">
        <f>""</f>
        <v/>
      </c>
      <c r="H2892" t="str">
        <f>""</f>
        <v/>
      </c>
      <c r="J2892" t="str">
        <f t="shared" si="58"/>
        <v>VERITY HRA FEE</v>
      </c>
    </row>
    <row r="2893" spans="1:10" x14ac:dyDescent="0.3">
      <c r="A2893" t="str">
        <f>""</f>
        <v/>
      </c>
      <c r="G2893" t="str">
        <f>""</f>
        <v/>
      </c>
      <c r="H2893" t="str">
        <f>""</f>
        <v/>
      </c>
      <c r="J2893" t="str">
        <f t="shared" si="58"/>
        <v>VERITY HRA FEE</v>
      </c>
    </row>
    <row r="2894" spans="1:10" x14ac:dyDescent="0.3">
      <c r="A2894" t="str">
        <f>""</f>
        <v/>
      </c>
      <c r="G2894" t="str">
        <f>""</f>
        <v/>
      </c>
      <c r="H2894" t="str">
        <f>""</f>
        <v/>
      </c>
      <c r="J2894" t="str">
        <f t="shared" si="58"/>
        <v>VERITY HRA FEE</v>
      </c>
    </row>
    <row r="2895" spans="1:10" x14ac:dyDescent="0.3">
      <c r="A2895" t="str">
        <f>""</f>
        <v/>
      </c>
      <c r="G2895" t="str">
        <f>""</f>
        <v/>
      </c>
      <c r="H2895" t="str">
        <f>""</f>
        <v/>
      </c>
      <c r="J2895" t="str">
        <f t="shared" si="58"/>
        <v>VERITY HRA FEE</v>
      </c>
    </row>
    <row r="2896" spans="1:10" x14ac:dyDescent="0.3">
      <c r="A2896" t="str">
        <f>""</f>
        <v/>
      </c>
      <c r="G2896" t="str">
        <f>""</f>
        <v/>
      </c>
      <c r="H2896" t="str">
        <f>""</f>
        <v/>
      </c>
      <c r="J2896" t="str">
        <f t="shared" si="58"/>
        <v>VERITY HRA FEE</v>
      </c>
    </row>
    <row r="2897" spans="1:10" x14ac:dyDescent="0.3">
      <c r="A2897" t="str">
        <f>""</f>
        <v/>
      </c>
      <c r="G2897" t="str">
        <f>""</f>
        <v/>
      </c>
      <c r="H2897" t="str">
        <f>""</f>
        <v/>
      </c>
      <c r="J2897" t="str">
        <f t="shared" si="58"/>
        <v>VERITY HRA FEE</v>
      </c>
    </row>
    <row r="2898" spans="1:10" x14ac:dyDescent="0.3">
      <c r="A2898" t="str">
        <f>""</f>
        <v/>
      </c>
      <c r="G2898" t="str">
        <f>""</f>
        <v/>
      </c>
      <c r="H2898" t="str">
        <f>""</f>
        <v/>
      </c>
      <c r="J2898" t="str">
        <f t="shared" si="58"/>
        <v>VERITY HRA FEE</v>
      </c>
    </row>
    <row r="2899" spans="1:10" x14ac:dyDescent="0.3">
      <c r="A2899" t="str">
        <f>""</f>
        <v/>
      </c>
      <c r="G2899" t="str">
        <f>""</f>
        <v/>
      </c>
      <c r="H2899" t="str">
        <f>""</f>
        <v/>
      </c>
      <c r="J2899" t="str">
        <f t="shared" si="58"/>
        <v>VERITY HRA FEE</v>
      </c>
    </row>
    <row r="2900" spans="1:10" x14ac:dyDescent="0.3">
      <c r="A2900" t="str">
        <f>""</f>
        <v/>
      </c>
      <c r="G2900" t="str">
        <f>""</f>
        <v/>
      </c>
      <c r="H2900" t="str">
        <f>""</f>
        <v/>
      </c>
      <c r="J2900" t="str">
        <f t="shared" si="58"/>
        <v>VERITY HRA FEE</v>
      </c>
    </row>
    <row r="2901" spans="1:10" x14ac:dyDescent="0.3">
      <c r="A2901" t="str">
        <f>""</f>
        <v/>
      </c>
      <c r="G2901" t="str">
        <f>""</f>
        <v/>
      </c>
      <c r="H2901" t="str">
        <f>""</f>
        <v/>
      </c>
      <c r="J2901" t="str">
        <f t="shared" si="58"/>
        <v>VERITY HRA FEE</v>
      </c>
    </row>
    <row r="2902" spans="1:10" x14ac:dyDescent="0.3">
      <c r="A2902" t="str">
        <f>""</f>
        <v/>
      </c>
      <c r="G2902" t="str">
        <f>""</f>
        <v/>
      </c>
      <c r="H2902" t="str">
        <f>""</f>
        <v/>
      </c>
      <c r="J2902" t="str">
        <f t="shared" si="58"/>
        <v>VERITY HRA FEE</v>
      </c>
    </row>
    <row r="2903" spans="1:10" x14ac:dyDescent="0.3">
      <c r="A2903" t="str">
        <f>""</f>
        <v/>
      </c>
      <c r="G2903" t="str">
        <f>""</f>
        <v/>
      </c>
      <c r="H2903" t="str">
        <f>""</f>
        <v/>
      </c>
      <c r="J2903" t="str">
        <f t="shared" si="58"/>
        <v>VERITY HRA FEE</v>
      </c>
    </row>
    <row r="2904" spans="1:10" x14ac:dyDescent="0.3">
      <c r="A2904" t="str">
        <f>""</f>
        <v/>
      </c>
      <c r="G2904" t="str">
        <f>""</f>
        <v/>
      </c>
      <c r="H2904" t="str">
        <f>""</f>
        <v/>
      </c>
      <c r="J2904" t="str">
        <f t="shared" si="58"/>
        <v>VERITY HRA FEE</v>
      </c>
    </row>
    <row r="2905" spans="1:10" x14ac:dyDescent="0.3">
      <c r="A2905" t="str">
        <f>""</f>
        <v/>
      </c>
      <c r="G2905" t="str">
        <f>""</f>
        <v/>
      </c>
      <c r="H2905" t="str">
        <f>""</f>
        <v/>
      </c>
      <c r="J2905" t="str">
        <f t="shared" si="58"/>
        <v>VERITY HRA FEE</v>
      </c>
    </row>
    <row r="2906" spans="1:10" x14ac:dyDescent="0.3">
      <c r="A2906" t="str">
        <f>""</f>
        <v/>
      </c>
      <c r="G2906" t="str">
        <f>""</f>
        <v/>
      </c>
      <c r="H2906" t="str">
        <f>""</f>
        <v/>
      </c>
      <c r="J2906" t="str">
        <f t="shared" si="58"/>
        <v>VERITY HRA FEE</v>
      </c>
    </row>
    <row r="2907" spans="1:10" x14ac:dyDescent="0.3">
      <c r="A2907" t="str">
        <f>""</f>
        <v/>
      </c>
      <c r="G2907" t="str">
        <f>""</f>
        <v/>
      </c>
      <c r="H2907" t="str">
        <f>""</f>
        <v/>
      </c>
      <c r="J2907" t="str">
        <f t="shared" si="58"/>
        <v>VERITY HRA FEE</v>
      </c>
    </row>
    <row r="2908" spans="1:10" x14ac:dyDescent="0.3">
      <c r="A2908" t="str">
        <f>""</f>
        <v/>
      </c>
      <c r="G2908" t="str">
        <f>""</f>
        <v/>
      </c>
      <c r="H2908" t="str">
        <f>""</f>
        <v/>
      </c>
      <c r="J2908" t="str">
        <f t="shared" si="58"/>
        <v>VERITY HRA FEE</v>
      </c>
    </row>
    <row r="2909" spans="1:10" x14ac:dyDescent="0.3">
      <c r="A2909" t="str">
        <f>""</f>
        <v/>
      </c>
      <c r="G2909" t="str">
        <f>""</f>
        <v/>
      </c>
      <c r="H2909" t="str">
        <f>""</f>
        <v/>
      </c>
      <c r="J2909" t="str">
        <f t="shared" si="58"/>
        <v>VERITY HRA FEE</v>
      </c>
    </row>
    <row r="2910" spans="1:10" x14ac:dyDescent="0.3">
      <c r="A2910" t="str">
        <f>""</f>
        <v/>
      </c>
      <c r="G2910" t="str">
        <f>""</f>
        <v/>
      </c>
      <c r="H2910" t="str">
        <f>""</f>
        <v/>
      </c>
      <c r="J2910" t="str">
        <f t="shared" si="58"/>
        <v>VERITY HRA FEE</v>
      </c>
    </row>
    <row r="2911" spans="1:10" x14ac:dyDescent="0.3">
      <c r="A2911" t="str">
        <f>""</f>
        <v/>
      </c>
      <c r="G2911" t="str">
        <f>""</f>
        <v/>
      </c>
      <c r="H2911" t="str">
        <f>""</f>
        <v/>
      </c>
      <c r="J2911" t="str">
        <f t="shared" si="58"/>
        <v>VERITY HRA FEE</v>
      </c>
    </row>
    <row r="2912" spans="1:10" x14ac:dyDescent="0.3">
      <c r="A2912" t="str">
        <f>""</f>
        <v/>
      </c>
      <c r="G2912" t="str">
        <f>""</f>
        <v/>
      </c>
      <c r="H2912" t="str">
        <f>""</f>
        <v/>
      </c>
      <c r="J2912" t="str">
        <f t="shared" si="58"/>
        <v>VERITY HRA FEE</v>
      </c>
    </row>
    <row r="2913" spans="1:10" x14ac:dyDescent="0.3">
      <c r="A2913" t="str">
        <f>""</f>
        <v/>
      </c>
      <c r="G2913" t="str">
        <f>""</f>
        <v/>
      </c>
      <c r="H2913" t="str">
        <f>""</f>
        <v/>
      </c>
      <c r="J2913" t="str">
        <f t="shared" si="58"/>
        <v>VERITY HRA FEE</v>
      </c>
    </row>
    <row r="2914" spans="1:10" x14ac:dyDescent="0.3">
      <c r="A2914" t="str">
        <f>""</f>
        <v/>
      </c>
      <c r="G2914" t="str">
        <f>""</f>
        <v/>
      </c>
      <c r="H2914" t="str">
        <f>""</f>
        <v/>
      </c>
      <c r="J2914" t="str">
        <f t="shared" si="58"/>
        <v>VERITY HRA FEE</v>
      </c>
    </row>
    <row r="2915" spans="1:10" x14ac:dyDescent="0.3">
      <c r="A2915" t="str">
        <f>""</f>
        <v/>
      </c>
      <c r="G2915" t="str">
        <f>""</f>
        <v/>
      </c>
      <c r="H2915" t="str">
        <f>""</f>
        <v/>
      </c>
      <c r="J2915" t="str">
        <f t="shared" si="58"/>
        <v>VERITY HRA FEE</v>
      </c>
    </row>
    <row r="2916" spans="1:10" x14ac:dyDescent="0.3">
      <c r="A2916" t="str">
        <f>""</f>
        <v/>
      </c>
      <c r="G2916" t="str">
        <f>""</f>
        <v/>
      </c>
      <c r="H2916" t="str">
        <f>""</f>
        <v/>
      </c>
      <c r="J2916" t="str">
        <f t="shared" si="58"/>
        <v>VERITY HRA FEE</v>
      </c>
    </row>
    <row r="2917" spans="1:10" x14ac:dyDescent="0.3">
      <c r="A2917" t="str">
        <f>""</f>
        <v/>
      </c>
      <c r="G2917" t="str">
        <f>""</f>
        <v/>
      </c>
      <c r="H2917" t="str">
        <f>""</f>
        <v/>
      </c>
      <c r="J2917" t="str">
        <f t="shared" si="58"/>
        <v>VERITY HRA FEE</v>
      </c>
    </row>
    <row r="2918" spans="1:10" x14ac:dyDescent="0.3">
      <c r="A2918" t="str">
        <f>""</f>
        <v/>
      </c>
      <c r="G2918" t="str">
        <f>""</f>
        <v/>
      </c>
      <c r="H2918" t="str">
        <f>""</f>
        <v/>
      </c>
      <c r="J2918" t="str">
        <f t="shared" si="58"/>
        <v>VERITY HRA FEE</v>
      </c>
    </row>
    <row r="2919" spans="1:10" x14ac:dyDescent="0.3">
      <c r="A2919" t="str">
        <f>""</f>
        <v/>
      </c>
      <c r="G2919" t="str">
        <f>""</f>
        <v/>
      </c>
      <c r="H2919" t="str">
        <f>""</f>
        <v/>
      </c>
      <c r="J2919" t="str">
        <f t="shared" si="58"/>
        <v>VERITY HRA FEE</v>
      </c>
    </row>
    <row r="2920" spans="1:10" x14ac:dyDescent="0.3">
      <c r="A2920" t="str">
        <f>""</f>
        <v/>
      </c>
      <c r="G2920" t="str">
        <f>""</f>
        <v/>
      </c>
      <c r="H2920" t="str">
        <f>""</f>
        <v/>
      </c>
      <c r="J2920" t="str">
        <f t="shared" si="58"/>
        <v>VERITY HRA FEE</v>
      </c>
    </row>
    <row r="2921" spans="1:10" x14ac:dyDescent="0.3">
      <c r="A2921" t="str">
        <f>""</f>
        <v/>
      </c>
      <c r="G2921" t="str">
        <f>""</f>
        <v/>
      </c>
      <c r="H2921" t="str">
        <f>""</f>
        <v/>
      </c>
      <c r="J2921" t="str">
        <f t="shared" si="58"/>
        <v>VERITY HRA FEE</v>
      </c>
    </row>
    <row r="2922" spans="1:10" x14ac:dyDescent="0.3">
      <c r="A2922" t="str">
        <f>""</f>
        <v/>
      </c>
      <c r="G2922" t="str">
        <f>""</f>
        <v/>
      </c>
      <c r="H2922" t="str">
        <f>""</f>
        <v/>
      </c>
      <c r="J2922" t="str">
        <f t="shared" si="58"/>
        <v>VERITY HRA FEE</v>
      </c>
    </row>
    <row r="2923" spans="1:10" x14ac:dyDescent="0.3">
      <c r="A2923" t="str">
        <f>""</f>
        <v/>
      </c>
      <c r="G2923" t="str">
        <f>""</f>
        <v/>
      </c>
      <c r="H2923" t="str">
        <f>""</f>
        <v/>
      </c>
      <c r="J2923" t="str">
        <f t="shared" si="58"/>
        <v>VERITY HRA FEE</v>
      </c>
    </row>
    <row r="2924" spans="1:10" x14ac:dyDescent="0.3">
      <c r="A2924" t="str">
        <f>""</f>
        <v/>
      </c>
      <c r="G2924" t="str">
        <f>""</f>
        <v/>
      </c>
      <c r="H2924" t="str">
        <f>""</f>
        <v/>
      </c>
      <c r="J2924" t="str">
        <f t="shared" si="58"/>
        <v>VERITY HRA FEE</v>
      </c>
    </row>
    <row r="2925" spans="1:10" x14ac:dyDescent="0.3">
      <c r="A2925" t="str">
        <f>""</f>
        <v/>
      </c>
      <c r="G2925" t="str">
        <f>"HRF201707263864"</f>
        <v>HRF201707263864</v>
      </c>
      <c r="H2925" t="str">
        <f>"VERITY HRA FEE"</f>
        <v>VERITY HRA FEE</v>
      </c>
      <c r="I2925" s="2">
        <v>30</v>
      </c>
      <c r="J2925" t="str">
        <f t="shared" si="58"/>
        <v>VERITY HRA FEE</v>
      </c>
    </row>
    <row r="2926" spans="1:10" x14ac:dyDescent="0.3">
      <c r="A2926" t="str">
        <f t="shared" ref="A2926:A2957" si="59">"1"</f>
        <v>1</v>
      </c>
      <c r="B2926" t="s">
        <v>494</v>
      </c>
      <c r="C2926">
        <v>45630</v>
      </c>
      <c r="D2926" s="2">
        <v>73.3</v>
      </c>
      <c r="E2926" s="1">
        <v>42947</v>
      </c>
      <c r="F2926" t="s">
        <v>11</v>
      </c>
      <c r="G2926" t="str">
        <f>"201708074020"</f>
        <v>201708074020</v>
      </c>
      <c r="H2926" t="str">
        <f>"Miscellaneous"</f>
        <v>Miscellaneous</v>
      </c>
      <c r="I2926" s="2">
        <v>73.3</v>
      </c>
      <c r="J2926" t="str">
        <f>"A &amp; M ELECTRIC"</f>
        <v>A &amp; M ELECTRIC</v>
      </c>
    </row>
    <row r="2927" spans="1:10" x14ac:dyDescent="0.3">
      <c r="A2927" t="str">
        <f t="shared" si="59"/>
        <v>1</v>
      </c>
      <c r="B2927" t="s">
        <v>495</v>
      </c>
      <c r="C2927">
        <v>45631</v>
      </c>
      <c r="D2927" s="2">
        <v>250</v>
      </c>
      <c r="E2927" s="1">
        <v>42947</v>
      </c>
      <c r="F2927" t="s">
        <v>11</v>
      </c>
      <c r="G2927" t="str">
        <f>"201708074021"</f>
        <v>201708074021</v>
      </c>
      <c r="H2927" t="str">
        <f>"Miscellaneous"</f>
        <v>Miscellaneous</v>
      </c>
      <c r="I2927" s="2">
        <v>250</v>
      </c>
      <c r="J2927" t="str">
        <f>"ANDREA HAIRE"</f>
        <v>ANDREA HAIRE</v>
      </c>
    </row>
    <row r="2928" spans="1:10" x14ac:dyDescent="0.3">
      <c r="A2928" t="str">
        <f t="shared" si="59"/>
        <v>1</v>
      </c>
      <c r="B2928" t="s">
        <v>496</v>
      </c>
      <c r="C2928">
        <v>45632</v>
      </c>
      <c r="D2928" s="2">
        <v>25</v>
      </c>
      <c r="E2928" s="1">
        <v>42947</v>
      </c>
      <c r="F2928" t="s">
        <v>11</v>
      </c>
      <c r="G2928" t="str">
        <f>"201708074022"</f>
        <v>201708074022</v>
      </c>
      <c r="H2928" t="str">
        <f>"Mi"</f>
        <v>Mi</v>
      </c>
      <c r="I2928" s="2">
        <v>25</v>
      </c>
      <c r="J2928" t="str">
        <f>"ATTORNEY GENERAL OF TEXAS"</f>
        <v>ATTORNEY GENERAL OF TEXAS</v>
      </c>
    </row>
    <row r="2929" spans="1:10" x14ac:dyDescent="0.3">
      <c r="A2929" t="str">
        <f t="shared" si="59"/>
        <v>1</v>
      </c>
      <c r="B2929" t="s">
        <v>497</v>
      </c>
      <c r="C2929">
        <v>45633</v>
      </c>
      <c r="D2929" s="2">
        <v>80</v>
      </c>
      <c r="E2929" s="1">
        <v>42947</v>
      </c>
      <c r="F2929" t="s">
        <v>11</v>
      </c>
      <c r="G2929" t="str">
        <f>"201708074023"</f>
        <v>201708074023</v>
      </c>
      <c r="H2929" t="str">
        <f>"Miscellaneou"</f>
        <v>Miscellaneou</v>
      </c>
      <c r="I2929" s="2">
        <v>80</v>
      </c>
      <c r="J2929" t="str">
        <f>"BANK OF AMERICA"</f>
        <v>BANK OF AMERICA</v>
      </c>
    </row>
    <row r="2930" spans="1:10" x14ac:dyDescent="0.3">
      <c r="A2930" t="str">
        <f t="shared" si="59"/>
        <v>1</v>
      </c>
      <c r="B2930" t="s">
        <v>498</v>
      </c>
      <c r="C2930">
        <v>45634</v>
      </c>
      <c r="D2930" s="2">
        <v>50</v>
      </c>
      <c r="E2930" s="1">
        <v>42947</v>
      </c>
      <c r="F2930" t="s">
        <v>11</v>
      </c>
      <c r="G2930" t="str">
        <f>"201708074024"</f>
        <v>201708074024</v>
      </c>
      <c r="H2930" t="str">
        <f>""</f>
        <v/>
      </c>
      <c r="I2930" s="2">
        <v>50</v>
      </c>
      <c r="J2930" t="str">
        <f>"BASTROP COUNTY SHERIFF'S OFFIC"</f>
        <v>BASTROP COUNTY SHERIFF'S OFFIC</v>
      </c>
    </row>
    <row r="2931" spans="1:10" x14ac:dyDescent="0.3">
      <c r="A2931" t="str">
        <f t="shared" si="59"/>
        <v>1</v>
      </c>
      <c r="B2931" t="s">
        <v>499</v>
      </c>
      <c r="C2931">
        <v>45635</v>
      </c>
      <c r="D2931" s="2">
        <v>80</v>
      </c>
      <c r="E2931" s="1">
        <v>42947</v>
      </c>
      <c r="F2931" t="s">
        <v>11</v>
      </c>
      <c r="G2931" t="str">
        <f>"201708074025"</f>
        <v>201708074025</v>
      </c>
      <c r="H2931" t="str">
        <f>""</f>
        <v/>
      </c>
      <c r="I2931" s="2">
        <v>80</v>
      </c>
      <c r="J2931" t="str">
        <f>"BRAZOS VALLEY SCHOOL CREDIT UN"</f>
        <v>BRAZOS VALLEY SCHOOL CREDIT UN</v>
      </c>
    </row>
    <row r="2932" spans="1:10" x14ac:dyDescent="0.3">
      <c r="A2932" t="str">
        <f t="shared" si="59"/>
        <v>1</v>
      </c>
      <c r="B2932" t="s">
        <v>500</v>
      </c>
      <c r="C2932">
        <v>45636</v>
      </c>
      <c r="D2932" s="2">
        <v>30</v>
      </c>
      <c r="E2932" s="1">
        <v>42947</v>
      </c>
      <c r="F2932" t="s">
        <v>11</v>
      </c>
      <c r="G2932" t="str">
        <f>"201708074026"</f>
        <v>201708074026</v>
      </c>
      <c r="H2932" t="str">
        <f>"Misc"</f>
        <v>Misc</v>
      </c>
      <c r="I2932" s="2">
        <v>30</v>
      </c>
      <c r="J2932" t="str">
        <f>"BROOKSHIRE BROTHERS LTD"</f>
        <v>BROOKSHIRE BROTHERS LTD</v>
      </c>
    </row>
    <row r="2933" spans="1:10" x14ac:dyDescent="0.3">
      <c r="A2933" t="str">
        <f t="shared" si="59"/>
        <v>1</v>
      </c>
      <c r="B2933" t="s">
        <v>501</v>
      </c>
      <c r="C2933">
        <v>45637</v>
      </c>
      <c r="D2933" s="2">
        <v>100</v>
      </c>
      <c r="E2933" s="1">
        <v>42947</v>
      </c>
      <c r="F2933" t="s">
        <v>11</v>
      </c>
      <c r="G2933" t="str">
        <f>"201708074027"</f>
        <v>201708074027</v>
      </c>
      <c r="H2933" t="str">
        <f>"Miscellaneous"</f>
        <v>Miscellaneous</v>
      </c>
      <c r="I2933" s="2">
        <v>100</v>
      </c>
      <c r="J2933" t="str">
        <f>"BUC-EES"</f>
        <v>BUC-EES</v>
      </c>
    </row>
    <row r="2934" spans="1:10" x14ac:dyDescent="0.3">
      <c r="A2934" t="str">
        <f t="shared" si="59"/>
        <v>1</v>
      </c>
      <c r="B2934" t="s">
        <v>502</v>
      </c>
      <c r="C2934">
        <v>45638</v>
      </c>
      <c r="D2934" s="2">
        <v>200</v>
      </c>
      <c r="E2934" s="1">
        <v>42947</v>
      </c>
      <c r="F2934" t="s">
        <v>11</v>
      </c>
      <c r="G2934" t="str">
        <f>"201708074028"</f>
        <v>201708074028</v>
      </c>
      <c r="H2934" t="str">
        <f>"Miscellane"</f>
        <v>Miscellane</v>
      </c>
      <c r="I2934" s="2">
        <v>200</v>
      </c>
      <c r="J2934" t="str">
        <f>"BURTON STATE BANK"</f>
        <v>BURTON STATE BANK</v>
      </c>
    </row>
    <row r="2935" spans="1:10" x14ac:dyDescent="0.3">
      <c r="A2935" t="str">
        <f t="shared" si="59"/>
        <v>1</v>
      </c>
      <c r="B2935" t="s">
        <v>503</v>
      </c>
      <c r="C2935">
        <v>45639</v>
      </c>
      <c r="D2935" s="2">
        <v>70</v>
      </c>
      <c r="E2935" s="1">
        <v>42947</v>
      </c>
      <c r="F2935" t="s">
        <v>11</v>
      </c>
      <c r="G2935" t="str">
        <f>"201708074029"</f>
        <v>201708074029</v>
      </c>
      <c r="H2935" t="str">
        <f>"Miscellane"</f>
        <v>Miscellane</v>
      </c>
      <c r="I2935" s="2">
        <v>70</v>
      </c>
      <c r="J2935" t="str">
        <f>"CASH AMERICA PAWN"</f>
        <v>CASH AMERICA PAWN</v>
      </c>
    </row>
    <row r="2936" spans="1:10" x14ac:dyDescent="0.3">
      <c r="A2936" t="str">
        <f t="shared" si="59"/>
        <v>1</v>
      </c>
      <c r="B2936" t="s">
        <v>504</v>
      </c>
      <c r="C2936">
        <v>45640</v>
      </c>
      <c r="D2936" s="2">
        <v>280</v>
      </c>
      <c r="E2936" s="1">
        <v>42947</v>
      </c>
      <c r="F2936" t="s">
        <v>11</v>
      </c>
      <c r="G2936" t="str">
        <f>"201708074030"</f>
        <v>201708074030</v>
      </c>
      <c r="H2936" t="str">
        <f>"Miscella"</f>
        <v>Miscella</v>
      </c>
      <c r="I2936" s="2">
        <v>280</v>
      </c>
      <c r="J2936" t="str">
        <f>"CENTER DRIVE IN III"</f>
        <v>CENTER DRIVE IN III</v>
      </c>
    </row>
    <row r="2937" spans="1:10" x14ac:dyDescent="0.3">
      <c r="A2937" t="str">
        <f t="shared" si="59"/>
        <v>1</v>
      </c>
      <c r="B2937" t="s">
        <v>505</v>
      </c>
      <c r="C2937">
        <v>45641</v>
      </c>
      <c r="D2937" s="2">
        <v>132</v>
      </c>
      <c r="E2937" s="1">
        <v>42947</v>
      </c>
      <c r="F2937" t="s">
        <v>11</v>
      </c>
      <c r="G2937" t="str">
        <f>"201708074031"</f>
        <v>201708074031</v>
      </c>
      <c r="H2937" t="str">
        <f>"Miscellaneo"</f>
        <v>Miscellaneo</v>
      </c>
      <c r="I2937" s="2">
        <v>132</v>
      </c>
      <c r="J2937" t="str">
        <f>"CENTER DRIVE INN"</f>
        <v>CENTER DRIVE INN</v>
      </c>
    </row>
    <row r="2938" spans="1:10" x14ac:dyDescent="0.3">
      <c r="A2938" t="str">
        <f t="shared" si="59"/>
        <v>1</v>
      </c>
      <c r="B2938" t="s">
        <v>506</v>
      </c>
      <c r="C2938">
        <v>45642</v>
      </c>
      <c r="D2938" s="2">
        <v>70</v>
      </c>
      <c r="E2938" s="1">
        <v>42947</v>
      </c>
      <c r="F2938" t="s">
        <v>11</v>
      </c>
      <c r="G2938" t="str">
        <f>"201708074032"</f>
        <v>201708074032</v>
      </c>
      <c r="H2938" t="str">
        <f>"Miscell"</f>
        <v>Miscell</v>
      </c>
      <c r="I2938" s="2">
        <v>70</v>
      </c>
      <c r="J2938" t="str">
        <f>"CHERYL WELLS BENNETT"</f>
        <v>CHERYL WELLS BENNETT</v>
      </c>
    </row>
    <row r="2939" spans="1:10" x14ac:dyDescent="0.3">
      <c r="A2939" t="str">
        <f t="shared" si="59"/>
        <v>1</v>
      </c>
      <c r="B2939" t="s">
        <v>507</v>
      </c>
      <c r="C2939">
        <v>45643</v>
      </c>
      <c r="D2939" s="2">
        <v>150</v>
      </c>
      <c r="E2939" s="1">
        <v>42947</v>
      </c>
      <c r="F2939" t="s">
        <v>11</v>
      </c>
      <c r="G2939" t="str">
        <f>"201708074033"</f>
        <v>201708074033</v>
      </c>
      <c r="H2939" t="str">
        <f>""</f>
        <v/>
      </c>
      <c r="I2939" s="2">
        <v>150</v>
      </c>
      <c r="J2939" t="str">
        <f>"CITI SECURITY AND INVESTIGATIV"</f>
        <v>CITI SECURITY AND INVESTIGATIV</v>
      </c>
    </row>
    <row r="2940" spans="1:10" x14ac:dyDescent="0.3">
      <c r="A2940" t="str">
        <f t="shared" si="59"/>
        <v>1</v>
      </c>
      <c r="B2940" t="s">
        <v>508</v>
      </c>
      <c r="C2940">
        <v>45644</v>
      </c>
      <c r="D2940" s="2">
        <v>59.35</v>
      </c>
      <c r="E2940" s="1">
        <v>42947</v>
      </c>
      <c r="F2940" t="s">
        <v>11</v>
      </c>
      <c r="G2940" t="str">
        <f>"201708074034"</f>
        <v>201708074034</v>
      </c>
      <c r="H2940" t="str">
        <f>"Mis"</f>
        <v>Mis</v>
      </c>
      <c r="I2940" s="2">
        <v>59.35</v>
      </c>
      <c r="J2940" t="str">
        <f>"CLARA'S STORE AND BAKERY"</f>
        <v>CLARA'S STORE AND BAKERY</v>
      </c>
    </row>
    <row r="2941" spans="1:10" x14ac:dyDescent="0.3">
      <c r="A2941" t="str">
        <f t="shared" si="59"/>
        <v>1</v>
      </c>
      <c r="B2941" t="s">
        <v>509</v>
      </c>
      <c r="C2941">
        <v>45645</v>
      </c>
      <c r="D2941" s="2">
        <v>150</v>
      </c>
      <c r="E2941" s="1">
        <v>42947</v>
      </c>
      <c r="F2941" t="s">
        <v>84</v>
      </c>
      <c r="G2941" t="str">
        <f>"201708074035"</f>
        <v>201708074035</v>
      </c>
      <c r="H2941" t="str">
        <f>"Miscellaneous"</f>
        <v>Miscellaneous</v>
      </c>
      <c r="I2941" s="2">
        <v>150</v>
      </c>
    </row>
    <row r="2942" spans="1:10" x14ac:dyDescent="0.3">
      <c r="A2942" t="str">
        <f t="shared" si="59"/>
        <v>1</v>
      </c>
      <c r="B2942" t="s">
        <v>510</v>
      </c>
      <c r="C2942">
        <v>45646</v>
      </c>
      <c r="D2942" s="2">
        <v>25</v>
      </c>
      <c r="E2942" s="1">
        <v>42947</v>
      </c>
      <c r="F2942" t="s">
        <v>11</v>
      </c>
      <c r="G2942" t="str">
        <f>"201708074036"</f>
        <v>201708074036</v>
      </c>
      <c r="H2942" t="str">
        <f>"Miscellaneous"</f>
        <v>Miscellaneous</v>
      </c>
      <c r="I2942" s="2">
        <v>25</v>
      </c>
      <c r="J2942" t="str">
        <f>"DANTE CRENSHAW"</f>
        <v>DANTE CRENSHAW</v>
      </c>
    </row>
    <row r="2943" spans="1:10" x14ac:dyDescent="0.3">
      <c r="A2943" t="str">
        <f t="shared" si="59"/>
        <v>1</v>
      </c>
      <c r="B2943" t="s">
        <v>511</v>
      </c>
      <c r="C2943">
        <v>45647</v>
      </c>
      <c r="D2943" s="2">
        <v>70.739999999999995</v>
      </c>
      <c r="E2943" s="1">
        <v>42947</v>
      </c>
      <c r="F2943" t="s">
        <v>11</v>
      </c>
      <c r="G2943" t="str">
        <f>"201708074037"</f>
        <v>201708074037</v>
      </c>
      <c r="H2943" t="str">
        <f>"Miscellaneous"</f>
        <v>Miscellaneous</v>
      </c>
      <c r="I2943" s="2">
        <v>70.739999999999995</v>
      </c>
      <c r="J2943" t="str">
        <f>"DAVID HAILE"</f>
        <v>DAVID HAILE</v>
      </c>
    </row>
    <row r="2944" spans="1:10" x14ac:dyDescent="0.3">
      <c r="A2944" t="str">
        <f t="shared" si="59"/>
        <v>1</v>
      </c>
      <c r="B2944" t="s">
        <v>512</v>
      </c>
      <c r="C2944">
        <v>45648</v>
      </c>
      <c r="D2944" s="2">
        <v>165</v>
      </c>
      <c r="E2944" s="1">
        <v>42947</v>
      </c>
      <c r="F2944" t="s">
        <v>11</v>
      </c>
      <c r="G2944" t="str">
        <f>"201708074038"</f>
        <v>201708074038</v>
      </c>
      <c r="H2944" t="str">
        <f>"Miscellaneous"</f>
        <v>Miscellaneous</v>
      </c>
      <c r="I2944" s="2">
        <v>165</v>
      </c>
      <c r="J2944" t="str">
        <f>"DEBORAH TATUM"</f>
        <v>DEBORAH TATUM</v>
      </c>
    </row>
    <row r="2945" spans="1:10" x14ac:dyDescent="0.3">
      <c r="A2945" t="str">
        <f t="shared" si="59"/>
        <v>1</v>
      </c>
      <c r="B2945" t="s">
        <v>513</v>
      </c>
      <c r="C2945">
        <v>45649</v>
      </c>
      <c r="D2945" s="2">
        <v>300</v>
      </c>
      <c r="E2945" s="1">
        <v>42947</v>
      </c>
      <c r="F2945" t="s">
        <v>11</v>
      </c>
      <c r="G2945" t="str">
        <f>"201708074039"</f>
        <v>201708074039</v>
      </c>
      <c r="H2945" t="str">
        <f>"Miscellan"</f>
        <v>Miscellan</v>
      </c>
      <c r="I2945" s="2">
        <v>300</v>
      </c>
      <c r="J2945" t="str">
        <f>"ENERGY TRANSFER CO"</f>
        <v>ENERGY TRANSFER CO</v>
      </c>
    </row>
    <row r="2946" spans="1:10" x14ac:dyDescent="0.3">
      <c r="A2946" t="str">
        <f t="shared" si="59"/>
        <v>1</v>
      </c>
      <c r="B2946" t="s">
        <v>514</v>
      </c>
      <c r="C2946">
        <v>45650</v>
      </c>
      <c r="D2946" s="2">
        <v>179.26</v>
      </c>
      <c r="E2946" s="1">
        <v>42947</v>
      </c>
      <c r="F2946" t="s">
        <v>11</v>
      </c>
      <c r="G2946" t="str">
        <f>"201708074040"</f>
        <v>201708074040</v>
      </c>
      <c r="H2946" t="str">
        <f>"Miscel"</f>
        <v>Miscel</v>
      </c>
      <c r="I2946" s="2">
        <v>179.26</v>
      </c>
      <c r="J2946" t="str">
        <f>"ESTATE OF ALBERT ALMS"</f>
        <v>ESTATE OF ALBERT ALMS</v>
      </c>
    </row>
    <row r="2947" spans="1:10" x14ac:dyDescent="0.3">
      <c r="A2947" t="str">
        <f t="shared" si="59"/>
        <v>1</v>
      </c>
      <c r="B2947" t="s">
        <v>515</v>
      </c>
      <c r="C2947">
        <v>45651</v>
      </c>
      <c r="D2947" s="2">
        <v>95</v>
      </c>
      <c r="E2947" s="1">
        <v>42947</v>
      </c>
      <c r="F2947" t="s">
        <v>11</v>
      </c>
      <c r="G2947" t="str">
        <f>"201708074041"</f>
        <v>201708074041</v>
      </c>
      <c r="H2947" t="str">
        <f>""</f>
        <v/>
      </c>
      <c r="I2947" s="2">
        <v>95</v>
      </c>
      <c r="J2947" t="str">
        <f>"FIRST NATIONAL BANK OF GIDDING"</f>
        <v>FIRST NATIONAL BANK OF GIDDING</v>
      </c>
    </row>
    <row r="2948" spans="1:10" x14ac:dyDescent="0.3">
      <c r="A2948" t="str">
        <f t="shared" si="59"/>
        <v>1</v>
      </c>
      <c r="B2948" t="s">
        <v>516</v>
      </c>
      <c r="C2948">
        <v>45652</v>
      </c>
      <c r="D2948" s="2">
        <v>300</v>
      </c>
      <c r="E2948" s="1">
        <v>42947</v>
      </c>
      <c r="F2948" t="s">
        <v>11</v>
      </c>
      <c r="G2948" t="str">
        <f>"201708074042"</f>
        <v>201708074042</v>
      </c>
      <c r="H2948" t="str">
        <f>"Miscel"</f>
        <v>Miscel</v>
      </c>
      <c r="I2948" s="2">
        <v>300</v>
      </c>
      <c r="J2948" t="str">
        <f>"GARY &amp; DEBORAH DURHAM"</f>
        <v>GARY &amp; DEBORAH DURHAM</v>
      </c>
    </row>
    <row r="2949" spans="1:10" x14ac:dyDescent="0.3">
      <c r="A2949" t="str">
        <f t="shared" si="59"/>
        <v>1</v>
      </c>
      <c r="B2949" t="s">
        <v>517</v>
      </c>
      <c r="C2949">
        <v>45653</v>
      </c>
      <c r="D2949" s="2">
        <v>50</v>
      </c>
      <c r="E2949" s="1">
        <v>42947</v>
      </c>
      <c r="F2949" t="s">
        <v>11</v>
      </c>
      <c r="G2949" t="str">
        <f>"201708074043"</f>
        <v>201708074043</v>
      </c>
      <c r="H2949" t="str">
        <f>"Miscell"</f>
        <v>Miscell</v>
      </c>
      <c r="I2949" s="2">
        <v>50</v>
      </c>
      <c r="J2949" t="str">
        <f>"GOOD LIFE RANCH  LLC"</f>
        <v>GOOD LIFE RANCH  LLC</v>
      </c>
    </row>
    <row r="2950" spans="1:10" x14ac:dyDescent="0.3">
      <c r="A2950" t="str">
        <f t="shared" si="59"/>
        <v>1</v>
      </c>
      <c r="B2950" t="s">
        <v>518</v>
      </c>
      <c r="C2950">
        <v>45654</v>
      </c>
      <c r="D2950" s="2">
        <v>50</v>
      </c>
      <c r="E2950" s="1">
        <v>42947</v>
      </c>
      <c r="F2950" t="s">
        <v>11</v>
      </c>
      <c r="G2950" t="str">
        <f>"201708074044"</f>
        <v>201708074044</v>
      </c>
      <c r="H2950" t="str">
        <f>"CH"</f>
        <v>CH</v>
      </c>
      <c r="I2950" s="2">
        <v>50</v>
      </c>
      <c r="J2950" t="str">
        <f>"GREAT MIDWEST INS CO. ATTN: CH"</f>
        <v>GREAT MIDWEST INS CO. ATTN: CH</v>
      </c>
    </row>
    <row r="2951" spans="1:10" x14ac:dyDescent="0.3">
      <c r="A2951" t="str">
        <f t="shared" si="59"/>
        <v>1</v>
      </c>
      <c r="B2951" t="s">
        <v>519</v>
      </c>
      <c r="C2951">
        <v>45655</v>
      </c>
      <c r="D2951" s="2">
        <v>190.65</v>
      </c>
      <c r="E2951" s="1">
        <v>42947</v>
      </c>
      <c r="F2951" t="s">
        <v>11</v>
      </c>
      <c r="G2951" t="str">
        <f>"201708074045"</f>
        <v>201708074045</v>
      </c>
      <c r="H2951" t="str">
        <f>"Miscellan"</f>
        <v>Miscellan</v>
      </c>
      <c r="I2951" s="2">
        <v>190.65</v>
      </c>
      <c r="J2951" t="str">
        <f>"HEB CHECK SERVICES"</f>
        <v>HEB CHECK SERVICES</v>
      </c>
    </row>
    <row r="2952" spans="1:10" x14ac:dyDescent="0.3">
      <c r="A2952" t="str">
        <f t="shared" si="59"/>
        <v>1</v>
      </c>
      <c r="B2952" t="s">
        <v>520</v>
      </c>
      <c r="C2952">
        <v>45656</v>
      </c>
      <c r="D2952" s="2">
        <v>1020</v>
      </c>
      <c r="E2952" s="1">
        <v>42947</v>
      </c>
      <c r="F2952" t="s">
        <v>11</v>
      </c>
      <c r="G2952" t="str">
        <f>"201708074046"</f>
        <v>201708074046</v>
      </c>
      <c r="H2952" t="str">
        <f>"M"</f>
        <v>M</v>
      </c>
      <c r="I2952" s="2">
        <v>1020</v>
      </c>
      <c r="J2952" t="str">
        <f>"HHSC ARTS (MAIL CODE 1470)"</f>
        <v>HHSC ARTS (MAIL CODE 1470)</v>
      </c>
    </row>
    <row r="2953" spans="1:10" x14ac:dyDescent="0.3">
      <c r="A2953" t="str">
        <f t="shared" si="59"/>
        <v>1</v>
      </c>
      <c r="B2953" t="s">
        <v>521</v>
      </c>
      <c r="C2953">
        <v>45657</v>
      </c>
      <c r="D2953" s="2">
        <v>200</v>
      </c>
      <c r="E2953" s="1">
        <v>42947</v>
      </c>
      <c r="F2953" t="s">
        <v>11</v>
      </c>
      <c r="G2953" t="str">
        <f>"201708074047"</f>
        <v>201708074047</v>
      </c>
      <c r="H2953" t="str">
        <f>"Miscellaneous"</f>
        <v>Miscellaneous</v>
      </c>
      <c r="I2953" s="2">
        <v>200</v>
      </c>
      <c r="J2953" t="str">
        <f>"ISIAH FRANKLIN"</f>
        <v>ISIAH FRANKLIN</v>
      </c>
    </row>
    <row r="2954" spans="1:10" x14ac:dyDescent="0.3">
      <c r="A2954" t="str">
        <f t="shared" si="59"/>
        <v>1</v>
      </c>
      <c r="B2954" t="s">
        <v>522</v>
      </c>
      <c r="C2954">
        <v>45658</v>
      </c>
      <c r="D2954" s="2">
        <v>105</v>
      </c>
      <c r="E2954" s="1">
        <v>42947</v>
      </c>
      <c r="F2954" t="s">
        <v>11</v>
      </c>
      <c r="G2954" t="str">
        <f>"201708074048"</f>
        <v>201708074048</v>
      </c>
      <c r="H2954" t="str">
        <f>"Miscellaneous"</f>
        <v>Miscellaneous</v>
      </c>
      <c r="I2954" s="2">
        <v>105</v>
      </c>
      <c r="J2954" t="str">
        <f>"JAMES BATES"</f>
        <v>JAMES BATES</v>
      </c>
    </row>
    <row r="2955" spans="1:10" x14ac:dyDescent="0.3">
      <c r="A2955" t="str">
        <f t="shared" si="59"/>
        <v>1</v>
      </c>
      <c r="B2955" t="s">
        <v>523</v>
      </c>
      <c r="C2955">
        <v>45659</v>
      </c>
      <c r="D2955" s="2">
        <v>390</v>
      </c>
      <c r="E2955" s="1">
        <v>42947</v>
      </c>
      <c r="F2955" t="s">
        <v>11</v>
      </c>
      <c r="G2955" t="str">
        <f>"201708074049"</f>
        <v>201708074049</v>
      </c>
      <c r="H2955" t="str">
        <f>"Miscellaneous"</f>
        <v>Miscellaneous</v>
      </c>
      <c r="I2955" s="2">
        <v>390</v>
      </c>
      <c r="J2955" t="str">
        <f>"JB HUNT"</f>
        <v>JB HUNT</v>
      </c>
    </row>
    <row r="2956" spans="1:10" x14ac:dyDescent="0.3">
      <c r="A2956" t="str">
        <f t="shared" si="59"/>
        <v>1</v>
      </c>
      <c r="B2956" t="s">
        <v>524</v>
      </c>
      <c r="C2956">
        <v>45660</v>
      </c>
      <c r="D2956" s="2">
        <v>240</v>
      </c>
      <c r="E2956" s="1">
        <v>42947</v>
      </c>
      <c r="F2956" t="s">
        <v>11</v>
      </c>
      <c r="G2956" t="str">
        <f>"201708074050"</f>
        <v>201708074050</v>
      </c>
      <c r="H2956" t="str">
        <f>"Miscellaneous"</f>
        <v>Miscellaneous</v>
      </c>
      <c r="I2956" s="2">
        <v>240</v>
      </c>
      <c r="J2956" t="str">
        <f>"JEFF SALZGEBER"</f>
        <v>JEFF SALZGEBER</v>
      </c>
    </row>
    <row r="2957" spans="1:10" x14ac:dyDescent="0.3">
      <c r="A2957" t="str">
        <f t="shared" si="59"/>
        <v>1</v>
      </c>
      <c r="B2957" t="s">
        <v>525</v>
      </c>
      <c r="C2957">
        <v>45661</v>
      </c>
      <c r="D2957" s="2">
        <v>100</v>
      </c>
      <c r="E2957" s="1">
        <v>42947</v>
      </c>
      <c r="F2957" t="s">
        <v>11</v>
      </c>
      <c r="G2957" t="str">
        <f>"201708074051"</f>
        <v>201708074051</v>
      </c>
      <c r="H2957" t="str">
        <f>""</f>
        <v/>
      </c>
      <c r="I2957" s="2">
        <v>100</v>
      </c>
      <c r="J2957" t="str">
        <f>"JERRY EDMOND FAMILY WORSHIP CE"</f>
        <v>JERRY EDMOND FAMILY WORSHIP CE</v>
      </c>
    </row>
    <row r="2958" spans="1:10" x14ac:dyDescent="0.3">
      <c r="A2958" t="str">
        <f t="shared" ref="A2958:A2989" si="60">"1"</f>
        <v>1</v>
      </c>
      <c r="B2958" t="s">
        <v>526</v>
      </c>
      <c r="C2958">
        <v>45662</v>
      </c>
      <c r="D2958" s="2">
        <v>458</v>
      </c>
      <c r="E2958" s="1">
        <v>42947</v>
      </c>
      <c r="F2958" t="s">
        <v>11</v>
      </c>
      <c r="G2958" t="str">
        <f>"201708074052"</f>
        <v>201708074052</v>
      </c>
      <c r="H2958" t="str">
        <f>"Miscellaneous"</f>
        <v>Miscellaneous</v>
      </c>
      <c r="I2958" s="2">
        <v>458</v>
      </c>
      <c r="J2958" t="str">
        <f>"KEVIN EDWARDS"</f>
        <v>KEVIN EDWARDS</v>
      </c>
    </row>
    <row r="2959" spans="1:10" x14ac:dyDescent="0.3">
      <c r="A2959" t="str">
        <f t="shared" si="60"/>
        <v>1</v>
      </c>
      <c r="B2959" t="s">
        <v>527</v>
      </c>
      <c r="C2959">
        <v>45663</v>
      </c>
      <c r="D2959" s="2">
        <v>60</v>
      </c>
      <c r="E2959" s="1">
        <v>42947</v>
      </c>
      <c r="F2959" t="s">
        <v>11</v>
      </c>
      <c r="G2959" t="str">
        <f>"201708074053"</f>
        <v>201708074053</v>
      </c>
      <c r="H2959" t="str">
        <f>"Miscella"</f>
        <v>Miscella</v>
      </c>
      <c r="I2959" s="2">
        <v>60</v>
      </c>
      <c r="J2959" t="str">
        <f>"LUIS OROSTIETA  JR."</f>
        <v>LUIS OROSTIETA  JR.</v>
      </c>
    </row>
    <row r="2960" spans="1:10" x14ac:dyDescent="0.3">
      <c r="A2960" t="str">
        <f t="shared" si="60"/>
        <v>1</v>
      </c>
      <c r="B2960" t="s">
        <v>528</v>
      </c>
      <c r="C2960">
        <v>45664</v>
      </c>
      <c r="D2960" s="2">
        <v>150</v>
      </c>
      <c r="E2960" s="1">
        <v>42947</v>
      </c>
      <c r="F2960" t="s">
        <v>11</v>
      </c>
      <c r="G2960" t="str">
        <f>"201708074054"</f>
        <v>201708074054</v>
      </c>
      <c r="H2960" t="str">
        <f>"Mi"</f>
        <v>Mi</v>
      </c>
      <c r="I2960" s="2">
        <v>150</v>
      </c>
      <c r="J2960" t="str">
        <f>"MCCOY'S BUILDING SUPPLIES"</f>
        <v>MCCOY'S BUILDING SUPPLIES</v>
      </c>
    </row>
    <row r="2961" spans="1:10" x14ac:dyDescent="0.3">
      <c r="A2961" t="str">
        <f t="shared" si="60"/>
        <v>1</v>
      </c>
      <c r="B2961" t="s">
        <v>529</v>
      </c>
      <c r="C2961">
        <v>45665</v>
      </c>
      <c r="D2961" s="2">
        <v>45</v>
      </c>
      <c r="E2961" s="1">
        <v>42947</v>
      </c>
      <c r="F2961" t="s">
        <v>11</v>
      </c>
      <c r="G2961" t="str">
        <f>"201708074055"</f>
        <v>201708074055</v>
      </c>
      <c r="H2961" t="str">
        <f>"Miscellaneou"</f>
        <v>Miscellaneou</v>
      </c>
      <c r="I2961" s="2">
        <v>45</v>
      </c>
      <c r="J2961" t="str">
        <f>"MICHAEL HAWKINS"</f>
        <v>MICHAEL HAWKINS</v>
      </c>
    </row>
    <row r="2962" spans="1:10" x14ac:dyDescent="0.3">
      <c r="A2962" t="str">
        <f t="shared" si="60"/>
        <v>1</v>
      </c>
      <c r="B2962" t="s">
        <v>530</v>
      </c>
      <c r="C2962">
        <v>45666</v>
      </c>
      <c r="D2962" s="2">
        <v>100</v>
      </c>
      <c r="E2962" s="1">
        <v>42947</v>
      </c>
      <c r="F2962" t="s">
        <v>11</v>
      </c>
      <c r="G2962" t="str">
        <f>"201708074056"</f>
        <v>201708074056</v>
      </c>
      <c r="H2962" t="str">
        <f>"Miscellaneous"</f>
        <v>Miscellaneous</v>
      </c>
      <c r="I2962" s="2">
        <v>100</v>
      </c>
      <c r="J2962" t="str">
        <f>"MIKE GUTHRIE"</f>
        <v>MIKE GUTHRIE</v>
      </c>
    </row>
    <row r="2963" spans="1:10" x14ac:dyDescent="0.3">
      <c r="A2963" t="str">
        <f t="shared" si="60"/>
        <v>1</v>
      </c>
      <c r="B2963" t="s">
        <v>531</v>
      </c>
      <c r="C2963">
        <v>45667</v>
      </c>
      <c r="D2963" s="2">
        <v>70</v>
      </c>
      <c r="E2963" s="1">
        <v>42947</v>
      </c>
      <c r="F2963" t="s">
        <v>11</v>
      </c>
      <c r="G2963" t="str">
        <f>"201708074057"</f>
        <v>201708074057</v>
      </c>
      <c r="H2963" t="str">
        <f>"Miscellaneous"</f>
        <v>Miscellaneous</v>
      </c>
      <c r="I2963" s="2">
        <v>70</v>
      </c>
      <c r="J2963" t="str">
        <f>"MURPHY USA"</f>
        <v>MURPHY USA</v>
      </c>
    </row>
    <row r="2964" spans="1:10" x14ac:dyDescent="0.3">
      <c r="A2964" t="str">
        <f t="shared" si="60"/>
        <v>1</v>
      </c>
      <c r="B2964" t="s">
        <v>532</v>
      </c>
      <c r="C2964">
        <v>45668</v>
      </c>
      <c r="D2964" s="2">
        <v>97</v>
      </c>
      <c r="E2964" s="1">
        <v>42947</v>
      </c>
      <c r="F2964" t="s">
        <v>11</v>
      </c>
      <c r="G2964" t="str">
        <f>"201708074058"</f>
        <v>201708074058</v>
      </c>
      <c r="H2964" t="str">
        <f>"Miscellaneous"</f>
        <v>Miscellaneous</v>
      </c>
      <c r="I2964" s="2">
        <v>97</v>
      </c>
      <c r="J2964" t="str">
        <f>"PALAIS ROYAL"</f>
        <v>PALAIS ROYAL</v>
      </c>
    </row>
    <row r="2965" spans="1:10" x14ac:dyDescent="0.3">
      <c r="A2965" t="str">
        <f t="shared" si="60"/>
        <v>1</v>
      </c>
      <c r="B2965" t="s">
        <v>533</v>
      </c>
      <c r="C2965">
        <v>45669</v>
      </c>
      <c r="D2965" s="2">
        <v>50</v>
      </c>
      <c r="E2965" s="1">
        <v>42947</v>
      </c>
      <c r="F2965" t="s">
        <v>11</v>
      </c>
      <c r="G2965" t="str">
        <f>"201708074059"</f>
        <v>201708074059</v>
      </c>
      <c r="H2965" t="str">
        <f>"Miscellaneou"</f>
        <v>Miscellaneou</v>
      </c>
      <c r="I2965" s="2">
        <v>50</v>
      </c>
      <c r="J2965" t="str">
        <f>"RAMONA CASTILLO"</f>
        <v>RAMONA CASTILLO</v>
      </c>
    </row>
    <row r="2966" spans="1:10" x14ac:dyDescent="0.3">
      <c r="A2966" t="str">
        <f t="shared" si="60"/>
        <v>1</v>
      </c>
      <c r="B2966" t="s">
        <v>534</v>
      </c>
      <c r="C2966">
        <v>45670</v>
      </c>
      <c r="D2966" s="2">
        <v>20</v>
      </c>
      <c r="E2966" s="1">
        <v>42947</v>
      </c>
      <c r="F2966" t="s">
        <v>11</v>
      </c>
      <c r="G2966" t="str">
        <f>"201708074060"</f>
        <v>201708074060</v>
      </c>
      <c r="H2966" t="str">
        <f>"Miscellaneo"</f>
        <v>Miscellaneo</v>
      </c>
      <c r="I2966" s="2">
        <v>20</v>
      </c>
      <c r="J2966" t="str">
        <f>"RICHARD KESSELUS"</f>
        <v>RICHARD KESSELUS</v>
      </c>
    </row>
    <row r="2967" spans="1:10" x14ac:dyDescent="0.3">
      <c r="A2967" t="str">
        <f t="shared" si="60"/>
        <v>1</v>
      </c>
      <c r="B2967" t="s">
        <v>535</v>
      </c>
      <c r="C2967">
        <v>45671</v>
      </c>
      <c r="D2967" s="2">
        <v>350</v>
      </c>
      <c r="E2967" s="1">
        <v>42947</v>
      </c>
      <c r="F2967" t="s">
        <v>11</v>
      </c>
      <c r="G2967" t="str">
        <f>"201708074061"</f>
        <v>201708074061</v>
      </c>
      <c r="H2967" t="str">
        <f>"Miscellaneous"</f>
        <v>Miscellaneous</v>
      </c>
      <c r="I2967" s="2">
        <v>350</v>
      </c>
      <c r="J2967" t="str">
        <f>"ROBYN GOODSON"</f>
        <v>ROBYN GOODSON</v>
      </c>
    </row>
    <row r="2968" spans="1:10" x14ac:dyDescent="0.3">
      <c r="A2968" t="str">
        <f t="shared" si="60"/>
        <v>1</v>
      </c>
      <c r="B2968" t="s">
        <v>536</v>
      </c>
      <c r="C2968">
        <v>45672</v>
      </c>
      <c r="D2968" s="2">
        <v>600</v>
      </c>
      <c r="E2968" s="1">
        <v>42947</v>
      </c>
      <c r="F2968" t="s">
        <v>11</v>
      </c>
      <c r="G2968" t="str">
        <f>"201708074062"</f>
        <v>201708074062</v>
      </c>
      <c r="H2968" t="str">
        <f>"Miscellaneou"</f>
        <v>Miscellaneou</v>
      </c>
      <c r="I2968" s="2">
        <v>600</v>
      </c>
      <c r="J2968" t="str">
        <f>"SHARON HOLTKAMP"</f>
        <v>SHARON HOLTKAMP</v>
      </c>
    </row>
    <row r="2969" spans="1:10" x14ac:dyDescent="0.3">
      <c r="A2969" t="str">
        <f t="shared" si="60"/>
        <v>1</v>
      </c>
      <c r="B2969" t="s">
        <v>537</v>
      </c>
      <c r="C2969">
        <v>45673</v>
      </c>
      <c r="D2969" s="2">
        <v>171</v>
      </c>
      <c r="E2969" s="1">
        <v>42947</v>
      </c>
      <c r="F2969" t="s">
        <v>11</v>
      </c>
      <c r="G2969" t="str">
        <f>"201708074063"</f>
        <v>201708074063</v>
      </c>
      <c r="H2969" t="str">
        <f>"Miscellaneo"</f>
        <v>Miscellaneo</v>
      </c>
      <c r="I2969" s="2">
        <v>171</v>
      </c>
      <c r="J2969" t="str">
        <f>"SHERWIN SIEGMUND"</f>
        <v>SHERWIN SIEGMUND</v>
      </c>
    </row>
    <row r="2970" spans="1:10" x14ac:dyDescent="0.3">
      <c r="A2970" t="str">
        <f t="shared" si="60"/>
        <v>1</v>
      </c>
      <c r="B2970" t="s">
        <v>538</v>
      </c>
      <c r="C2970">
        <v>45674</v>
      </c>
      <c r="D2970" s="2">
        <v>670</v>
      </c>
      <c r="E2970" s="1">
        <v>42947</v>
      </c>
      <c r="F2970" t="s">
        <v>11</v>
      </c>
      <c r="G2970" t="str">
        <f>"201708074064"</f>
        <v>201708074064</v>
      </c>
      <c r="H2970" t="str">
        <f>""</f>
        <v/>
      </c>
      <c r="I2970" s="2">
        <v>670</v>
      </c>
      <c r="J2970" t="str">
        <f>"SMITHVILLE HOUSING AUTHORITY"</f>
        <v>SMITHVILLE HOUSING AUTHORITY</v>
      </c>
    </row>
    <row r="2971" spans="1:10" x14ac:dyDescent="0.3">
      <c r="A2971" t="str">
        <f t="shared" si="60"/>
        <v>1</v>
      </c>
      <c r="B2971" t="s">
        <v>539</v>
      </c>
      <c r="C2971">
        <v>45675</v>
      </c>
      <c r="D2971" s="2">
        <v>210</v>
      </c>
      <c r="E2971" s="1">
        <v>42947</v>
      </c>
      <c r="F2971" t="s">
        <v>11</v>
      </c>
      <c r="G2971" t="str">
        <f>"201708074065"</f>
        <v>201708074065</v>
      </c>
      <c r="H2971" t="str">
        <f>"Miscellaneous"</f>
        <v>Miscellaneous</v>
      </c>
      <c r="I2971" s="2">
        <v>210</v>
      </c>
      <c r="J2971" t="str">
        <f>"SOMERVILLE ISD"</f>
        <v>SOMERVILLE ISD</v>
      </c>
    </row>
    <row r="2972" spans="1:10" x14ac:dyDescent="0.3">
      <c r="A2972" t="str">
        <f t="shared" si="60"/>
        <v>1</v>
      </c>
      <c r="B2972" t="s">
        <v>540</v>
      </c>
      <c r="C2972">
        <v>45676</v>
      </c>
      <c r="D2972" s="2">
        <v>104</v>
      </c>
      <c r="E2972" s="1">
        <v>42947</v>
      </c>
      <c r="F2972" t="s">
        <v>11</v>
      </c>
      <c r="G2972" t="str">
        <f>"201708074066"</f>
        <v>201708074066</v>
      </c>
      <c r="H2972" t="str">
        <f>""</f>
        <v/>
      </c>
      <c r="I2972" s="2">
        <v>104</v>
      </c>
      <c r="J2972" t="str">
        <f>"ST. MARGRET'S CATHOLIC CHURCH"</f>
        <v>ST. MARGRET'S CATHOLIC CHURCH</v>
      </c>
    </row>
    <row r="2973" spans="1:10" x14ac:dyDescent="0.3">
      <c r="A2973" t="str">
        <f t="shared" si="60"/>
        <v>1</v>
      </c>
      <c r="B2973" t="s">
        <v>541</v>
      </c>
      <c r="C2973">
        <v>45677</v>
      </c>
      <c r="D2973" s="2">
        <v>320</v>
      </c>
      <c r="E2973" s="1">
        <v>42947</v>
      </c>
      <c r="F2973" t="s">
        <v>11</v>
      </c>
      <c r="G2973" t="str">
        <f>"201708074067"</f>
        <v>201708074067</v>
      </c>
      <c r="H2973" t="str">
        <f>"Miscellaneo"</f>
        <v>Miscellaneo</v>
      </c>
      <c r="I2973" s="2">
        <v>320</v>
      </c>
      <c r="J2973" t="str">
        <f>"STATE FARM LLOYD"</f>
        <v>STATE FARM LLOYD</v>
      </c>
    </row>
    <row r="2974" spans="1:10" x14ac:dyDescent="0.3">
      <c r="A2974" t="str">
        <f t="shared" si="60"/>
        <v>1</v>
      </c>
      <c r="B2974" t="s">
        <v>542</v>
      </c>
      <c r="C2974">
        <v>45678</v>
      </c>
      <c r="D2974" s="2">
        <v>66</v>
      </c>
      <c r="E2974" s="1">
        <v>42947</v>
      </c>
      <c r="F2974" t="s">
        <v>11</v>
      </c>
      <c r="G2974" t="str">
        <f>"201708074068"</f>
        <v>201708074068</v>
      </c>
      <c r="H2974" t="str">
        <f>"Miscella"</f>
        <v>Miscella</v>
      </c>
      <c r="I2974" s="2">
        <v>66</v>
      </c>
      <c r="J2974" t="str">
        <f>"STEVEN WAYNE MEDACK"</f>
        <v>STEVEN WAYNE MEDACK</v>
      </c>
    </row>
    <row r="2975" spans="1:10" x14ac:dyDescent="0.3">
      <c r="A2975" t="str">
        <f t="shared" si="60"/>
        <v>1</v>
      </c>
      <c r="B2975" t="s">
        <v>543</v>
      </c>
      <c r="C2975">
        <v>45679</v>
      </c>
      <c r="D2975" s="2">
        <v>320</v>
      </c>
      <c r="E2975" s="1">
        <v>42947</v>
      </c>
      <c r="F2975" t="s">
        <v>11</v>
      </c>
      <c r="G2975" t="str">
        <f>"201708074069"</f>
        <v>201708074069</v>
      </c>
      <c r="H2975" t="str">
        <f>"Miscellaneous"</f>
        <v>Miscellaneous</v>
      </c>
      <c r="I2975" s="2">
        <v>320</v>
      </c>
      <c r="J2975" t="str">
        <f>"STRIPES"</f>
        <v>STRIPES</v>
      </c>
    </row>
    <row r="2976" spans="1:10" x14ac:dyDescent="0.3">
      <c r="A2976" t="str">
        <f t="shared" si="60"/>
        <v>1</v>
      </c>
      <c r="B2976" t="s">
        <v>544</v>
      </c>
      <c r="C2976">
        <v>45680</v>
      </c>
      <c r="D2976" s="2">
        <v>100</v>
      </c>
      <c r="E2976" s="1">
        <v>42947</v>
      </c>
      <c r="F2976" t="s">
        <v>11</v>
      </c>
      <c r="G2976" t="str">
        <f>"201708074070"</f>
        <v>201708074070</v>
      </c>
      <c r="H2976" t="str">
        <f>"Miscellaneous"</f>
        <v>Miscellaneous</v>
      </c>
      <c r="I2976" s="2">
        <v>100</v>
      </c>
      <c r="J2976" t="str">
        <f>"SYLVIA DELEON"</f>
        <v>SYLVIA DELEON</v>
      </c>
    </row>
    <row r="2977" spans="1:10" x14ac:dyDescent="0.3">
      <c r="A2977" t="str">
        <f t="shared" si="60"/>
        <v>1</v>
      </c>
      <c r="B2977" t="s">
        <v>545</v>
      </c>
      <c r="C2977">
        <v>45681</v>
      </c>
      <c r="D2977" s="2">
        <v>70</v>
      </c>
      <c r="E2977" s="1">
        <v>42947</v>
      </c>
      <c r="F2977" t="s">
        <v>11</v>
      </c>
      <c r="G2977" t="str">
        <f>"201708074071"</f>
        <v>201708074071</v>
      </c>
      <c r="H2977" t="str">
        <f>"Miscellaneous"</f>
        <v>Miscellaneous</v>
      </c>
      <c r="I2977" s="2">
        <v>70</v>
      </c>
      <c r="J2977" t="str">
        <f>"TOOTSIE'S"</f>
        <v>TOOTSIE'S</v>
      </c>
    </row>
    <row r="2978" spans="1:10" x14ac:dyDescent="0.3">
      <c r="A2978" t="str">
        <f t="shared" si="60"/>
        <v>1</v>
      </c>
      <c r="B2978" t="s">
        <v>546</v>
      </c>
      <c r="C2978">
        <v>45682</v>
      </c>
      <c r="D2978" s="2">
        <v>60</v>
      </c>
      <c r="E2978" s="1">
        <v>42947</v>
      </c>
      <c r="F2978" t="s">
        <v>11</v>
      </c>
      <c r="G2978" t="str">
        <f>"201708074072"</f>
        <v>201708074072</v>
      </c>
      <c r="H2978" t="str">
        <f>"Miscellan"</f>
        <v>Miscellan</v>
      </c>
      <c r="I2978" s="2">
        <v>60</v>
      </c>
      <c r="J2978" t="str">
        <f>"TRACY JOSEPH ISELT"</f>
        <v>TRACY JOSEPH ISELT</v>
      </c>
    </row>
    <row r="2979" spans="1:10" x14ac:dyDescent="0.3">
      <c r="A2979" t="str">
        <f t="shared" si="60"/>
        <v>1</v>
      </c>
      <c r="B2979" t="s">
        <v>547</v>
      </c>
      <c r="C2979">
        <v>45683</v>
      </c>
      <c r="D2979" s="2">
        <v>750</v>
      </c>
      <c r="E2979" s="1">
        <v>42947</v>
      </c>
      <c r="F2979" t="s">
        <v>11</v>
      </c>
      <c r="G2979" t="str">
        <f>"201708074073"</f>
        <v>201708074073</v>
      </c>
      <c r="H2979" t="str">
        <f>""</f>
        <v/>
      </c>
      <c r="I2979" s="2">
        <v>750</v>
      </c>
      <c r="J2979" t="str">
        <f>"TRAVELERS INSURANCE-PNPCLAIM25"</f>
        <v>TRAVELERS INSURANCE-PNPCLAIM25</v>
      </c>
    </row>
    <row r="2980" spans="1:10" x14ac:dyDescent="0.3">
      <c r="A2980" t="str">
        <f t="shared" si="60"/>
        <v>1</v>
      </c>
      <c r="B2980" t="s">
        <v>548</v>
      </c>
      <c r="C2980">
        <v>45684</v>
      </c>
      <c r="D2980" s="2">
        <v>250</v>
      </c>
      <c r="E2980" s="1">
        <v>42947</v>
      </c>
      <c r="F2980" t="s">
        <v>11</v>
      </c>
      <c r="G2980" t="str">
        <f>"201708074074"</f>
        <v>201708074074</v>
      </c>
      <c r="H2980" t="str">
        <f>""</f>
        <v/>
      </c>
      <c r="I2980" s="2">
        <v>250</v>
      </c>
      <c r="J2980" t="str">
        <f>"TX ASSOC OF COUNTIES RISK MANA"</f>
        <v>TX ASSOC OF COUNTIES RISK MANA</v>
      </c>
    </row>
    <row r="2981" spans="1:10" x14ac:dyDescent="0.3">
      <c r="A2981" t="str">
        <f t="shared" si="60"/>
        <v>1</v>
      </c>
      <c r="B2981" t="s">
        <v>549</v>
      </c>
      <c r="C2981">
        <v>45685</v>
      </c>
      <c r="D2981" s="2">
        <v>210</v>
      </c>
      <c r="E2981" s="1">
        <v>42947</v>
      </c>
      <c r="F2981" t="s">
        <v>11</v>
      </c>
      <c r="G2981" t="str">
        <f>"201708074075"</f>
        <v>201708074075</v>
      </c>
      <c r="H2981" t="str">
        <f>""</f>
        <v/>
      </c>
      <c r="I2981" s="2">
        <v>210</v>
      </c>
      <c r="J2981" t="str">
        <f>"USAA GENERAL INDEMNITY COMPANY"</f>
        <v>USAA GENERAL INDEMNITY COMPANY</v>
      </c>
    </row>
    <row r="2982" spans="1:10" x14ac:dyDescent="0.3">
      <c r="A2982" t="str">
        <f t="shared" si="60"/>
        <v>1</v>
      </c>
      <c r="B2982" t="s">
        <v>550</v>
      </c>
      <c r="C2982">
        <v>45686</v>
      </c>
      <c r="D2982" s="2">
        <v>1375</v>
      </c>
      <c r="E2982" s="1">
        <v>42947</v>
      </c>
      <c r="F2982" t="s">
        <v>11</v>
      </c>
      <c r="G2982" t="str">
        <f>"201708074076"</f>
        <v>201708074076</v>
      </c>
      <c r="H2982" t="str">
        <f>""</f>
        <v/>
      </c>
      <c r="I2982" s="2">
        <v>1375</v>
      </c>
      <c r="J2982" t="str">
        <f>"WAL-MART RESTITUTION RECOVERY"</f>
        <v>WAL-MART RESTITUTION RECOVERY</v>
      </c>
    </row>
    <row r="2983" spans="1:10" x14ac:dyDescent="0.3">
      <c r="A2983" t="str">
        <f t="shared" si="60"/>
        <v>1</v>
      </c>
      <c r="B2983" t="s">
        <v>551</v>
      </c>
      <c r="C2983">
        <v>45687</v>
      </c>
      <c r="D2983" s="2">
        <v>135</v>
      </c>
      <c r="E2983" s="1">
        <v>42947</v>
      </c>
      <c r="F2983" t="s">
        <v>11</v>
      </c>
      <c r="G2983" t="str">
        <f>"201708074077"</f>
        <v>201708074077</v>
      </c>
      <c r="H2983" t="str">
        <f>"Miscellaneous"</f>
        <v>Miscellaneous</v>
      </c>
      <c r="I2983" s="2">
        <v>135</v>
      </c>
      <c r="J2983" t="str">
        <f>"WILLIAM HOLLE"</f>
        <v>WILLIAM HOLLE</v>
      </c>
    </row>
    <row r="2984" spans="1:10" x14ac:dyDescent="0.3">
      <c r="A2984" t="str">
        <f t="shared" si="60"/>
        <v>1</v>
      </c>
      <c r="B2984" t="s">
        <v>552</v>
      </c>
      <c r="C2984">
        <v>45688</v>
      </c>
      <c r="D2984" s="2">
        <v>415</v>
      </c>
      <c r="E2984" s="1">
        <v>42947</v>
      </c>
      <c r="F2984" t="s">
        <v>11</v>
      </c>
      <c r="G2984" t="str">
        <f>"201708074078"</f>
        <v>201708074078</v>
      </c>
      <c r="H2984" t="str">
        <f>"Mis"</f>
        <v>Mis</v>
      </c>
      <c r="I2984" s="2">
        <v>415</v>
      </c>
      <c r="J2984" t="str">
        <f>"BASTROP COUNTY TREASURER"</f>
        <v>BASTROP COUNTY TREASURER</v>
      </c>
    </row>
    <row r="2985" spans="1:10" x14ac:dyDescent="0.3">
      <c r="A2985" t="str">
        <f t="shared" si="60"/>
        <v>1</v>
      </c>
      <c r="B2985" t="s">
        <v>553</v>
      </c>
      <c r="C2985">
        <v>45689</v>
      </c>
      <c r="D2985" s="2">
        <v>55</v>
      </c>
      <c r="E2985" s="1">
        <v>42947</v>
      </c>
      <c r="F2985" t="s">
        <v>11</v>
      </c>
      <c r="G2985" t="str">
        <f>"201708074079"</f>
        <v>201708074079</v>
      </c>
      <c r="H2985" t="str">
        <f>""</f>
        <v/>
      </c>
      <c r="I2985" s="2">
        <v>55</v>
      </c>
      <c r="J2985" t="str">
        <f>"WASHINGTON COUNTY DISTRICT CLE"</f>
        <v>WASHINGTON COUNTY DISTRICT CLE</v>
      </c>
    </row>
    <row r="2986" spans="1:10" x14ac:dyDescent="0.3">
      <c r="A2986" t="str">
        <f t="shared" si="60"/>
        <v>1</v>
      </c>
      <c r="B2986" t="s">
        <v>553</v>
      </c>
      <c r="C2986">
        <v>45690</v>
      </c>
      <c r="D2986" s="2">
        <v>8362.7000000000007</v>
      </c>
      <c r="E2986" s="1">
        <v>42947</v>
      </c>
      <c r="F2986" t="s">
        <v>11</v>
      </c>
      <c r="G2986" t="str">
        <f>"201708074080"</f>
        <v>201708074080</v>
      </c>
      <c r="H2986" t="str">
        <f>""</f>
        <v/>
      </c>
      <c r="I2986" s="2">
        <v>8362.7000000000007</v>
      </c>
      <c r="J2986" t="str">
        <f>"WASHINGTON COUNTY DISTRICT CLE"</f>
        <v>WASHINGTON COUNTY DISTRICT CLE</v>
      </c>
    </row>
    <row r="2987" spans="1:10" x14ac:dyDescent="0.3">
      <c r="A2987" t="str">
        <f t="shared" si="60"/>
        <v>1</v>
      </c>
      <c r="B2987" t="s">
        <v>554</v>
      </c>
      <c r="C2987">
        <v>45691</v>
      </c>
      <c r="D2987" s="2">
        <v>345</v>
      </c>
      <c r="E2987" s="1">
        <v>42947</v>
      </c>
      <c r="F2987" t="s">
        <v>11</v>
      </c>
      <c r="G2987" t="str">
        <f>"201708074081"</f>
        <v>201708074081</v>
      </c>
      <c r="H2987" t="str">
        <f>""</f>
        <v/>
      </c>
      <c r="I2987" s="2">
        <v>345</v>
      </c>
      <c r="J2987" t="str">
        <f>"WASHINGTON CO CRIMESTOPPERS"</f>
        <v>WASHINGTON CO CRIMESTOPPERS</v>
      </c>
    </row>
    <row r="2988" spans="1:10" x14ac:dyDescent="0.3">
      <c r="A2988" t="str">
        <f t="shared" si="60"/>
        <v>1</v>
      </c>
      <c r="B2988" t="s">
        <v>555</v>
      </c>
      <c r="C2988">
        <v>45692</v>
      </c>
      <c r="D2988" s="2">
        <v>3764</v>
      </c>
      <c r="E2988" s="1">
        <v>42947</v>
      </c>
      <c r="F2988" t="s">
        <v>11</v>
      </c>
      <c r="G2988" t="str">
        <f>"201708074082"</f>
        <v>201708074082</v>
      </c>
      <c r="H2988" t="str">
        <f>""</f>
        <v/>
      </c>
      <c r="I2988" s="2">
        <v>3764</v>
      </c>
      <c r="J2988" t="str">
        <f>"BURLESON COUNTY DISTRICT CLERK"</f>
        <v>BURLESON COUNTY DISTRICT CLERK</v>
      </c>
    </row>
    <row r="2989" spans="1:10" x14ac:dyDescent="0.3">
      <c r="A2989" t="str">
        <f t="shared" si="60"/>
        <v>1</v>
      </c>
      <c r="B2989" t="s">
        <v>556</v>
      </c>
      <c r="C2989">
        <v>45693</v>
      </c>
      <c r="D2989" s="2">
        <v>975</v>
      </c>
      <c r="E2989" s="1">
        <v>42947</v>
      </c>
      <c r="F2989" t="s">
        <v>11</v>
      </c>
      <c r="G2989" t="str">
        <f>"201708074083"</f>
        <v>201708074083</v>
      </c>
      <c r="H2989" t="str">
        <f>""</f>
        <v/>
      </c>
      <c r="I2989" s="2">
        <v>975</v>
      </c>
      <c r="J2989" t="str">
        <f>"BLUEBONNET AREA CRIMESTOPPERS"</f>
        <v>BLUEBONNET AREA CRIMESTOPPERS</v>
      </c>
    </row>
    <row r="2990" spans="1:10" x14ac:dyDescent="0.3">
      <c r="A2990" t="str">
        <f t="shared" ref="A2990:A2995" si="61">"1"</f>
        <v>1</v>
      </c>
      <c r="B2990" t="s">
        <v>557</v>
      </c>
      <c r="C2990">
        <v>45694</v>
      </c>
      <c r="D2990" s="2">
        <v>110</v>
      </c>
      <c r="E2990" s="1">
        <v>42947</v>
      </c>
      <c r="F2990" t="s">
        <v>11</v>
      </c>
      <c r="G2990" t="str">
        <f>"201708074084"</f>
        <v>201708074084</v>
      </c>
      <c r="H2990" t="str">
        <f>""</f>
        <v/>
      </c>
      <c r="I2990" s="2">
        <v>110</v>
      </c>
      <c r="J2990" t="str">
        <f>"WASHINGTON COUNTY TREASURER"</f>
        <v>WASHINGTON COUNTY TREASURER</v>
      </c>
    </row>
    <row r="2991" spans="1:10" x14ac:dyDescent="0.3">
      <c r="A2991" t="str">
        <f t="shared" si="61"/>
        <v>1</v>
      </c>
      <c r="B2991" t="s">
        <v>558</v>
      </c>
      <c r="C2991">
        <v>45695</v>
      </c>
      <c r="D2991" s="2">
        <v>600</v>
      </c>
      <c r="E2991" s="1">
        <v>42947</v>
      </c>
      <c r="F2991" t="s">
        <v>11</v>
      </c>
      <c r="G2991" t="str">
        <f>"201708074085"</f>
        <v>201708074085</v>
      </c>
      <c r="H2991" t="str">
        <f>""</f>
        <v/>
      </c>
      <c r="I2991" s="2">
        <v>600</v>
      </c>
      <c r="J2991" t="str">
        <f>"TEXAS DPS  RESTITUTION ACCOUNT"</f>
        <v>TEXAS DPS  RESTITUTION ACCOUNT</v>
      </c>
    </row>
    <row r="2992" spans="1:10" x14ac:dyDescent="0.3">
      <c r="A2992" t="str">
        <f t="shared" si="61"/>
        <v>1</v>
      </c>
      <c r="B2992" t="s">
        <v>559</v>
      </c>
      <c r="C2992">
        <v>45696</v>
      </c>
      <c r="D2992" s="2">
        <v>30</v>
      </c>
      <c r="E2992" s="1">
        <v>42947</v>
      </c>
      <c r="F2992" t="s">
        <v>11</v>
      </c>
      <c r="G2992" t="str">
        <f>"201708074086"</f>
        <v>201708074086</v>
      </c>
      <c r="H2992" t="str">
        <f>"Misc"</f>
        <v>Misc</v>
      </c>
      <c r="I2992" s="2">
        <v>30</v>
      </c>
      <c r="J2992" t="str">
        <f>"WASHINGTON COUNTY CLERK"</f>
        <v>WASHINGTON COUNTY CLERK</v>
      </c>
    </row>
    <row r="2993" spans="1:10" x14ac:dyDescent="0.3">
      <c r="A2993" t="str">
        <f t="shared" si="61"/>
        <v>1</v>
      </c>
      <c r="B2993" t="s">
        <v>560</v>
      </c>
      <c r="C2993">
        <v>45697</v>
      </c>
      <c r="D2993" s="2">
        <v>115</v>
      </c>
      <c r="E2993" s="1">
        <v>42947</v>
      </c>
      <c r="F2993" t="s">
        <v>11</v>
      </c>
      <c r="G2993" t="str">
        <f>"201708074087"</f>
        <v>201708074087</v>
      </c>
      <c r="H2993" t="str">
        <f>"Miscellane"</f>
        <v>Miscellane</v>
      </c>
      <c r="I2993" s="2">
        <v>115</v>
      </c>
      <c r="J2993" t="str">
        <f>"FOCUSING FAMILIES"</f>
        <v>FOCUSING FAMILIES</v>
      </c>
    </row>
    <row r="2994" spans="1:10" x14ac:dyDescent="0.3">
      <c r="A2994" t="str">
        <f t="shared" si="61"/>
        <v>1</v>
      </c>
      <c r="B2994" t="s">
        <v>561</v>
      </c>
      <c r="C2994">
        <v>45698</v>
      </c>
      <c r="D2994" s="2">
        <v>125</v>
      </c>
      <c r="E2994" s="1">
        <v>42947</v>
      </c>
      <c r="F2994" t="s">
        <v>11</v>
      </c>
      <c r="G2994" t="str">
        <f>"201708074088"</f>
        <v>201708074088</v>
      </c>
      <c r="H2994" t="str">
        <f>"Miscellan"</f>
        <v>Miscellan</v>
      </c>
      <c r="I2994" s="2">
        <v>125</v>
      </c>
      <c r="J2994" t="str">
        <f>"SANCHEZ  GABRIELLA"</f>
        <v>SANCHEZ  GABRIELLA</v>
      </c>
    </row>
    <row r="2995" spans="1:10" x14ac:dyDescent="0.3">
      <c r="A2995" t="str">
        <f t="shared" si="61"/>
        <v>1</v>
      </c>
      <c r="B2995" t="s">
        <v>562</v>
      </c>
      <c r="C2995">
        <v>45699</v>
      </c>
      <c r="D2995" s="2">
        <v>100</v>
      </c>
      <c r="E2995" s="1">
        <v>42947</v>
      </c>
      <c r="F2995" t="s">
        <v>11</v>
      </c>
      <c r="G2995" t="str">
        <f>"201708074089"</f>
        <v>201708074089</v>
      </c>
      <c r="H2995" t="str">
        <f>"Miscell"</f>
        <v>Miscell</v>
      </c>
      <c r="I2995" s="2">
        <v>100</v>
      </c>
      <c r="J2995" t="str">
        <f>"FAMILY CRISIS CENTER"</f>
        <v>FAMILY CRISIS CENTER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2018-05-01T15:50:49Z</dcterms:created>
  <dcterms:modified xsi:type="dcterms:W3CDTF">2018-05-01T15:50:49Z</dcterms:modified>
</cp:coreProperties>
</file>