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10848"/>
  </bookViews>
  <sheets>
    <sheet name="AP-CHK-RPT-20180501" sheetId="1" r:id="rId1"/>
  </sheets>
  <calcPr calcId="0"/>
</workbook>
</file>

<file path=xl/calcChain.xml><?xml version="1.0" encoding="utf-8"?>
<calcChain xmlns="http://schemas.openxmlformats.org/spreadsheetml/2006/main">
  <c r="A2" i="1" l="1"/>
  <c r="G2" i="1"/>
  <c r="H2" i="1"/>
  <c r="J2" i="1"/>
  <c r="A3" i="1"/>
  <c r="G3" i="1"/>
  <c r="H3" i="1"/>
  <c r="J3" i="1"/>
  <c r="A4" i="1"/>
  <c r="G4" i="1"/>
  <c r="H4" i="1"/>
  <c r="J4" i="1"/>
  <c r="A5" i="1"/>
  <c r="G5" i="1"/>
  <c r="H5" i="1"/>
  <c r="J5" i="1"/>
  <c r="A6" i="1"/>
  <c r="G6" i="1"/>
  <c r="H6" i="1"/>
  <c r="J6" i="1"/>
  <c r="A7" i="1"/>
  <c r="G7" i="1"/>
  <c r="H7" i="1"/>
  <c r="J7" i="1"/>
  <c r="A8" i="1"/>
  <c r="G8" i="1"/>
  <c r="H8" i="1"/>
  <c r="J8" i="1"/>
  <c r="A9" i="1"/>
  <c r="G9" i="1"/>
  <c r="H9" i="1"/>
  <c r="J9" i="1"/>
  <c r="A10" i="1"/>
  <c r="G10" i="1"/>
  <c r="H10" i="1"/>
  <c r="J10" i="1"/>
  <c r="A11" i="1"/>
  <c r="G11" i="1"/>
  <c r="H11" i="1"/>
  <c r="J11" i="1"/>
  <c r="A12" i="1"/>
  <c r="G12" i="1"/>
  <c r="H12" i="1"/>
  <c r="J12" i="1"/>
  <c r="A13" i="1"/>
  <c r="G13" i="1"/>
  <c r="H13" i="1"/>
  <c r="J13" i="1"/>
  <c r="A14" i="1"/>
  <c r="G14" i="1"/>
  <c r="H14" i="1"/>
  <c r="J14" i="1"/>
  <c r="A15" i="1"/>
  <c r="G15" i="1"/>
  <c r="H15" i="1"/>
  <c r="J15" i="1"/>
  <c r="A16" i="1"/>
  <c r="G16" i="1"/>
  <c r="H16" i="1"/>
  <c r="J16" i="1"/>
  <c r="A17" i="1"/>
  <c r="G17" i="1"/>
  <c r="H17" i="1"/>
  <c r="J17" i="1"/>
  <c r="A18" i="1"/>
  <c r="G18" i="1"/>
  <c r="H18" i="1"/>
  <c r="J18" i="1"/>
  <c r="A19" i="1"/>
  <c r="G19" i="1"/>
  <c r="H19" i="1"/>
  <c r="J19" i="1"/>
  <c r="A20" i="1"/>
  <c r="G20" i="1"/>
  <c r="H20" i="1"/>
  <c r="J20" i="1"/>
  <c r="A21" i="1"/>
  <c r="G21" i="1"/>
  <c r="H21" i="1"/>
  <c r="J21" i="1"/>
  <c r="A22" i="1"/>
  <c r="G22" i="1"/>
  <c r="H22" i="1"/>
  <c r="J22" i="1"/>
  <c r="A23" i="1"/>
  <c r="G23" i="1"/>
  <c r="H23" i="1"/>
  <c r="J23" i="1"/>
  <c r="A24" i="1"/>
  <c r="G24" i="1"/>
  <c r="H24" i="1"/>
  <c r="J24" i="1"/>
  <c r="A25" i="1"/>
  <c r="G25" i="1"/>
  <c r="H25" i="1"/>
  <c r="J25" i="1"/>
  <c r="A26" i="1"/>
  <c r="G26" i="1"/>
  <c r="H26" i="1"/>
  <c r="J26" i="1"/>
  <c r="A27" i="1"/>
  <c r="G27" i="1"/>
  <c r="H27" i="1"/>
  <c r="J27" i="1"/>
  <c r="A28" i="1"/>
  <c r="G28" i="1"/>
  <c r="H28" i="1"/>
  <c r="J28" i="1"/>
  <c r="A29" i="1"/>
  <c r="G29" i="1"/>
  <c r="H29" i="1"/>
  <c r="J29" i="1"/>
  <c r="A30" i="1"/>
  <c r="G30" i="1"/>
  <c r="H30" i="1"/>
  <c r="J30" i="1"/>
  <c r="A31" i="1"/>
  <c r="G31" i="1"/>
  <c r="H31" i="1"/>
  <c r="J31" i="1"/>
  <c r="A32" i="1"/>
  <c r="G32" i="1"/>
  <c r="H32" i="1"/>
  <c r="J32" i="1"/>
  <c r="A33" i="1"/>
  <c r="G33" i="1"/>
  <c r="H33" i="1"/>
  <c r="J33" i="1"/>
  <c r="A34" i="1"/>
  <c r="G34" i="1"/>
  <c r="H34" i="1"/>
  <c r="J34" i="1"/>
  <c r="A35" i="1"/>
  <c r="G35" i="1"/>
  <c r="H35" i="1"/>
  <c r="J35" i="1"/>
  <c r="A36" i="1"/>
  <c r="G36" i="1"/>
  <c r="H36" i="1"/>
  <c r="J36" i="1"/>
  <c r="A37" i="1"/>
  <c r="G37" i="1"/>
  <c r="H37" i="1"/>
  <c r="J37" i="1"/>
  <c r="A38" i="1"/>
  <c r="G38" i="1"/>
  <c r="H38" i="1"/>
  <c r="J38" i="1"/>
  <c r="A39" i="1"/>
  <c r="G39" i="1"/>
  <c r="H39" i="1"/>
  <c r="J39" i="1"/>
  <c r="A40" i="1"/>
  <c r="G40" i="1"/>
  <c r="H40" i="1"/>
  <c r="J40" i="1"/>
  <c r="A41" i="1"/>
  <c r="G41" i="1"/>
  <c r="H41" i="1"/>
  <c r="J41" i="1"/>
  <c r="A42" i="1"/>
  <c r="G42" i="1"/>
  <c r="H42" i="1"/>
  <c r="J42" i="1"/>
  <c r="A43" i="1"/>
  <c r="G43" i="1"/>
  <c r="H43" i="1"/>
  <c r="J43" i="1"/>
  <c r="A44" i="1"/>
  <c r="G44" i="1"/>
  <c r="H44" i="1"/>
  <c r="J44" i="1"/>
  <c r="A45" i="1"/>
  <c r="G45" i="1"/>
  <c r="H45" i="1"/>
  <c r="J45" i="1"/>
  <c r="A46" i="1"/>
  <c r="G46" i="1"/>
  <c r="H46" i="1"/>
  <c r="J46" i="1"/>
  <c r="A47" i="1"/>
  <c r="G47" i="1"/>
  <c r="H47" i="1"/>
  <c r="J47" i="1"/>
  <c r="A48" i="1"/>
  <c r="G48" i="1"/>
  <c r="H48" i="1"/>
  <c r="J48" i="1"/>
  <c r="A49" i="1"/>
  <c r="G49" i="1"/>
  <c r="H49" i="1"/>
  <c r="J49" i="1"/>
  <c r="A50" i="1"/>
  <c r="G50" i="1"/>
  <c r="H50" i="1"/>
  <c r="J50" i="1"/>
  <c r="A51" i="1"/>
  <c r="G51" i="1"/>
  <c r="H51" i="1"/>
  <c r="J51" i="1"/>
  <c r="A52" i="1"/>
  <c r="G52" i="1"/>
  <c r="H52" i="1"/>
  <c r="J52" i="1"/>
  <c r="A53" i="1"/>
  <c r="G53" i="1"/>
  <c r="H53" i="1"/>
  <c r="J53" i="1"/>
  <c r="A54" i="1"/>
  <c r="G54" i="1"/>
  <c r="H54" i="1"/>
  <c r="J54" i="1"/>
  <c r="A55" i="1"/>
  <c r="G55" i="1"/>
  <c r="H55" i="1"/>
  <c r="J55" i="1"/>
  <c r="A56" i="1"/>
  <c r="G56" i="1"/>
  <c r="H56" i="1"/>
  <c r="J56" i="1"/>
  <c r="A57" i="1"/>
  <c r="G57" i="1"/>
  <c r="H57" i="1"/>
  <c r="J57" i="1"/>
  <c r="A58" i="1"/>
  <c r="G58" i="1"/>
  <c r="H58" i="1"/>
  <c r="J58" i="1"/>
  <c r="A59" i="1"/>
  <c r="G59" i="1"/>
  <c r="H59" i="1"/>
  <c r="J59" i="1"/>
  <c r="A60" i="1"/>
  <c r="G60" i="1"/>
  <c r="H60" i="1"/>
  <c r="J60" i="1"/>
  <c r="A61" i="1"/>
  <c r="G61" i="1"/>
  <c r="H61" i="1"/>
  <c r="J61" i="1"/>
  <c r="A62" i="1"/>
  <c r="G62" i="1"/>
  <c r="H62" i="1"/>
  <c r="J62" i="1"/>
  <c r="A63" i="1"/>
  <c r="G63" i="1"/>
  <c r="H63" i="1"/>
  <c r="J63" i="1"/>
  <c r="A64" i="1"/>
  <c r="G64" i="1"/>
  <c r="H64" i="1"/>
  <c r="J64" i="1"/>
  <c r="A65" i="1"/>
  <c r="G65" i="1"/>
  <c r="H65" i="1"/>
  <c r="J65" i="1"/>
  <c r="A66" i="1"/>
  <c r="G66" i="1"/>
  <c r="H66" i="1"/>
  <c r="J66" i="1"/>
  <c r="A67" i="1"/>
  <c r="G67" i="1"/>
  <c r="H67" i="1"/>
  <c r="J67" i="1"/>
  <c r="A68" i="1"/>
  <c r="G68" i="1"/>
  <c r="H68" i="1"/>
  <c r="J68" i="1"/>
  <c r="A69" i="1"/>
  <c r="G69" i="1"/>
  <c r="H69" i="1"/>
  <c r="J69" i="1"/>
  <c r="A70" i="1"/>
  <c r="G70" i="1"/>
  <c r="H70" i="1"/>
  <c r="J70" i="1"/>
  <c r="A71" i="1"/>
  <c r="G71" i="1"/>
  <c r="H71" i="1"/>
  <c r="J71" i="1"/>
  <c r="A72" i="1"/>
  <c r="G72" i="1"/>
  <c r="H72" i="1"/>
  <c r="J72" i="1"/>
  <c r="A73" i="1"/>
  <c r="G73" i="1"/>
  <c r="H73" i="1"/>
  <c r="J73" i="1"/>
  <c r="A74" i="1"/>
  <c r="G74" i="1"/>
  <c r="H74" i="1"/>
  <c r="J74" i="1"/>
  <c r="A75" i="1"/>
  <c r="G75" i="1"/>
  <c r="H75" i="1"/>
  <c r="J75" i="1"/>
  <c r="A76" i="1"/>
  <c r="G76" i="1"/>
  <c r="H76" i="1"/>
  <c r="J76" i="1"/>
  <c r="A77" i="1"/>
  <c r="G77" i="1"/>
  <c r="H77" i="1"/>
  <c r="J77" i="1"/>
  <c r="A78" i="1"/>
  <c r="G78" i="1"/>
  <c r="H78" i="1"/>
  <c r="J78" i="1"/>
  <c r="A79" i="1"/>
  <c r="G79" i="1"/>
  <c r="H79" i="1"/>
  <c r="J79" i="1"/>
  <c r="A80" i="1"/>
  <c r="G80" i="1"/>
  <c r="H80" i="1"/>
  <c r="J80" i="1"/>
  <c r="A81" i="1"/>
  <c r="G81" i="1"/>
  <c r="H81" i="1"/>
  <c r="J81" i="1"/>
  <c r="A82" i="1"/>
  <c r="G82" i="1"/>
  <c r="H82" i="1"/>
  <c r="J82" i="1"/>
  <c r="A83" i="1"/>
  <c r="G83" i="1"/>
  <c r="H83" i="1"/>
  <c r="J83" i="1"/>
  <c r="A84" i="1"/>
  <c r="G84" i="1"/>
  <c r="H84" i="1"/>
  <c r="J84" i="1"/>
  <c r="A85" i="1"/>
  <c r="G85" i="1"/>
  <c r="H85" i="1"/>
  <c r="J85" i="1"/>
  <c r="A86" i="1"/>
  <c r="G86" i="1"/>
  <c r="H86" i="1"/>
  <c r="J86" i="1"/>
  <c r="A87" i="1"/>
  <c r="G87" i="1"/>
  <c r="H87" i="1"/>
  <c r="J87" i="1"/>
  <c r="A88" i="1"/>
  <c r="G88" i="1"/>
  <c r="H88" i="1"/>
  <c r="J88" i="1"/>
  <c r="A89" i="1"/>
  <c r="G89" i="1"/>
  <c r="H89" i="1"/>
  <c r="J89" i="1"/>
  <c r="A90" i="1"/>
  <c r="G90" i="1"/>
  <c r="H90" i="1"/>
  <c r="J90" i="1"/>
  <c r="A91" i="1"/>
  <c r="G91" i="1"/>
  <c r="H91" i="1"/>
  <c r="J91" i="1"/>
  <c r="A92" i="1"/>
  <c r="G92" i="1"/>
  <c r="H92" i="1"/>
  <c r="J92" i="1"/>
  <c r="A93" i="1"/>
  <c r="G93" i="1"/>
  <c r="H93" i="1"/>
  <c r="J93" i="1"/>
  <c r="A94" i="1"/>
  <c r="G94" i="1"/>
  <c r="H94" i="1"/>
  <c r="J94" i="1"/>
  <c r="A95" i="1"/>
  <c r="G95" i="1"/>
  <c r="H95" i="1"/>
  <c r="J95" i="1"/>
  <c r="A96" i="1"/>
  <c r="G96" i="1"/>
  <c r="H96" i="1"/>
  <c r="J96" i="1"/>
  <c r="A97" i="1"/>
  <c r="G97" i="1"/>
  <c r="H97" i="1"/>
  <c r="J97" i="1"/>
  <c r="A98" i="1"/>
  <c r="G98" i="1"/>
  <c r="H98" i="1"/>
  <c r="J98" i="1"/>
  <c r="A99" i="1"/>
  <c r="G99" i="1"/>
  <c r="H99" i="1"/>
  <c r="J99" i="1"/>
  <c r="A100" i="1"/>
  <c r="G100" i="1"/>
  <c r="H100" i="1"/>
  <c r="J100" i="1"/>
  <c r="A101" i="1"/>
  <c r="G101" i="1"/>
  <c r="H101" i="1"/>
  <c r="J101" i="1"/>
  <c r="A102" i="1"/>
  <c r="G102" i="1"/>
  <c r="H102" i="1"/>
  <c r="J102" i="1"/>
  <c r="A103" i="1"/>
  <c r="G103" i="1"/>
  <c r="H103" i="1"/>
  <c r="J103" i="1"/>
  <c r="A104" i="1"/>
  <c r="G104" i="1"/>
  <c r="H104" i="1"/>
  <c r="J104" i="1"/>
  <c r="A105" i="1"/>
  <c r="G105" i="1"/>
  <c r="H105" i="1"/>
  <c r="J105" i="1"/>
  <c r="A106" i="1"/>
  <c r="G106" i="1"/>
  <c r="H106" i="1"/>
  <c r="J106" i="1"/>
  <c r="A107" i="1"/>
  <c r="G107" i="1"/>
  <c r="H107" i="1"/>
  <c r="J107" i="1"/>
  <c r="A108" i="1"/>
  <c r="G108" i="1"/>
  <c r="H108" i="1"/>
  <c r="J108" i="1"/>
  <c r="A109" i="1"/>
  <c r="G109" i="1"/>
  <c r="H109" i="1"/>
  <c r="J109" i="1"/>
  <c r="A110" i="1"/>
  <c r="G110" i="1"/>
  <c r="H110" i="1"/>
  <c r="J110" i="1"/>
  <c r="A111" i="1"/>
  <c r="G111" i="1"/>
  <c r="H111" i="1"/>
  <c r="J111" i="1"/>
  <c r="A112" i="1"/>
  <c r="G112" i="1"/>
  <c r="H112" i="1"/>
  <c r="J112" i="1"/>
  <c r="A113" i="1"/>
  <c r="G113" i="1"/>
  <c r="H113" i="1"/>
  <c r="J113" i="1"/>
  <c r="A114" i="1"/>
  <c r="G114" i="1"/>
  <c r="H114" i="1"/>
  <c r="J114" i="1"/>
  <c r="A115" i="1"/>
  <c r="G115" i="1"/>
  <c r="H115" i="1"/>
  <c r="J115" i="1"/>
  <c r="A116" i="1"/>
  <c r="G116" i="1"/>
  <c r="H116" i="1"/>
  <c r="J116" i="1"/>
  <c r="A117" i="1"/>
  <c r="G117" i="1"/>
  <c r="H117" i="1"/>
  <c r="J117" i="1"/>
  <c r="A118" i="1"/>
  <c r="G118" i="1"/>
  <c r="H118" i="1"/>
  <c r="J118" i="1"/>
  <c r="A119" i="1"/>
  <c r="G119" i="1"/>
  <c r="H119" i="1"/>
  <c r="J119" i="1"/>
  <c r="A120" i="1"/>
  <c r="G120" i="1"/>
  <c r="H120" i="1"/>
  <c r="J120" i="1"/>
  <c r="A121" i="1"/>
  <c r="G121" i="1"/>
  <c r="H121" i="1"/>
  <c r="J121" i="1"/>
  <c r="A122" i="1"/>
  <c r="G122" i="1"/>
  <c r="H122" i="1"/>
  <c r="J122" i="1"/>
  <c r="A123" i="1"/>
  <c r="G123" i="1"/>
  <c r="H123" i="1"/>
  <c r="J123" i="1"/>
  <c r="A124" i="1"/>
  <c r="G124" i="1"/>
  <c r="H124" i="1"/>
  <c r="J124" i="1"/>
  <c r="A125" i="1"/>
  <c r="G125" i="1"/>
  <c r="H125" i="1"/>
  <c r="J125" i="1"/>
  <c r="A126" i="1"/>
  <c r="G126" i="1"/>
  <c r="H126" i="1"/>
  <c r="J126" i="1"/>
  <c r="A127" i="1"/>
  <c r="G127" i="1"/>
  <c r="H127" i="1"/>
  <c r="J127" i="1"/>
  <c r="A128" i="1"/>
  <c r="G128" i="1"/>
  <c r="H128" i="1"/>
  <c r="J128" i="1"/>
  <c r="A129" i="1"/>
  <c r="G129" i="1"/>
  <c r="H129" i="1"/>
  <c r="J129" i="1"/>
  <c r="A130" i="1"/>
  <c r="G130" i="1"/>
  <c r="H130" i="1"/>
  <c r="J130" i="1"/>
  <c r="A131" i="1"/>
  <c r="G131" i="1"/>
  <c r="H131" i="1"/>
  <c r="J131" i="1"/>
  <c r="A132" i="1"/>
  <c r="G132" i="1"/>
  <c r="H132" i="1"/>
  <c r="J132" i="1"/>
  <c r="A133" i="1"/>
  <c r="G133" i="1"/>
  <c r="H133" i="1"/>
  <c r="J133" i="1"/>
  <c r="A134" i="1"/>
  <c r="G134" i="1"/>
  <c r="H134" i="1"/>
  <c r="J134" i="1"/>
  <c r="A135" i="1"/>
  <c r="G135" i="1"/>
  <c r="H135" i="1"/>
  <c r="J135" i="1"/>
  <c r="A136" i="1"/>
  <c r="G136" i="1"/>
  <c r="H136" i="1"/>
  <c r="J136" i="1"/>
  <c r="A137" i="1"/>
  <c r="G137" i="1"/>
  <c r="H137" i="1"/>
  <c r="J137" i="1"/>
  <c r="A138" i="1"/>
  <c r="G138" i="1"/>
  <c r="H138" i="1"/>
  <c r="J138" i="1"/>
  <c r="A139" i="1"/>
  <c r="G139" i="1"/>
  <c r="H139" i="1"/>
  <c r="J139" i="1"/>
  <c r="A140" i="1"/>
  <c r="G140" i="1"/>
  <c r="H140" i="1"/>
  <c r="J140" i="1"/>
  <c r="A141" i="1"/>
  <c r="G141" i="1"/>
  <c r="H141" i="1"/>
  <c r="J141" i="1"/>
  <c r="A142" i="1"/>
  <c r="G142" i="1"/>
  <c r="H142" i="1"/>
  <c r="J142" i="1"/>
  <c r="A143" i="1"/>
  <c r="G143" i="1"/>
  <c r="H143" i="1"/>
  <c r="J143" i="1"/>
  <c r="A144" i="1"/>
  <c r="G144" i="1"/>
  <c r="H144" i="1"/>
  <c r="J144" i="1"/>
  <c r="A145" i="1"/>
  <c r="G145" i="1"/>
  <c r="H145" i="1"/>
  <c r="J145" i="1"/>
  <c r="A146" i="1"/>
  <c r="G146" i="1"/>
  <c r="H146" i="1"/>
  <c r="J146" i="1"/>
  <c r="A147" i="1"/>
  <c r="G147" i="1"/>
  <c r="H147" i="1"/>
  <c r="J147" i="1"/>
  <c r="A148" i="1"/>
  <c r="G148" i="1"/>
  <c r="H148" i="1"/>
  <c r="J148" i="1"/>
  <c r="A149" i="1"/>
  <c r="G149" i="1"/>
  <c r="H149" i="1"/>
  <c r="J149" i="1"/>
  <c r="A150" i="1"/>
  <c r="G150" i="1"/>
  <c r="H150" i="1"/>
  <c r="J150" i="1"/>
  <c r="A151" i="1"/>
  <c r="G151" i="1"/>
  <c r="H151" i="1"/>
  <c r="J151" i="1"/>
  <c r="A152" i="1"/>
  <c r="G152" i="1"/>
  <c r="H152" i="1"/>
  <c r="J152" i="1"/>
  <c r="A153" i="1"/>
  <c r="G153" i="1"/>
  <c r="H153" i="1"/>
  <c r="J153" i="1"/>
  <c r="A154" i="1"/>
  <c r="G154" i="1"/>
  <c r="H154" i="1"/>
  <c r="J154" i="1"/>
  <c r="A155" i="1"/>
  <c r="G155" i="1"/>
  <c r="H155" i="1"/>
  <c r="J155" i="1"/>
  <c r="A156" i="1"/>
  <c r="G156" i="1"/>
  <c r="H156" i="1"/>
  <c r="J156" i="1"/>
  <c r="A157" i="1"/>
  <c r="G157" i="1"/>
  <c r="H157" i="1"/>
  <c r="J157" i="1"/>
  <c r="A158" i="1"/>
  <c r="G158" i="1"/>
  <c r="H158" i="1"/>
  <c r="J158" i="1"/>
  <c r="A159" i="1"/>
  <c r="G159" i="1"/>
  <c r="H159" i="1"/>
  <c r="J159" i="1"/>
  <c r="A160" i="1"/>
  <c r="G160" i="1"/>
  <c r="H160" i="1"/>
  <c r="J160" i="1"/>
  <c r="A161" i="1"/>
  <c r="G161" i="1"/>
  <c r="H161" i="1"/>
  <c r="J161" i="1"/>
  <c r="A162" i="1"/>
  <c r="G162" i="1"/>
  <c r="H162" i="1"/>
  <c r="J162" i="1"/>
  <c r="A163" i="1"/>
  <c r="G163" i="1"/>
  <c r="H163" i="1"/>
  <c r="J163" i="1"/>
  <c r="A164" i="1"/>
  <c r="G164" i="1"/>
  <c r="H164" i="1"/>
  <c r="J164" i="1"/>
  <c r="A165" i="1"/>
  <c r="G165" i="1"/>
  <c r="H165" i="1"/>
  <c r="J165" i="1"/>
  <c r="A166" i="1"/>
  <c r="G166" i="1"/>
  <c r="H166" i="1"/>
  <c r="J166" i="1"/>
  <c r="A167" i="1"/>
  <c r="G167" i="1"/>
  <c r="H167" i="1"/>
  <c r="J167" i="1"/>
  <c r="A168" i="1"/>
  <c r="G168" i="1"/>
  <c r="H168" i="1"/>
  <c r="J168" i="1"/>
  <c r="A169" i="1"/>
  <c r="G169" i="1"/>
  <c r="H169" i="1"/>
  <c r="J169" i="1"/>
  <c r="A170" i="1"/>
  <c r="G170" i="1"/>
  <c r="H170" i="1"/>
  <c r="J170" i="1"/>
  <c r="A171" i="1"/>
  <c r="G171" i="1"/>
  <c r="H171" i="1"/>
  <c r="J171" i="1"/>
  <c r="A172" i="1"/>
  <c r="G172" i="1"/>
  <c r="H172" i="1"/>
  <c r="J172" i="1"/>
  <c r="A173" i="1"/>
  <c r="G173" i="1"/>
  <c r="H173" i="1"/>
  <c r="J173" i="1"/>
  <c r="A174" i="1"/>
  <c r="G174" i="1"/>
  <c r="H174" i="1"/>
  <c r="J174" i="1"/>
  <c r="A175" i="1"/>
  <c r="G175" i="1"/>
  <c r="H175" i="1"/>
  <c r="J175" i="1"/>
  <c r="A176" i="1"/>
  <c r="G176" i="1"/>
  <c r="H176" i="1"/>
  <c r="J176" i="1"/>
  <c r="A177" i="1"/>
  <c r="G177" i="1"/>
  <c r="H177" i="1"/>
  <c r="J177" i="1"/>
  <c r="A178" i="1"/>
  <c r="G178" i="1"/>
  <c r="H178" i="1"/>
  <c r="J178" i="1"/>
  <c r="A179" i="1"/>
  <c r="G179" i="1"/>
  <c r="H179" i="1"/>
  <c r="J179" i="1"/>
  <c r="A180" i="1"/>
  <c r="G180" i="1"/>
  <c r="H180" i="1"/>
  <c r="J180" i="1"/>
  <c r="A181" i="1"/>
  <c r="G181" i="1"/>
  <c r="H181" i="1"/>
  <c r="J181" i="1"/>
  <c r="A182" i="1"/>
  <c r="G182" i="1"/>
  <c r="H182" i="1"/>
  <c r="J182" i="1"/>
  <c r="A183" i="1"/>
  <c r="G183" i="1"/>
  <c r="H183" i="1"/>
  <c r="J183" i="1"/>
  <c r="A184" i="1"/>
  <c r="G184" i="1"/>
  <c r="H184" i="1"/>
  <c r="J184" i="1"/>
  <c r="A185" i="1"/>
  <c r="G185" i="1"/>
  <c r="H185" i="1"/>
  <c r="J185" i="1"/>
  <c r="A186" i="1"/>
  <c r="G186" i="1"/>
  <c r="H186" i="1"/>
  <c r="J186" i="1"/>
  <c r="A187" i="1"/>
  <c r="G187" i="1"/>
  <c r="H187" i="1"/>
  <c r="J187" i="1"/>
  <c r="A188" i="1"/>
  <c r="G188" i="1"/>
  <c r="H188" i="1"/>
  <c r="J188" i="1"/>
  <c r="A189" i="1"/>
  <c r="G189" i="1"/>
  <c r="H189" i="1"/>
  <c r="J189" i="1"/>
  <c r="A190" i="1"/>
  <c r="G190" i="1"/>
  <c r="H190" i="1"/>
  <c r="J190" i="1"/>
  <c r="A191" i="1"/>
  <c r="G191" i="1"/>
  <c r="H191" i="1"/>
  <c r="J191" i="1"/>
  <c r="A192" i="1"/>
  <c r="G192" i="1"/>
  <c r="H192" i="1"/>
  <c r="J192" i="1"/>
  <c r="A193" i="1"/>
  <c r="G193" i="1"/>
  <c r="H193" i="1"/>
  <c r="J193" i="1"/>
  <c r="A194" i="1"/>
  <c r="G194" i="1"/>
  <c r="H194" i="1"/>
  <c r="J194" i="1"/>
  <c r="A195" i="1"/>
  <c r="G195" i="1"/>
  <c r="H195" i="1"/>
  <c r="J195" i="1"/>
  <c r="A196" i="1"/>
  <c r="G196" i="1"/>
  <c r="H196" i="1"/>
  <c r="J196" i="1"/>
  <c r="A197" i="1"/>
  <c r="G197" i="1"/>
  <c r="H197" i="1"/>
  <c r="J197" i="1"/>
  <c r="A198" i="1"/>
  <c r="G198" i="1"/>
  <c r="H198" i="1"/>
  <c r="J198" i="1"/>
  <c r="A199" i="1"/>
  <c r="G199" i="1"/>
  <c r="H199" i="1"/>
  <c r="J199" i="1"/>
  <c r="A200" i="1"/>
  <c r="G200" i="1"/>
  <c r="H200" i="1"/>
  <c r="J200" i="1"/>
  <c r="A201" i="1"/>
  <c r="G201" i="1"/>
  <c r="H201" i="1"/>
  <c r="J201" i="1"/>
  <c r="A202" i="1"/>
  <c r="G202" i="1"/>
  <c r="H202" i="1"/>
  <c r="J202" i="1"/>
  <c r="A203" i="1"/>
  <c r="G203" i="1"/>
  <c r="H203" i="1"/>
  <c r="J203" i="1"/>
  <c r="A204" i="1"/>
  <c r="G204" i="1"/>
  <c r="H204" i="1"/>
  <c r="J204" i="1"/>
  <c r="A205" i="1"/>
  <c r="G205" i="1"/>
  <c r="H205" i="1"/>
  <c r="J205" i="1"/>
  <c r="A206" i="1"/>
  <c r="G206" i="1"/>
  <c r="H206" i="1"/>
  <c r="J206" i="1"/>
  <c r="A207" i="1"/>
  <c r="G207" i="1"/>
  <c r="H207" i="1"/>
  <c r="J207" i="1"/>
  <c r="A208" i="1"/>
  <c r="G208" i="1"/>
  <c r="H208" i="1"/>
  <c r="J208" i="1"/>
  <c r="A209" i="1"/>
  <c r="G209" i="1"/>
  <c r="H209" i="1"/>
  <c r="J209" i="1"/>
  <c r="A210" i="1"/>
  <c r="G210" i="1"/>
  <c r="H210" i="1"/>
  <c r="J210" i="1"/>
  <c r="A211" i="1"/>
  <c r="J211" i="1"/>
  <c r="A212" i="1"/>
  <c r="G212" i="1"/>
  <c r="H212" i="1"/>
  <c r="J212" i="1"/>
  <c r="A213" i="1"/>
  <c r="I213" i="1"/>
  <c r="J213" i="1"/>
  <c r="A214" i="1"/>
  <c r="I214" i="1"/>
  <c r="J214" i="1"/>
  <c r="A215" i="1"/>
  <c r="I215" i="1"/>
  <c r="J215" i="1"/>
  <c r="A216" i="1"/>
  <c r="I216" i="1"/>
  <c r="J216" i="1"/>
  <c r="A217" i="1"/>
  <c r="I217" i="1"/>
  <c r="J217" i="1"/>
  <c r="A218" i="1"/>
  <c r="I218" i="1"/>
  <c r="J218" i="1"/>
  <c r="A219" i="1"/>
  <c r="I219" i="1"/>
  <c r="J219" i="1"/>
  <c r="A220" i="1"/>
  <c r="I220" i="1"/>
  <c r="J220" i="1"/>
  <c r="A221" i="1"/>
  <c r="G221" i="1"/>
  <c r="H221" i="1"/>
  <c r="J221" i="1"/>
  <c r="A222" i="1"/>
  <c r="I222" i="1"/>
  <c r="J222" i="1"/>
  <c r="A223" i="1"/>
  <c r="I223" i="1"/>
  <c r="J223" i="1"/>
  <c r="A224" i="1"/>
  <c r="I224" i="1"/>
  <c r="J224" i="1"/>
  <c r="A225" i="1"/>
  <c r="I225" i="1"/>
  <c r="J225" i="1"/>
  <c r="A226" i="1"/>
  <c r="I226" i="1"/>
  <c r="J226" i="1"/>
  <c r="A227" i="1"/>
  <c r="G227" i="1"/>
  <c r="H227" i="1"/>
  <c r="J227" i="1"/>
  <c r="A228" i="1"/>
  <c r="G228" i="1"/>
  <c r="H228" i="1"/>
  <c r="J228" i="1"/>
  <c r="A229" i="1"/>
  <c r="G229" i="1"/>
  <c r="H229" i="1"/>
  <c r="J229" i="1"/>
  <c r="A230" i="1"/>
  <c r="G230" i="1"/>
  <c r="H230" i="1"/>
  <c r="J230" i="1"/>
  <c r="A231" i="1"/>
  <c r="G231" i="1"/>
  <c r="H231" i="1"/>
  <c r="J231" i="1"/>
  <c r="A232" i="1"/>
  <c r="G232" i="1"/>
  <c r="H232" i="1"/>
  <c r="J232" i="1"/>
  <c r="A233" i="1"/>
  <c r="G233" i="1"/>
  <c r="H233" i="1"/>
  <c r="J233" i="1"/>
  <c r="A234" i="1"/>
  <c r="G234" i="1"/>
  <c r="H234" i="1"/>
  <c r="J234" i="1"/>
  <c r="A235" i="1"/>
  <c r="G235" i="1"/>
  <c r="H235" i="1"/>
  <c r="J235" i="1"/>
  <c r="A236" i="1"/>
  <c r="G236" i="1"/>
  <c r="H236" i="1"/>
  <c r="J236" i="1"/>
  <c r="A237" i="1"/>
  <c r="G237" i="1"/>
  <c r="H237" i="1"/>
  <c r="J237" i="1"/>
  <c r="A238" i="1"/>
  <c r="G238" i="1"/>
  <c r="H238" i="1"/>
  <c r="J238" i="1"/>
  <c r="A239" i="1"/>
  <c r="G239" i="1"/>
  <c r="H239" i="1"/>
  <c r="J239" i="1"/>
  <c r="A240" i="1"/>
  <c r="G240" i="1"/>
  <c r="H240" i="1"/>
  <c r="J240" i="1"/>
  <c r="A241" i="1"/>
  <c r="G241" i="1"/>
  <c r="H241" i="1"/>
  <c r="J241" i="1"/>
  <c r="A242" i="1"/>
  <c r="G242" i="1"/>
  <c r="H242" i="1"/>
  <c r="J242" i="1"/>
  <c r="A243" i="1"/>
  <c r="G243" i="1"/>
  <c r="H243" i="1"/>
  <c r="J243" i="1"/>
  <c r="A244" i="1"/>
  <c r="G244" i="1"/>
  <c r="H244" i="1"/>
  <c r="J244" i="1"/>
  <c r="A245" i="1"/>
  <c r="G245" i="1"/>
  <c r="H245" i="1"/>
  <c r="J245" i="1"/>
  <c r="A246" i="1"/>
  <c r="G246" i="1"/>
  <c r="H246" i="1"/>
  <c r="J246" i="1"/>
  <c r="A247" i="1"/>
  <c r="G247" i="1"/>
  <c r="H247" i="1"/>
  <c r="J247" i="1"/>
  <c r="A248" i="1"/>
  <c r="G248" i="1"/>
  <c r="H248" i="1"/>
  <c r="J248" i="1"/>
  <c r="A249" i="1"/>
  <c r="G249" i="1"/>
  <c r="H249" i="1"/>
  <c r="J249" i="1"/>
  <c r="A250" i="1"/>
  <c r="G250" i="1"/>
  <c r="H250" i="1"/>
  <c r="J250" i="1"/>
  <c r="A251" i="1"/>
  <c r="G251" i="1"/>
  <c r="H251" i="1"/>
  <c r="J251" i="1"/>
  <c r="A252" i="1"/>
  <c r="G252" i="1"/>
  <c r="H252" i="1"/>
  <c r="J252" i="1"/>
  <c r="A253" i="1"/>
  <c r="G253" i="1"/>
  <c r="H253" i="1"/>
  <c r="J253" i="1"/>
  <c r="A254" i="1"/>
  <c r="G254" i="1"/>
  <c r="H254" i="1"/>
  <c r="J254" i="1"/>
  <c r="A255" i="1"/>
  <c r="G255" i="1"/>
  <c r="H255" i="1"/>
  <c r="J255" i="1"/>
  <c r="A256" i="1"/>
  <c r="G256" i="1"/>
  <c r="H256" i="1"/>
  <c r="J256" i="1"/>
  <c r="A257" i="1"/>
  <c r="G257" i="1"/>
  <c r="H257" i="1"/>
  <c r="J257" i="1"/>
  <c r="A258" i="1"/>
  <c r="G258" i="1"/>
  <c r="H258" i="1"/>
  <c r="J258" i="1"/>
  <c r="A259" i="1"/>
  <c r="G259" i="1"/>
  <c r="H259" i="1"/>
  <c r="J259" i="1"/>
  <c r="A260" i="1"/>
  <c r="G260" i="1"/>
  <c r="H260" i="1"/>
  <c r="J260" i="1"/>
  <c r="A261" i="1"/>
  <c r="G261" i="1"/>
  <c r="H261" i="1"/>
  <c r="J261" i="1"/>
  <c r="A262" i="1"/>
  <c r="G262" i="1"/>
  <c r="H262" i="1"/>
  <c r="J262" i="1"/>
  <c r="A263" i="1"/>
  <c r="G263" i="1"/>
  <c r="H263" i="1"/>
  <c r="J263" i="1"/>
  <c r="A264" i="1"/>
  <c r="G264" i="1"/>
  <c r="H264" i="1"/>
  <c r="J264" i="1"/>
  <c r="A265" i="1"/>
  <c r="G265" i="1"/>
  <c r="H265" i="1"/>
  <c r="J265" i="1"/>
  <c r="A266" i="1"/>
  <c r="G266" i="1"/>
  <c r="H266" i="1"/>
  <c r="J266" i="1"/>
  <c r="A267" i="1"/>
  <c r="G267" i="1"/>
  <c r="H267" i="1"/>
  <c r="J267" i="1"/>
  <c r="A268" i="1"/>
  <c r="G268" i="1"/>
  <c r="H268" i="1"/>
  <c r="J268" i="1"/>
  <c r="A269" i="1"/>
  <c r="G269" i="1"/>
  <c r="H269" i="1"/>
  <c r="J269" i="1"/>
  <c r="A270" i="1"/>
  <c r="G270" i="1"/>
  <c r="H270" i="1"/>
  <c r="J270" i="1"/>
  <c r="A271" i="1"/>
  <c r="G271" i="1"/>
  <c r="H271" i="1"/>
  <c r="J271" i="1"/>
  <c r="A272" i="1"/>
  <c r="G272" i="1"/>
  <c r="H272" i="1"/>
  <c r="J272" i="1"/>
  <c r="A273" i="1"/>
  <c r="G273" i="1"/>
  <c r="H273" i="1"/>
  <c r="J273" i="1"/>
  <c r="A274" i="1"/>
  <c r="G274" i="1"/>
  <c r="H274" i="1"/>
  <c r="J274" i="1"/>
  <c r="A275" i="1"/>
  <c r="G275" i="1"/>
  <c r="H275" i="1"/>
  <c r="J275" i="1"/>
  <c r="A276" i="1"/>
  <c r="G276" i="1"/>
  <c r="H276" i="1"/>
  <c r="J276" i="1"/>
  <c r="A277" i="1"/>
  <c r="G277" i="1"/>
  <c r="H277" i="1"/>
  <c r="J277" i="1"/>
  <c r="A278" i="1"/>
  <c r="G278" i="1"/>
  <c r="H278" i="1"/>
  <c r="J278" i="1"/>
  <c r="A279" i="1"/>
  <c r="I279" i="1"/>
  <c r="J279" i="1"/>
  <c r="A280" i="1"/>
  <c r="G280" i="1"/>
  <c r="H280" i="1"/>
  <c r="J280" i="1"/>
  <c r="A281" i="1"/>
  <c r="G281" i="1"/>
  <c r="H281" i="1"/>
  <c r="J281" i="1"/>
  <c r="A282" i="1"/>
  <c r="G282" i="1"/>
  <c r="H282" i="1"/>
  <c r="J282" i="1"/>
  <c r="A283" i="1"/>
  <c r="G283" i="1"/>
  <c r="H283" i="1"/>
  <c r="J283" i="1"/>
  <c r="A284" i="1"/>
  <c r="G284" i="1"/>
  <c r="H284" i="1"/>
  <c r="J284" i="1"/>
  <c r="A285" i="1"/>
  <c r="G285" i="1"/>
  <c r="H285" i="1"/>
  <c r="J285" i="1"/>
  <c r="A286" i="1"/>
  <c r="G286" i="1"/>
  <c r="H286" i="1"/>
  <c r="J286" i="1"/>
  <c r="A287" i="1"/>
  <c r="G287" i="1"/>
  <c r="H287" i="1"/>
  <c r="J287" i="1"/>
  <c r="A288" i="1"/>
  <c r="G288" i="1"/>
  <c r="H288" i="1"/>
  <c r="J288" i="1"/>
  <c r="A289" i="1"/>
  <c r="G289" i="1"/>
  <c r="H289" i="1"/>
  <c r="J289" i="1"/>
  <c r="A290" i="1"/>
  <c r="I290" i="1"/>
  <c r="J290" i="1"/>
  <c r="A291" i="1"/>
  <c r="G291" i="1"/>
  <c r="H291" i="1"/>
  <c r="J291" i="1"/>
  <c r="A292" i="1"/>
  <c r="G292" i="1"/>
  <c r="H292" i="1"/>
  <c r="J292" i="1"/>
  <c r="A293" i="1"/>
  <c r="G293" i="1"/>
  <c r="H293" i="1"/>
  <c r="J293" i="1"/>
  <c r="A294" i="1"/>
  <c r="G294" i="1"/>
  <c r="H294" i="1"/>
  <c r="J294" i="1"/>
  <c r="A295" i="1"/>
  <c r="G295" i="1"/>
  <c r="H295" i="1"/>
  <c r="J295" i="1"/>
  <c r="A296" i="1"/>
  <c r="G296" i="1"/>
  <c r="H296" i="1"/>
  <c r="J296" i="1"/>
  <c r="A297" i="1"/>
  <c r="G297" i="1"/>
  <c r="H297" i="1"/>
  <c r="J297" i="1"/>
  <c r="A298" i="1"/>
  <c r="G298" i="1"/>
  <c r="H298" i="1"/>
  <c r="J298" i="1"/>
  <c r="A299" i="1"/>
  <c r="G299" i="1"/>
  <c r="H299" i="1"/>
  <c r="J299" i="1"/>
  <c r="A300" i="1"/>
  <c r="G300" i="1"/>
  <c r="H300" i="1"/>
  <c r="J300" i="1"/>
  <c r="A301" i="1"/>
  <c r="G301" i="1"/>
  <c r="H301" i="1"/>
  <c r="J301" i="1"/>
  <c r="A302" i="1"/>
  <c r="G302" i="1"/>
  <c r="H302" i="1"/>
  <c r="J302" i="1"/>
  <c r="A303" i="1"/>
  <c r="G303" i="1"/>
  <c r="H303" i="1"/>
  <c r="J303" i="1"/>
  <c r="A304" i="1"/>
  <c r="G304" i="1"/>
  <c r="H304" i="1"/>
  <c r="J304" i="1"/>
  <c r="A305" i="1"/>
  <c r="G305" i="1"/>
  <c r="H305" i="1"/>
  <c r="J305" i="1"/>
  <c r="A306" i="1"/>
  <c r="G306" i="1"/>
  <c r="H306" i="1"/>
  <c r="J306" i="1"/>
  <c r="A307" i="1"/>
  <c r="G307" i="1"/>
  <c r="H307" i="1"/>
  <c r="J307" i="1"/>
  <c r="A308" i="1"/>
  <c r="G308" i="1"/>
  <c r="H308" i="1"/>
  <c r="J308" i="1"/>
  <c r="A309" i="1"/>
  <c r="G309" i="1"/>
  <c r="H309" i="1"/>
  <c r="J309" i="1"/>
  <c r="A310" i="1"/>
  <c r="G310" i="1"/>
  <c r="H310" i="1"/>
  <c r="J310" i="1"/>
  <c r="A311" i="1"/>
  <c r="G311" i="1"/>
  <c r="H311" i="1"/>
  <c r="J311" i="1"/>
  <c r="A312" i="1"/>
  <c r="G312" i="1"/>
  <c r="H312" i="1"/>
  <c r="J312" i="1"/>
  <c r="A313" i="1"/>
  <c r="G313" i="1"/>
  <c r="H313" i="1"/>
  <c r="J313" i="1"/>
  <c r="A314" i="1"/>
  <c r="G314" i="1"/>
  <c r="H314" i="1"/>
  <c r="J314" i="1"/>
  <c r="A315" i="1"/>
  <c r="G315" i="1"/>
  <c r="H315" i="1"/>
  <c r="J315" i="1"/>
  <c r="A316" i="1"/>
  <c r="G316" i="1"/>
  <c r="H316" i="1"/>
  <c r="J316" i="1"/>
  <c r="A317" i="1"/>
  <c r="G317" i="1"/>
  <c r="H317" i="1"/>
  <c r="J317" i="1"/>
  <c r="A318" i="1"/>
  <c r="G318" i="1"/>
  <c r="H318" i="1"/>
  <c r="J318" i="1"/>
  <c r="A319" i="1"/>
  <c r="G319" i="1"/>
  <c r="H319" i="1"/>
  <c r="J319" i="1"/>
  <c r="A320" i="1"/>
  <c r="G320" i="1"/>
  <c r="H320" i="1"/>
  <c r="J320" i="1"/>
  <c r="A321" i="1"/>
  <c r="G321" i="1"/>
  <c r="H321" i="1"/>
  <c r="J321" i="1"/>
  <c r="A322" i="1"/>
  <c r="G322" i="1"/>
  <c r="H322" i="1"/>
  <c r="J322" i="1"/>
  <c r="A323" i="1"/>
  <c r="G323" i="1"/>
  <c r="H323" i="1"/>
  <c r="J323" i="1"/>
  <c r="A324" i="1"/>
  <c r="G324" i="1"/>
  <c r="H324" i="1"/>
  <c r="J324" i="1"/>
  <c r="A325" i="1"/>
  <c r="G325" i="1"/>
  <c r="H325" i="1"/>
  <c r="J325" i="1"/>
  <c r="A326" i="1"/>
  <c r="G326" i="1"/>
  <c r="H326" i="1"/>
  <c r="J326" i="1"/>
  <c r="A327" i="1"/>
  <c r="G327" i="1"/>
  <c r="H327" i="1"/>
  <c r="J327" i="1"/>
  <c r="A328" i="1"/>
  <c r="G328" i="1"/>
  <c r="H328" i="1"/>
  <c r="J328" i="1"/>
  <c r="A329" i="1"/>
  <c r="G329" i="1"/>
  <c r="H329" i="1"/>
  <c r="J329" i="1"/>
  <c r="A330" i="1"/>
  <c r="G330" i="1"/>
  <c r="H330" i="1"/>
  <c r="J330" i="1"/>
  <c r="A331" i="1"/>
  <c r="G331" i="1"/>
  <c r="H331" i="1"/>
  <c r="J331" i="1"/>
  <c r="A332" i="1"/>
  <c r="G332" i="1"/>
  <c r="H332" i="1"/>
  <c r="J332" i="1"/>
  <c r="A333" i="1"/>
  <c r="G333" i="1"/>
  <c r="H333" i="1"/>
  <c r="J333" i="1"/>
  <c r="A334" i="1"/>
  <c r="G334" i="1"/>
  <c r="H334" i="1"/>
  <c r="J334" i="1"/>
  <c r="A335" i="1"/>
  <c r="G335" i="1"/>
  <c r="H335" i="1"/>
  <c r="J335" i="1"/>
  <c r="A336" i="1"/>
  <c r="G336" i="1"/>
  <c r="H336" i="1"/>
  <c r="J336" i="1"/>
  <c r="A337" i="1"/>
  <c r="G337" i="1"/>
  <c r="H337" i="1"/>
  <c r="J337" i="1"/>
  <c r="A338" i="1"/>
  <c r="G338" i="1"/>
  <c r="H338" i="1"/>
  <c r="J338" i="1"/>
  <c r="A339" i="1"/>
  <c r="G339" i="1"/>
  <c r="H339" i="1"/>
  <c r="J339" i="1"/>
  <c r="A340" i="1"/>
  <c r="G340" i="1"/>
  <c r="H340" i="1"/>
  <c r="J340" i="1"/>
  <c r="A341" i="1"/>
  <c r="G341" i="1"/>
  <c r="H341" i="1"/>
  <c r="J341" i="1"/>
  <c r="A342" i="1"/>
  <c r="G342" i="1"/>
  <c r="H342" i="1"/>
  <c r="J342" i="1"/>
  <c r="A343" i="1"/>
  <c r="G343" i="1"/>
  <c r="H343" i="1"/>
  <c r="J343" i="1"/>
  <c r="A344" i="1"/>
  <c r="G344" i="1"/>
  <c r="H344" i="1"/>
  <c r="J344" i="1"/>
  <c r="A345" i="1"/>
  <c r="G345" i="1"/>
  <c r="H345" i="1"/>
  <c r="J345" i="1"/>
  <c r="A346" i="1"/>
  <c r="G346" i="1"/>
  <c r="H346" i="1"/>
  <c r="J346" i="1"/>
  <c r="A347" i="1"/>
  <c r="G347" i="1"/>
  <c r="H347" i="1"/>
  <c r="J347" i="1"/>
  <c r="A348" i="1"/>
  <c r="G348" i="1"/>
  <c r="H348" i="1"/>
  <c r="J348" i="1"/>
  <c r="A349" i="1"/>
  <c r="G349" i="1"/>
  <c r="H349" i="1"/>
  <c r="J349" i="1"/>
  <c r="A350" i="1"/>
  <c r="G350" i="1"/>
  <c r="H350" i="1"/>
  <c r="J350" i="1"/>
  <c r="A351" i="1"/>
  <c r="G351" i="1"/>
  <c r="H351" i="1"/>
  <c r="J351" i="1"/>
  <c r="A352" i="1"/>
  <c r="G352" i="1"/>
  <c r="H352" i="1"/>
  <c r="J352" i="1"/>
  <c r="A353" i="1"/>
  <c r="G353" i="1"/>
  <c r="H353" i="1"/>
  <c r="J353" i="1"/>
  <c r="A354" i="1"/>
  <c r="G354" i="1"/>
  <c r="H354" i="1"/>
  <c r="J354" i="1"/>
  <c r="A355" i="1"/>
  <c r="G355" i="1"/>
  <c r="H355" i="1"/>
  <c r="J355" i="1"/>
  <c r="A356" i="1"/>
  <c r="G356" i="1"/>
  <c r="H356" i="1"/>
  <c r="J356" i="1"/>
  <c r="A357" i="1"/>
  <c r="G357" i="1"/>
  <c r="H357" i="1"/>
  <c r="J357" i="1"/>
  <c r="A358" i="1"/>
  <c r="G358" i="1"/>
  <c r="H358" i="1"/>
  <c r="J358" i="1"/>
  <c r="A359" i="1"/>
  <c r="G359" i="1"/>
  <c r="H359" i="1"/>
  <c r="J359" i="1"/>
  <c r="A360" i="1"/>
  <c r="G360" i="1"/>
  <c r="H360" i="1"/>
  <c r="J360" i="1"/>
  <c r="A361" i="1"/>
  <c r="G361" i="1"/>
  <c r="H361" i="1"/>
  <c r="J361" i="1"/>
  <c r="A362" i="1"/>
  <c r="G362" i="1"/>
  <c r="H362" i="1"/>
  <c r="J362" i="1"/>
  <c r="A363" i="1"/>
  <c r="G363" i="1"/>
  <c r="H363" i="1"/>
  <c r="J363" i="1"/>
  <c r="A364" i="1"/>
  <c r="G364" i="1"/>
  <c r="H364" i="1"/>
  <c r="J364" i="1"/>
  <c r="A365" i="1"/>
  <c r="G365" i="1"/>
  <c r="H365" i="1"/>
  <c r="J365" i="1"/>
  <c r="A366" i="1"/>
  <c r="G366" i="1"/>
  <c r="H366" i="1"/>
  <c r="J366" i="1"/>
  <c r="A367" i="1"/>
  <c r="G367" i="1"/>
  <c r="H367" i="1"/>
  <c r="J367" i="1"/>
  <c r="A368" i="1"/>
  <c r="G368" i="1"/>
  <c r="H368" i="1"/>
  <c r="J368" i="1"/>
  <c r="A369" i="1"/>
  <c r="G369" i="1"/>
  <c r="H369" i="1"/>
  <c r="J369" i="1"/>
  <c r="A370" i="1"/>
  <c r="G370" i="1"/>
  <c r="H370" i="1"/>
  <c r="J370" i="1"/>
  <c r="A371" i="1"/>
  <c r="G371" i="1"/>
  <c r="H371" i="1"/>
  <c r="J371" i="1"/>
  <c r="A372" i="1"/>
  <c r="G372" i="1"/>
  <c r="H372" i="1"/>
  <c r="J372" i="1"/>
  <c r="A373" i="1"/>
  <c r="G373" i="1"/>
  <c r="H373" i="1"/>
  <c r="J373" i="1"/>
  <c r="A374" i="1"/>
  <c r="G374" i="1"/>
  <c r="H374" i="1"/>
  <c r="J374" i="1"/>
  <c r="A375" i="1"/>
  <c r="G375" i="1"/>
  <c r="H375" i="1"/>
  <c r="J375" i="1"/>
  <c r="A376" i="1"/>
  <c r="G376" i="1"/>
  <c r="H376" i="1"/>
  <c r="J376" i="1"/>
  <c r="A377" i="1"/>
  <c r="G377" i="1"/>
  <c r="H377" i="1"/>
  <c r="J377" i="1"/>
  <c r="A378" i="1"/>
  <c r="G378" i="1"/>
  <c r="H378" i="1"/>
  <c r="J378" i="1"/>
  <c r="A379" i="1"/>
  <c r="G379" i="1"/>
  <c r="H379" i="1"/>
  <c r="J379" i="1"/>
  <c r="A380" i="1"/>
  <c r="G380" i="1"/>
  <c r="H380" i="1"/>
  <c r="J380" i="1"/>
  <c r="A381" i="1"/>
  <c r="G381" i="1"/>
  <c r="H381" i="1"/>
  <c r="J381" i="1"/>
  <c r="A382" i="1"/>
  <c r="G382" i="1"/>
  <c r="H382" i="1"/>
  <c r="J382" i="1"/>
  <c r="A383" i="1"/>
  <c r="G383" i="1"/>
  <c r="H383" i="1"/>
  <c r="J383" i="1"/>
  <c r="A384" i="1"/>
  <c r="G384" i="1"/>
  <c r="H384" i="1"/>
  <c r="J384" i="1"/>
  <c r="A385" i="1"/>
  <c r="G385" i="1"/>
  <c r="H385" i="1"/>
  <c r="J385" i="1"/>
  <c r="A386" i="1"/>
  <c r="G386" i="1"/>
  <c r="H386" i="1"/>
  <c r="J386" i="1"/>
  <c r="A387" i="1"/>
  <c r="G387" i="1"/>
  <c r="H387" i="1"/>
  <c r="J387" i="1"/>
  <c r="A388" i="1"/>
  <c r="G388" i="1"/>
  <c r="H388" i="1"/>
  <c r="J388" i="1"/>
  <c r="A389" i="1"/>
  <c r="G389" i="1"/>
  <c r="H389" i="1"/>
  <c r="J389" i="1"/>
  <c r="A390" i="1"/>
  <c r="G390" i="1"/>
  <c r="H390" i="1"/>
  <c r="J390" i="1"/>
  <c r="A391" i="1"/>
  <c r="G391" i="1"/>
  <c r="H391" i="1"/>
  <c r="J391" i="1"/>
  <c r="A392" i="1"/>
  <c r="G392" i="1"/>
  <c r="H392" i="1"/>
  <c r="J392" i="1"/>
  <c r="A393" i="1"/>
  <c r="G393" i="1"/>
  <c r="H393" i="1"/>
  <c r="J393" i="1"/>
  <c r="A394" i="1"/>
  <c r="G394" i="1"/>
  <c r="H394" i="1"/>
  <c r="J394" i="1"/>
  <c r="A395" i="1"/>
  <c r="G395" i="1"/>
  <c r="H395" i="1"/>
  <c r="J395" i="1"/>
  <c r="A396" i="1"/>
  <c r="G396" i="1"/>
  <c r="H396" i="1"/>
  <c r="J396" i="1"/>
  <c r="A397" i="1"/>
  <c r="G397" i="1"/>
  <c r="H397" i="1"/>
  <c r="J397" i="1"/>
  <c r="A398" i="1"/>
  <c r="G398" i="1"/>
  <c r="H398" i="1"/>
  <c r="J398" i="1"/>
  <c r="A399" i="1"/>
  <c r="G399" i="1"/>
  <c r="H399" i="1"/>
  <c r="J399" i="1"/>
  <c r="A400" i="1"/>
  <c r="G400" i="1"/>
  <c r="H400" i="1"/>
  <c r="J400" i="1"/>
  <c r="A401" i="1"/>
  <c r="G401" i="1"/>
  <c r="H401" i="1"/>
  <c r="J401" i="1"/>
  <c r="A402" i="1"/>
  <c r="G402" i="1"/>
  <c r="H402" i="1"/>
  <c r="J402" i="1"/>
  <c r="A403" i="1"/>
  <c r="G403" i="1"/>
  <c r="H403" i="1"/>
  <c r="J403" i="1"/>
  <c r="A404" i="1"/>
  <c r="G404" i="1"/>
  <c r="H404" i="1"/>
  <c r="J404" i="1"/>
  <c r="A405" i="1"/>
  <c r="G405" i="1"/>
  <c r="H405" i="1"/>
  <c r="J405" i="1"/>
  <c r="A406" i="1"/>
  <c r="G406" i="1"/>
  <c r="H406" i="1"/>
  <c r="J406" i="1"/>
  <c r="A407" i="1"/>
  <c r="G407" i="1"/>
  <c r="H407" i="1"/>
  <c r="J407" i="1"/>
  <c r="A408" i="1"/>
  <c r="G408" i="1"/>
  <c r="H408" i="1"/>
  <c r="J408" i="1"/>
  <c r="A409" i="1"/>
  <c r="G409" i="1"/>
  <c r="H409" i="1"/>
  <c r="J409" i="1"/>
  <c r="A410" i="1"/>
  <c r="G410" i="1"/>
  <c r="H410" i="1"/>
  <c r="J410" i="1"/>
  <c r="A411" i="1"/>
  <c r="G411" i="1"/>
  <c r="H411" i="1"/>
  <c r="J411" i="1"/>
  <c r="A412" i="1"/>
  <c r="G412" i="1"/>
  <c r="H412" i="1"/>
  <c r="J412" i="1"/>
  <c r="A413" i="1"/>
  <c r="G413" i="1"/>
  <c r="H413" i="1"/>
  <c r="J413" i="1"/>
  <c r="A414" i="1"/>
  <c r="G414" i="1"/>
  <c r="H414" i="1"/>
  <c r="J414" i="1"/>
  <c r="A415" i="1"/>
  <c r="G415" i="1"/>
  <c r="H415" i="1"/>
  <c r="J415" i="1"/>
  <c r="A416" i="1"/>
  <c r="G416" i="1"/>
  <c r="H416" i="1"/>
  <c r="J416" i="1"/>
  <c r="A417" i="1"/>
  <c r="G417" i="1"/>
  <c r="H417" i="1"/>
  <c r="J417" i="1"/>
  <c r="A418" i="1"/>
  <c r="G418" i="1"/>
  <c r="H418" i="1"/>
  <c r="J418" i="1"/>
  <c r="A419" i="1"/>
  <c r="G419" i="1"/>
  <c r="H419" i="1"/>
  <c r="J419" i="1"/>
  <c r="A420" i="1"/>
  <c r="G420" i="1"/>
  <c r="H420" i="1"/>
  <c r="J420" i="1"/>
  <c r="A421" i="1"/>
  <c r="G421" i="1"/>
  <c r="H421" i="1"/>
  <c r="J421" i="1"/>
  <c r="A422" i="1"/>
  <c r="G422" i="1"/>
  <c r="H422" i="1"/>
  <c r="J422" i="1"/>
  <c r="A423" i="1"/>
  <c r="G423" i="1"/>
  <c r="H423" i="1"/>
  <c r="J423" i="1"/>
  <c r="A424" i="1"/>
  <c r="G424" i="1"/>
  <c r="H424" i="1"/>
  <c r="J424" i="1"/>
  <c r="A425" i="1"/>
  <c r="G425" i="1"/>
  <c r="H425" i="1"/>
  <c r="J425" i="1"/>
  <c r="A426" i="1"/>
  <c r="G426" i="1"/>
  <c r="H426" i="1"/>
  <c r="J426" i="1"/>
  <c r="A427" i="1"/>
  <c r="G427" i="1"/>
  <c r="H427" i="1"/>
  <c r="J427" i="1"/>
  <c r="A428" i="1"/>
  <c r="G428" i="1"/>
  <c r="H428" i="1"/>
  <c r="J428" i="1"/>
  <c r="A429" i="1"/>
  <c r="G429" i="1"/>
  <c r="H429" i="1"/>
  <c r="J429" i="1"/>
  <c r="A430" i="1"/>
  <c r="G430" i="1"/>
  <c r="H430" i="1"/>
  <c r="J430" i="1"/>
  <c r="A431" i="1"/>
  <c r="G431" i="1"/>
  <c r="H431" i="1"/>
  <c r="J431" i="1"/>
  <c r="A432" i="1"/>
  <c r="G432" i="1"/>
  <c r="H432" i="1"/>
  <c r="J432" i="1"/>
  <c r="A433" i="1"/>
  <c r="G433" i="1"/>
  <c r="H433" i="1"/>
  <c r="J433" i="1"/>
  <c r="A434" i="1"/>
  <c r="G434" i="1"/>
  <c r="H434" i="1"/>
  <c r="J434" i="1"/>
  <c r="A435" i="1"/>
  <c r="G435" i="1"/>
  <c r="H435" i="1"/>
  <c r="J435" i="1"/>
  <c r="A436" i="1"/>
  <c r="G436" i="1"/>
  <c r="H436" i="1"/>
  <c r="J436" i="1"/>
  <c r="A437" i="1"/>
  <c r="G437" i="1"/>
  <c r="H437" i="1"/>
  <c r="J437" i="1"/>
  <c r="A438" i="1"/>
  <c r="G438" i="1"/>
  <c r="H438" i="1"/>
  <c r="J438" i="1"/>
  <c r="A439" i="1"/>
  <c r="G439" i="1"/>
  <c r="H439" i="1"/>
  <c r="J439" i="1"/>
  <c r="A440" i="1"/>
  <c r="G440" i="1"/>
  <c r="H440" i="1"/>
  <c r="J440" i="1"/>
  <c r="A441" i="1"/>
  <c r="G441" i="1"/>
  <c r="H441" i="1"/>
  <c r="J441" i="1"/>
  <c r="A442" i="1"/>
  <c r="G442" i="1"/>
  <c r="H442" i="1"/>
  <c r="J442" i="1"/>
  <c r="A443" i="1"/>
  <c r="G443" i="1"/>
  <c r="H443" i="1"/>
  <c r="J443" i="1"/>
  <c r="A444" i="1"/>
  <c r="G444" i="1"/>
  <c r="H444" i="1"/>
  <c r="J444" i="1"/>
  <c r="A445" i="1"/>
  <c r="G445" i="1"/>
  <c r="H445" i="1"/>
  <c r="J445" i="1"/>
  <c r="A446" i="1"/>
  <c r="G446" i="1"/>
  <c r="H446" i="1"/>
  <c r="J446" i="1"/>
  <c r="A447" i="1"/>
  <c r="G447" i="1"/>
  <c r="H447" i="1"/>
  <c r="J447" i="1"/>
  <c r="A448" i="1"/>
  <c r="G448" i="1"/>
  <c r="H448" i="1"/>
  <c r="J448" i="1"/>
  <c r="A449" i="1"/>
  <c r="G449" i="1"/>
  <c r="H449" i="1"/>
  <c r="J449" i="1"/>
  <c r="A450" i="1"/>
  <c r="G450" i="1"/>
  <c r="H450" i="1"/>
  <c r="J450" i="1"/>
  <c r="A451" i="1"/>
  <c r="G451" i="1"/>
  <c r="H451" i="1"/>
  <c r="J451" i="1"/>
  <c r="A452" i="1"/>
  <c r="G452" i="1"/>
  <c r="H452" i="1"/>
  <c r="J452" i="1"/>
  <c r="A453" i="1"/>
  <c r="G453" i="1"/>
  <c r="H453" i="1"/>
  <c r="J453" i="1"/>
  <c r="A454" i="1"/>
  <c r="G454" i="1"/>
  <c r="H454" i="1"/>
  <c r="J454" i="1"/>
  <c r="A455" i="1"/>
  <c r="G455" i="1"/>
  <c r="H455" i="1"/>
  <c r="J455" i="1"/>
  <c r="A456" i="1"/>
  <c r="G456" i="1"/>
  <c r="H456" i="1"/>
  <c r="J456" i="1"/>
  <c r="A457" i="1"/>
  <c r="G457" i="1"/>
  <c r="H457" i="1"/>
  <c r="J457" i="1"/>
  <c r="A458" i="1"/>
  <c r="G458" i="1"/>
  <c r="H458" i="1"/>
  <c r="J458" i="1"/>
  <c r="A459" i="1"/>
  <c r="G459" i="1"/>
  <c r="H459" i="1"/>
  <c r="J459" i="1"/>
  <c r="A460" i="1"/>
  <c r="G460" i="1"/>
  <c r="H460" i="1"/>
  <c r="J460" i="1"/>
  <c r="A461" i="1"/>
  <c r="G461" i="1"/>
  <c r="H461" i="1"/>
  <c r="J461" i="1"/>
  <c r="A462" i="1"/>
  <c r="G462" i="1"/>
  <c r="H462" i="1"/>
  <c r="J462" i="1"/>
  <c r="A463" i="1"/>
  <c r="G463" i="1"/>
  <c r="H463" i="1"/>
  <c r="J463" i="1"/>
  <c r="A464" i="1"/>
  <c r="G464" i="1"/>
  <c r="H464" i="1"/>
  <c r="J464" i="1"/>
  <c r="A465" i="1"/>
  <c r="G465" i="1"/>
  <c r="H465" i="1"/>
  <c r="J465" i="1"/>
  <c r="A466" i="1"/>
  <c r="G466" i="1"/>
  <c r="H466" i="1"/>
  <c r="J466" i="1"/>
  <c r="A467" i="1"/>
  <c r="G467" i="1"/>
  <c r="H467" i="1"/>
  <c r="J467" i="1"/>
  <c r="A468" i="1"/>
  <c r="G468" i="1"/>
  <c r="H468" i="1"/>
  <c r="J468" i="1"/>
  <c r="A469" i="1"/>
  <c r="G469" i="1"/>
  <c r="H469" i="1"/>
  <c r="J469" i="1"/>
  <c r="A470" i="1"/>
  <c r="G470" i="1"/>
  <c r="H470" i="1"/>
  <c r="J470" i="1"/>
  <c r="A471" i="1"/>
  <c r="G471" i="1"/>
  <c r="H471" i="1"/>
  <c r="J471" i="1"/>
  <c r="A472" i="1"/>
  <c r="G472" i="1"/>
  <c r="H472" i="1"/>
  <c r="J472" i="1"/>
  <c r="A473" i="1"/>
  <c r="G473" i="1"/>
  <c r="H473" i="1"/>
  <c r="J473" i="1"/>
  <c r="A474" i="1"/>
  <c r="G474" i="1"/>
  <c r="H474" i="1"/>
  <c r="J474" i="1"/>
  <c r="A475" i="1"/>
  <c r="G475" i="1"/>
  <c r="H475" i="1"/>
  <c r="J475" i="1"/>
  <c r="A476" i="1"/>
  <c r="G476" i="1"/>
  <c r="H476" i="1"/>
  <c r="J476" i="1"/>
  <c r="A477" i="1"/>
  <c r="G477" i="1"/>
  <c r="H477" i="1"/>
  <c r="J477" i="1"/>
  <c r="A478" i="1"/>
  <c r="G478" i="1"/>
  <c r="H478" i="1"/>
  <c r="J478" i="1"/>
  <c r="A479" i="1"/>
  <c r="G479" i="1"/>
  <c r="H479" i="1"/>
  <c r="J479" i="1"/>
  <c r="A480" i="1"/>
  <c r="G480" i="1"/>
  <c r="H480" i="1"/>
  <c r="J480" i="1"/>
  <c r="A481" i="1"/>
  <c r="G481" i="1"/>
  <c r="H481" i="1"/>
  <c r="J481" i="1"/>
  <c r="A482" i="1"/>
  <c r="G482" i="1"/>
  <c r="H482" i="1"/>
  <c r="J482" i="1"/>
  <c r="A483" i="1"/>
  <c r="G483" i="1"/>
  <c r="H483" i="1"/>
  <c r="J483" i="1"/>
  <c r="A484" i="1"/>
  <c r="G484" i="1"/>
  <c r="H484" i="1"/>
  <c r="J484" i="1"/>
  <c r="A485" i="1"/>
  <c r="G485" i="1"/>
  <c r="H485" i="1"/>
  <c r="J485" i="1"/>
  <c r="A486" i="1"/>
  <c r="G486" i="1"/>
  <c r="H486" i="1"/>
  <c r="J486" i="1"/>
  <c r="A487" i="1"/>
  <c r="G487" i="1"/>
  <c r="H487" i="1"/>
  <c r="J487" i="1"/>
  <c r="A488" i="1"/>
  <c r="G488" i="1"/>
  <c r="H488" i="1"/>
  <c r="J488" i="1"/>
  <c r="A489" i="1"/>
  <c r="G489" i="1"/>
  <c r="H489" i="1"/>
  <c r="J489" i="1"/>
  <c r="A490" i="1"/>
  <c r="G490" i="1"/>
  <c r="H490" i="1"/>
  <c r="J490" i="1"/>
  <c r="A491" i="1"/>
  <c r="G491" i="1"/>
  <c r="H491" i="1"/>
  <c r="J491" i="1"/>
  <c r="A492" i="1"/>
  <c r="G492" i="1"/>
  <c r="H492" i="1"/>
  <c r="J492" i="1"/>
  <c r="A493" i="1"/>
  <c r="G493" i="1"/>
  <c r="H493" i="1"/>
  <c r="J493" i="1"/>
  <c r="A494" i="1"/>
  <c r="G494" i="1"/>
  <c r="H494" i="1"/>
  <c r="J494" i="1"/>
  <c r="A495" i="1"/>
  <c r="G495" i="1"/>
  <c r="H495" i="1"/>
  <c r="J495" i="1"/>
  <c r="A496" i="1"/>
  <c r="G496" i="1"/>
  <c r="H496" i="1"/>
  <c r="J496" i="1"/>
  <c r="A497" i="1"/>
  <c r="G497" i="1"/>
  <c r="H497" i="1"/>
  <c r="J497" i="1"/>
  <c r="A498" i="1"/>
  <c r="G498" i="1"/>
  <c r="H498" i="1"/>
  <c r="J498" i="1"/>
  <c r="A499" i="1"/>
  <c r="G499" i="1"/>
  <c r="H499" i="1"/>
  <c r="J499" i="1"/>
  <c r="A500" i="1"/>
  <c r="G500" i="1"/>
  <c r="H500" i="1"/>
  <c r="J500" i="1"/>
  <c r="A501" i="1"/>
  <c r="G501" i="1"/>
  <c r="H501" i="1"/>
  <c r="J501" i="1"/>
  <c r="A502" i="1"/>
  <c r="G502" i="1"/>
  <c r="H502" i="1"/>
  <c r="J502" i="1"/>
  <c r="A503" i="1"/>
  <c r="G503" i="1"/>
  <c r="H503" i="1"/>
  <c r="J503" i="1"/>
  <c r="A504" i="1"/>
  <c r="G504" i="1"/>
  <c r="H504" i="1"/>
  <c r="J504" i="1"/>
  <c r="A505" i="1"/>
  <c r="G505" i="1"/>
  <c r="H505" i="1"/>
  <c r="J505" i="1"/>
  <c r="A506" i="1"/>
  <c r="G506" i="1"/>
  <c r="H506" i="1"/>
  <c r="J506" i="1"/>
  <c r="A507" i="1"/>
  <c r="G507" i="1"/>
  <c r="H507" i="1"/>
  <c r="J507" i="1"/>
  <c r="A508" i="1"/>
  <c r="G508" i="1"/>
  <c r="H508" i="1"/>
  <c r="J508" i="1"/>
  <c r="A509" i="1"/>
  <c r="G509" i="1"/>
  <c r="H509" i="1"/>
  <c r="J509" i="1"/>
  <c r="A510" i="1"/>
  <c r="G510" i="1"/>
  <c r="H510" i="1"/>
  <c r="J510" i="1"/>
  <c r="A511" i="1"/>
  <c r="G511" i="1"/>
  <c r="H511" i="1"/>
  <c r="J511" i="1"/>
  <c r="A512" i="1"/>
  <c r="G512" i="1"/>
  <c r="H512" i="1"/>
  <c r="J512" i="1"/>
  <c r="A513" i="1"/>
  <c r="G513" i="1"/>
  <c r="H513" i="1"/>
  <c r="J513" i="1"/>
  <c r="A514" i="1"/>
  <c r="G514" i="1"/>
  <c r="H514" i="1"/>
  <c r="J514" i="1"/>
  <c r="A515" i="1"/>
  <c r="G515" i="1"/>
  <c r="H515" i="1"/>
  <c r="J515" i="1"/>
  <c r="A516" i="1"/>
  <c r="G516" i="1"/>
  <c r="H516" i="1"/>
  <c r="J516" i="1"/>
  <c r="A517" i="1"/>
  <c r="G517" i="1"/>
  <c r="H517" i="1"/>
  <c r="J517" i="1"/>
  <c r="A518" i="1"/>
  <c r="G518" i="1"/>
  <c r="H518" i="1"/>
  <c r="J518" i="1"/>
  <c r="A519" i="1"/>
  <c r="G519" i="1"/>
  <c r="H519" i="1"/>
  <c r="J519" i="1"/>
  <c r="A520" i="1"/>
  <c r="G520" i="1"/>
  <c r="H520" i="1"/>
  <c r="J520" i="1"/>
  <c r="A521" i="1"/>
  <c r="G521" i="1"/>
  <c r="H521" i="1"/>
  <c r="J521" i="1"/>
  <c r="A522" i="1"/>
  <c r="G522" i="1"/>
  <c r="H522" i="1"/>
  <c r="J522" i="1"/>
  <c r="A523" i="1"/>
  <c r="G523" i="1"/>
  <c r="H523" i="1"/>
  <c r="J523" i="1"/>
  <c r="A524" i="1"/>
  <c r="G524" i="1"/>
  <c r="H524" i="1"/>
  <c r="J524" i="1"/>
  <c r="A525" i="1"/>
  <c r="G525" i="1"/>
  <c r="H525" i="1"/>
  <c r="J525" i="1"/>
  <c r="A526" i="1"/>
  <c r="G526" i="1"/>
  <c r="H526" i="1"/>
  <c r="J526" i="1"/>
  <c r="A527" i="1"/>
  <c r="G527" i="1"/>
  <c r="H527" i="1"/>
  <c r="J527" i="1"/>
  <c r="A528" i="1"/>
  <c r="G528" i="1"/>
  <c r="H528" i="1"/>
  <c r="J528" i="1"/>
  <c r="A529" i="1"/>
  <c r="G529" i="1"/>
  <c r="H529" i="1"/>
  <c r="J529" i="1"/>
  <c r="A530" i="1"/>
  <c r="G530" i="1"/>
  <c r="H530" i="1"/>
  <c r="J530" i="1"/>
  <c r="A531" i="1"/>
  <c r="G531" i="1"/>
  <c r="H531" i="1"/>
  <c r="J531" i="1"/>
  <c r="A532" i="1"/>
  <c r="G532" i="1"/>
  <c r="H532" i="1"/>
  <c r="J532" i="1"/>
  <c r="A533" i="1"/>
  <c r="G533" i="1"/>
  <c r="H533" i="1"/>
  <c r="J533" i="1"/>
  <c r="A534" i="1"/>
  <c r="G534" i="1"/>
  <c r="H534" i="1"/>
  <c r="J534" i="1"/>
  <c r="A535" i="1"/>
  <c r="G535" i="1"/>
  <c r="H535" i="1"/>
  <c r="J535" i="1"/>
  <c r="A536" i="1"/>
  <c r="G536" i="1"/>
  <c r="H536" i="1"/>
  <c r="J536" i="1"/>
  <c r="A537" i="1"/>
  <c r="G537" i="1"/>
  <c r="H537" i="1"/>
  <c r="J537" i="1"/>
  <c r="A538" i="1"/>
  <c r="G538" i="1"/>
  <c r="H538" i="1"/>
  <c r="J538" i="1"/>
  <c r="A539" i="1"/>
  <c r="G539" i="1"/>
  <c r="H539" i="1"/>
  <c r="J539" i="1"/>
  <c r="A540" i="1"/>
  <c r="G540" i="1"/>
  <c r="H540" i="1"/>
  <c r="J540" i="1"/>
  <c r="A541" i="1"/>
  <c r="G541" i="1"/>
  <c r="H541" i="1"/>
  <c r="J541" i="1"/>
  <c r="A542" i="1"/>
  <c r="G542" i="1"/>
  <c r="H542" i="1"/>
  <c r="J542" i="1"/>
  <c r="A543" i="1"/>
  <c r="G543" i="1"/>
  <c r="H543" i="1"/>
  <c r="J543" i="1"/>
  <c r="A544" i="1"/>
  <c r="G544" i="1"/>
  <c r="H544" i="1"/>
  <c r="J544" i="1"/>
  <c r="A545" i="1"/>
  <c r="G545" i="1"/>
  <c r="H545" i="1"/>
  <c r="J545" i="1"/>
  <c r="A546" i="1"/>
  <c r="G546" i="1"/>
  <c r="H546" i="1"/>
  <c r="J546" i="1"/>
  <c r="A547" i="1"/>
  <c r="G547" i="1"/>
  <c r="H547" i="1"/>
  <c r="J547" i="1"/>
  <c r="A548" i="1"/>
  <c r="G548" i="1"/>
  <c r="H548" i="1"/>
  <c r="J548" i="1"/>
  <c r="A549" i="1"/>
  <c r="G549" i="1"/>
  <c r="H549" i="1"/>
  <c r="J549" i="1"/>
  <c r="A550" i="1"/>
  <c r="G550" i="1"/>
  <c r="H550" i="1"/>
  <c r="J550" i="1"/>
  <c r="A551" i="1"/>
  <c r="G551" i="1"/>
  <c r="H551" i="1"/>
  <c r="J551" i="1"/>
  <c r="A552" i="1"/>
  <c r="G552" i="1"/>
  <c r="H552" i="1"/>
  <c r="J552" i="1"/>
  <c r="A553" i="1"/>
  <c r="G553" i="1"/>
  <c r="H553" i="1"/>
  <c r="J553" i="1"/>
  <c r="A554" i="1"/>
  <c r="G554" i="1"/>
  <c r="H554" i="1"/>
  <c r="J554" i="1"/>
  <c r="A555" i="1"/>
  <c r="G555" i="1"/>
  <c r="H555" i="1"/>
  <c r="J555" i="1"/>
  <c r="A556" i="1"/>
  <c r="G556" i="1"/>
  <c r="H556" i="1"/>
  <c r="J556" i="1"/>
  <c r="A557" i="1"/>
  <c r="G557" i="1"/>
  <c r="H557" i="1"/>
  <c r="J557" i="1"/>
  <c r="A558" i="1"/>
  <c r="G558" i="1"/>
  <c r="H558" i="1"/>
  <c r="J558" i="1"/>
  <c r="A559" i="1"/>
  <c r="G559" i="1"/>
  <c r="H559" i="1"/>
  <c r="J559" i="1"/>
  <c r="A560" i="1"/>
  <c r="G560" i="1"/>
  <c r="H560" i="1"/>
  <c r="J560" i="1"/>
  <c r="A561" i="1"/>
  <c r="G561" i="1"/>
  <c r="H561" i="1"/>
  <c r="J561" i="1"/>
  <c r="A562" i="1"/>
  <c r="G562" i="1"/>
  <c r="H562" i="1"/>
  <c r="J562" i="1"/>
  <c r="A563" i="1"/>
  <c r="G563" i="1"/>
  <c r="H563" i="1"/>
  <c r="J563" i="1"/>
  <c r="A564" i="1"/>
  <c r="G564" i="1"/>
  <c r="H564" i="1"/>
  <c r="J564" i="1"/>
  <c r="A565" i="1"/>
  <c r="G565" i="1"/>
  <c r="H565" i="1"/>
  <c r="J565" i="1"/>
  <c r="A566" i="1"/>
  <c r="G566" i="1"/>
  <c r="H566" i="1"/>
  <c r="J566" i="1"/>
  <c r="A567" i="1"/>
  <c r="G567" i="1"/>
  <c r="H567" i="1"/>
  <c r="J567" i="1"/>
  <c r="A568" i="1"/>
  <c r="G568" i="1"/>
  <c r="H568" i="1"/>
  <c r="J568" i="1"/>
  <c r="A569" i="1"/>
  <c r="G569" i="1"/>
  <c r="H569" i="1"/>
  <c r="J569" i="1"/>
  <c r="A570" i="1"/>
  <c r="G570" i="1"/>
  <c r="H570" i="1"/>
  <c r="J570" i="1"/>
  <c r="A571" i="1"/>
  <c r="G571" i="1"/>
  <c r="H571" i="1"/>
  <c r="J571" i="1"/>
  <c r="A572" i="1"/>
  <c r="G572" i="1"/>
  <c r="H572" i="1"/>
  <c r="J572" i="1"/>
  <c r="A573" i="1"/>
  <c r="G573" i="1"/>
  <c r="H573" i="1"/>
  <c r="J573" i="1"/>
  <c r="A574" i="1"/>
  <c r="G574" i="1"/>
  <c r="H574" i="1"/>
  <c r="J574" i="1"/>
  <c r="A575" i="1"/>
  <c r="G575" i="1"/>
  <c r="H575" i="1"/>
  <c r="J575" i="1"/>
  <c r="A576" i="1"/>
  <c r="G576" i="1"/>
  <c r="H576" i="1"/>
  <c r="J576" i="1"/>
  <c r="A577" i="1"/>
  <c r="G577" i="1"/>
  <c r="H577" i="1"/>
  <c r="J577" i="1"/>
  <c r="A578" i="1"/>
  <c r="G578" i="1"/>
  <c r="H578" i="1"/>
  <c r="J578" i="1"/>
  <c r="A579" i="1"/>
  <c r="G579" i="1"/>
  <c r="H579" i="1"/>
  <c r="J579" i="1"/>
  <c r="A580" i="1"/>
  <c r="G580" i="1"/>
  <c r="H580" i="1"/>
  <c r="J580" i="1"/>
  <c r="A581" i="1"/>
  <c r="G581" i="1"/>
  <c r="H581" i="1"/>
  <c r="J581" i="1"/>
  <c r="A582" i="1"/>
  <c r="G582" i="1"/>
  <c r="H582" i="1"/>
  <c r="J582" i="1"/>
  <c r="A583" i="1"/>
  <c r="G583" i="1"/>
  <c r="H583" i="1"/>
  <c r="J583" i="1"/>
  <c r="A584" i="1"/>
  <c r="G584" i="1"/>
  <c r="H584" i="1"/>
  <c r="J584" i="1"/>
  <c r="A585" i="1"/>
  <c r="G585" i="1"/>
  <c r="H585" i="1"/>
  <c r="J585" i="1"/>
  <c r="A586" i="1"/>
  <c r="G586" i="1"/>
  <c r="H586" i="1"/>
  <c r="J586" i="1"/>
  <c r="A587" i="1"/>
  <c r="G587" i="1"/>
  <c r="H587" i="1"/>
  <c r="A588" i="1"/>
  <c r="G588" i="1"/>
  <c r="H588" i="1"/>
  <c r="J588" i="1"/>
  <c r="A589" i="1"/>
  <c r="G589" i="1"/>
  <c r="H589" i="1"/>
  <c r="J589" i="1"/>
  <c r="A590" i="1"/>
  <c r="G590" i="1"/>
  <c r="H590" i="1"/>
  <c r="J590" i="1"/>
  <c r="A591" i="1"/>
  <c r="G591" i="1"/>
  <c r="H591" i="1"/>
  <c r="J591" i="1"/>
  <c r="A592" i="1"/>
  <c r="G592" i="1"/>
  <c r="H592" i="1"/>
  <c r="J592" i="1"/>
  <c r="A593" i="1"/>
  <c r="G593" i="1"/>
  <c r="H593" i="1"/>
  <c r="J593" i="1"/>
  <c r="A594" i="1"/>
  <c r="G594" i="1"/>
  <c r="H594" i="1"/>
  <c r="J594" i="1"/>
  <c r="A595" i="1"/>
  <c r="G595" i="1"/>
  <c r="H595" i="1"/>
  <c r="J595" i="1"/>
  <c r="A596" i="1"/>
  <c r="G596" i="1"/>
  <c r="H596" i="1"/>
  <c r="J596" i="1"/>
  <c r="A597" i="1"/>
  <c r="G597" i="1"/>
  <c r="H597" i="1"/>
  <c r="J597" i="1"/>
  <c r="A598" i="1"/>
  <c r="G598" i="1"/>
  <c r="H598" i="1"/>
  <c r="J598" i="1"/>
  <c r="A599" i="1"/>
  <c r="G599" i="1"/>
  <c r="H599" i="1"/>
  <c r="J599" i="1"/>
  <c r="A600" i="1"/>
  <c r="G600" i="1"/>
  <c r="H600" i="1"/>
  <c r="J600" i="1"/>
  <c r="A601" i="1"/>
  <c r="G601" i="1"/>
  <c r="H601" i="1"/>
  <c r="J601" i="1"/>
  <c r="A602" i="1"/>
  <c r="G602" i="1"/>
  <c r="H602" i="1"/>
  <c r="J602" i="1"/>
  <c r="A603" i="1"/>
  <c r="G603" i="1"/>
  <c r="H603" i="1"/>
  <c r="J603" i="1"/>
  <c r="A604" i="1"/>
  <c r="G604" i="1"/>
  <c r="H604" i="1"/>
  <c r="J604" i="1"/>
  <c r="A605" i="1"/>
  <c r="G605" i="1"/>
  <c r="H605" i="1"/>
  <c r="J605" i="1"/>
  <c r="A606" i="1"/>
  <c r="G606" i="1"/>
  <c r="H606" i="1"/>
  <c r="J606" i="1"/>
  <c r="A607" i="1"/>
  <c r="G607" i="1"/>
  <c r="H607" i="1"/>
  <c r="J607" i="1"/>
  <c r="A608" i="1"/>
  <c r="G608" i="1"/>
  <c r="H608" i="1"/>
  <c r="J608" i="1"/>
  <c r="A609" i="1"/>
  <c r="G609" i="1"/>
  <c r="H609" i="1"/>
  <c r="J609" i="1"/>
  <c r="A610" i="1"/>
  <c r="G610" i="1"/>
  <c r="H610" i="1"/>
  <c r="J610" i="1"/>
  <c r="A611" i="1"/>
  <c r="G611" i="1"/>
  <c r="H611" i="1"/>
  <c r="J611" i="1"/>
  <c r="A612" i="1"/>
  <c r="G612" i="1"/>
  <c r="H612" i="1"/>
  <c r="J612" i="1"/>
  <c r="A613" i="1"/>
  <c r="G613" i="1"/>
  <c r="H613" i="1"/>
  <c r="J613" i="1"/>
  <c r="A614" i="1"/>
  <c r="G614" i="1"/>
  <c r="H614" i="1"/>
  <c r="J614" i="1"/>
  <c r="A615" i="1"/>
  <c r="G615" i="1"/>
  <c r="H615" i="1"/>
  <c r="J615" i="1"/>
  <c r="A616" i="1"/>
  <c r="G616" i="1"/>
  <c r="H616" i="1"/>
  <c r="J616" i="1"/>
  <c r="A617" i="1"/>
  <c r="G617" i="1"/>
  <c r="H617" i="1"/>
  <c r="J617" i="1"/>
  <c r="A618" i="1"/>
  <c r="G618" i="1"/>
  <c r="H618" i="1"/>
  <c r="J618" i="1"/>
  <c r="A619" i="1"/>
  <c r="G619" i="1"/>
  <c r="H619" i="1"/>
  <c r="J619" i="1"/>
  <c r="A620" i="1"/>
  <c r="G620" i="1"/>
  <c r="H620" i="1"/>
  <c r="J620" i="1"/>
  <c r="A621" i="1"/>
  <c r="G621" i="1"/>
  <c r="H621" i="1"/>
  <c r="J621" i="1"/>
  <c r="A622" i="1"/>
  <c r="G622" i="1"/>
  <c r="H622" i="1"/>
  <c r="J622" i="1"/>
  <c r="A623" i="1"/>
  <c r="G623" i="1"/>
  <c r="H623" i="1"/>
  <c r="J623" i="1"/>
  <c r="A624" i="1"/>
  <c r="G624" i="1"/>
  <c r="H624" i="1"/>
  <c r="J624" i="1"/>
  <c r="A625" i="1"/>
  <c r="G625" i="1"/>
  <c r="H625" i="1"/>
  <c r="J625" i="1"/>
  <c r="A626" i="1"/>
  <c r="G626" i="1"/>
  <c r="H626" i="1"/>
  <c r="J626" i="1"/>
  <c r="A627" i="1"/>
  <c r="G627" i="1"/>
  <c r="H627" i="1"/>
  <c r="J627" i="1"/>
  <c r="A628" i="1"/>
  <c r="G628" i="1"/>
  <c r="H628" i="1"/>
  <c r="J628" i="1"/>
  <c r="A629" i="1"/>
  <c r="G629" i="1"/>
  <c r="H629" i="1"/>
  <c r="A630" i="1"/>
  <c r="G630" i="1"/>
  <c r="H630" i="1"/>
  <c r="J630" i="1"/>
  <c r="A631" i="1"/>
  <c r="G631" i="1"/>
  <c r="H631" i="1"/>
  <c r="J631" i="1"/>
  <c r="A632" i="1"/>
  <c r="G632" i="1"/>
  <c r="H632" i="1"/>
  <c r="J632" i="1"/>
  <c r="A633" i="1"/>
  <c r="G633" i="1"/>
  <c r="H633" i="1"/>
  <c r="J633" i="1"/>
  <c r="A634" i="1"/>
  <c r="G634" i="1"/>
  <c r="H634" i="1"/>
  <c r="A635" i="1"/>
  <c r="G635" i="1"/>
  <c r="H635" i="1"/>
  <c r="J635" i="1"/>
  <c r="A636" i="1"/>
  <c r="G636" i="1"/>
  <c r="H636" i="1"/>
  <c r="J636" i="1"/>
  <c r="A637" i="1"/>
  <c r="G637" i="1"/>
  <c r="H637" i="1"/>
  <c r="J637" i="1"/>
  <c r="A638" i="1"/>
  <c r="G638" i="1"/>
  <c r="H638" i="1"/>
  <c r="J638" i="1"/>
  <c r="A639" i="1"/>
  <c r="G639" i="1"/>
  <c r="H639" i="1"/>
  <c r="J639" i="1"/>
  <c r="A640" i="1"/>
  <c r="G640" i="1"/>
  <c r="H640" i="1"/>
  <c r="J640" i="1"/>
  <c r="A641" i="1"/>
  <c r="G641" i="1"/>
  <c r="H641" i="1"/>
  <c r="J641" i="1"/>
  <c r="A642" i="1"/>
  <c r="G642" i="1"/>
  <c r="H642" i="1"/>
  <c r="J642" i="1"/>
  <c r="A643" i="1"/>
  <c r="G643" i="1"/>
  <c r="H643" i="1"/>
  <c r="J643" i="1"/>
  <c r="A644" i="1"/>
  <c r="G644" i="1"/>
  <c r="H644" i="1"/>
  <c r="J644" i="1"/>
  <c r="A645" i="1"/>
  <c r="G645" i="1"/>
  <c r="H645" i="1"/>
  <c r="J645" i="1"/>
  <c r="A646" i="1"/>
  <c r="G646" i="1"/>
  <c r="H646" i="1"/>
  <c r="J646" i="1"/>
  <c r="A647" i="1"/>
  <c r="G647" i="1"/>
  <c r="H647" i="1"/>
  <c r="J647" i="1"/>
  <c r="A648" i="1"/>
  <c r="G648" i="1"/>
  <c r="H648" i="1"/>
  <c r="J648" i="1"/>
  <c r="A649" i="1"/>
  <c r="G649" i="1"/>
  <c r="H649" i="1"/>
  <c r="J649" i="1"/>
  <c r="A650" i="1"/>
  <c r="G650" i="1"/>
  <c r="H650" i="1"/>
  <c r="J650" i="1"/>
  <c r="A651" i="1"/>
  <c r="G651" i="1"/>
  <c r="H651" i="1"/>
  <c r="J651" i="1"/>
  <c r="A652" i="1"/>
  <c r="G652" i="1"/>
  <c r="H652" i="1"/>
  <c r="J652" i="1"/>
  <c r="A653" i="1"/>
  <c r="G653" i="1"/>
  <c r="H653" i="1"/>
  <c r="J653" i="1"/>
  <c r="A654" i="1"/>
  <c r="G654" i="1"/>
  <c r="H654" i="1"/>
  <c r="J654" i="1"/>
  <c r="A655" i="1"/>
  <c r="G655" i="1"/>
  <c r="H655" i="1"/>
  <c r="J655" i="1"/>
  <c r="A656" i="1"/>
  <c r="G656" i="1"/>
  <c r="H656" i="1"/>
  <c r="J656" i="1"/>
  <c r="A657" i="1"/>
  <c r="G657" i="1"/>
  <c r="H657" i="1"/>
  <c r="J657" i="1"/>
  <c r="A658" i="1"/>
  <c r="G658" i="1"/>
  <c r="H658" i="1"/>
  <c r="J658" i="1"/>
  <c r="A659" i="1"/>
  <c r="G659" i="1"/>
  <c r="H659" i="1"/>
  <c r="J659" i="1"/>
  <c r="A660" i="1"/>
  <c r="G660" i="1"/>
  <c r="H660" i="1"/>
  <c r="J660" i="1"/>
  <c r="A661" i="1"/>
  <c r="G661" i="1"/>
  <c r="H661" i="1"/>
  <c r="J661" i="1"/>
  <c r="A662" i="1"/>
  <c r="G662" i="1"/>
  <c r="H662" i="1"/>
  <c r="J662" i="1"/>
  <c r="A663" i="1"/>
  <c r="G663" i="1"/>
  <c r="H663" i="1"/>
  <c r="J663" i="1"/>
  <c r="A664" i="1"/>
  <c r="G664" i="1"/>
  <c r="H664" i="1"/>
  <c r="J664" i="1"/>
  <c r="A665" i="1"/>
  <c r="G665" i="1"/>
  <c r="H665" i="1"/>
  <c r="J665" i="1"/>
  <c r="A666" i="1"/>
  <c r="G666" i="1"/>
  <c r="H666" i="1"/>
  <c r="J666" i="1"/>
  <c r="A667" i="1"/>
  <c r="G667" i="1"/>
  <c r="H667" i="1"/>
  <c r="J667" i="1"/>
  <c r="A668" i="1"/>
  <c r="G668" i="1"/>
  <c r="H668" i="1"/>
  <c r="J668" i="1"/>
  <c r="A669" i="1"/>
  <c r="G669" i="1"/>
  <c r="H669" i="1"/>
  <c r="J669" i="1"/>
  <c r="A670" i="1"/>
  <c r="G670" i="1"/>
  <c r="H670" i="1"/>
  <c r="J670" i="1"/>
  <c r="A671" i="1"/>
  <c r="G671" i="1"/>
  <c r="H671" i="1"/>
  <c r="J671" i="1"/>
  <c r="A672" i="1"/>
  <c r="G672" i="1"/>
  <c r="H672" i="1"/>
  <c r="J672" i="1"/>
  <c r="A673" i="1"/>
  <c r="G673" i="1"/>
  <c r="H673" i="1"/>
  <c r="J673" i="1"/>
  <c r="A674" i="1"/>
  <c r="G674" i="1"/>
  <c r="H674" i="1"/>
  <c r="J674" i="1"/>
  <c r="A675" i="1"/>
  <c r="G675" i="1"/>
  <c r="H675" i="1"/>
  <c r="J675" i="1"/>
  <c r="A676" i="1"/>
  <c r="G676" i="1"/>
  <c r="H676" i="1"/>
  <c r="J676" i="1"/>
  <c r="A677" i="1"/>
  <c r="G677" i="1"/>
  <c r="H677" i="1"/>
  <c r="J677" i="1"/>
  <c r="A678" i="1"/>
  <c r="G678" i="1"/>
  <c r="H678" i="1"/>
  <c r="J678" i="1"/>
  <c r="A679" i="1"/>
  <c r="G679" i="1"/>
  <c r="H679" i="1"/>
  <c r="J679" i="1"/>
  <c r="A680" i="1"/>
  <c r="G680" i="1"/>
  <c r="H680" i="1"/>
  <c r="J680" i="1"/>
  <c r="A681" i="1"/>
  <c r="G681" i="1"/>
  <c r="H681" i="1"/>
  <c r="J681" i="1"/>
  <c r="A682" i="1"/>
  <c r="G682" i="1"/>
  <c r="H682" i="1"/>
  <c r="J682" i="1"/>
  <c r="A683" i="1"/>
  <c r="G683" i="1"/>
  <c r="H683" i="1"/>
  <c r="J683" i="1"/>
  <c r="A684" i="1"/>
  <c r="G684" i="1"/>
  <c r="H684" i="1"/>
  <c r="J684" i="1"/>
  <c r="A685" i="1"/>
  <c r="G685" i="1"/>
  <c r="H685" i="1"/>
  <c r="J685" i="1"/>
  <c r="A686" i="1"/>
  <c r="G686" i="1"/>
  <c r="H686" i="1"/>
  <c r="J686" i="1"/>
  <c r="A687" i="1"/>
  <c r="G687" i="1"/>
  <c r="H687" i="1"/>
  <c r="J687" i="1"/>
  <c r="A688" i="1"/>
  <c r="G688" i="1"/>
  <c r="H688" i="1"/>
  <c r="J688" i="1"/>
  <c r="A689" i="1"/>
  <c r="G689" i="1"/>
  <c r="H689" i="1"/>
  <c r="J689" i="1"/>
  <c r="A690" i="1"/>
  <c r="G690" i="1"/>
  <c r="H690" i="1"/>
  <c r="J690" i="1"/>
  <c r="A691" i="1"/>
  <c r="G691" i="1"/>
  <c r="H691" i="1"/>
  <c r="J691" i="1"/>
  <c r="A692" i="1"/>
  <c r="G692" i="1"/>
  <c r="H692" i="1"/>
  <c r="J692" i="1"/>
  <c r="A693" i="1"/>
  <c r="G693" i="1"/>
  <c r="H693" i="1"/>
  <c r="J693" i="1"/>
  <c r="A694" i="1"/>
  <c r="G694" i="1"/>
  <c r="H694" i="1"/>
  <c r="J694" i="1"/>
  <c r="A695" i="1"/>
  <c r="G695" i="1"/>
  <c r="H695" i="1"/>
  <c r="J695" i="1"/>
  <c r="A696" i="1"/>
  <c r="G696" i="1"/>
  <c r="H696" i="1"/>
  <c r="J696" i="1"/>
  <c r="A697" i="1"/>
  <c r="G697" i="1"/>
  <c r="H697" i="1"/>
  <c r="J697" i="1"/>
  <c r="A698" i="1"/>
  <c r="G698" i="1"/>
  <c r="H698" i="1"/>
  <c r="J698" i="1"/>
  <c r="A699" i="1"/>
  <c r="G699" i="1"/>
  <c r="H699" i="1"/>
  <c r="J699" i="1"/>
  <c r="A700" i="1"/>
  <c r="G700" i="1"/>
  <c r="H700" i="1"/>
  <c r="J700" i="1"/>
  <c r="A701" i="1"/>
  <c r="G701" i="1"/>
  <c r="H701" i="1"/>
  <c r="J701" i="1"/>
  <c r="A702" i="1"/>
  <c r="G702" i="1"/>
  <c r="H702" i="1"/>
  <c r="J702" i="1"/>
  <c r="A703" i="1"/>
  <c r="G703" i="1"/>
  <c r="H703" i="1"/>
  <c r="J703" i="1"/>
  <c r="A704" i="1"/>
  <c r="G704" i="1"/>
  <c r="H704" i="1"/>
  <c r="J704" i="1"/>
  <c r="A705" i="1"/>
  <c r="G705" i="1"/>
  <c r="H705" i="1"/>
  <c r="J705" i="1"/>
  <c r="A706" i="1"/>
  <c r="G706" i="1"/>
  <c r="H706" i="1"/>
  <c r="J706" i="1"/>
  <c r="A707" i="1"/>
  <c r="G707" i="1"/>
  <c r="H707" i="1"/>
  <c r="J707" i="1"/>
  <c r="A708" i="1"/>
  <c r="G708" i="1"/>
  <c r="H708" i="1"/>
  <c r="J708" i="1"/>
  <c r="A709" i="1"/>
  <c r="G709" i="1"/>
  <c r="H709" i="1"/>
  <c r="J709" i="1"/>
  <c r="A710" i="1"/>
  <c r="G710" i="1"/>
  <c r="H710" i="1"/>
  <c r="J710" i="1"/>
  <c r="A711" i="1"/>
  <c r="G711" i="1"/>
  <c r="H711" i="1"/>
  <c r="J711" i="1"/>
  <c r="A712" i="1"/>
  <c r="G712" i="1"/>
  <c r="H712" i="1"/>
  <c r="J712" i="1"/>
  <c r="A713" i="1"/>
  <c r="G713" i="1"/>
  <c r="H713" i="1"/>
  <c r="J713" i="1"/>
  <c r="A714" i="1"/>
  <c r="G714" i="1"/>
  <c r="H714" i="1"/>
  <c r="J714" i="1"/>
  <c r="A715" i="1"/>
  <c r="G715" i="1"/>
  <c r="H715" i="1"/>
  <c r="J715" i="1"/>
  <c r="A716" i="1"/>
  <c r="G716" i="1"/>
  <c r="H716" i="1"/>
  <c r="J716" i="1"/>
  <c r="A717" i="1"/>
  <c r="G717" i="1"/>
  <c r="H717" i="1"/>
  <c r="J717" i="1"/>
  <c r="A718" i="1"/>
  <c r="G718" i="1"/>
  <c r="H718" i="1"/>
  <c r="J718" i="1"/>
  <c r="A719" i="1"/>
  <c r="G719" i="1"/>
  <c r="H719" i="1"/>
  <c r="J719" i="1"/>
  <c r="A720" i="1"/>
  <c r="G720" i="1"/>
  <c r="H720" i="1"/>
  <c r="J720" i="1"/>
  <c r="A721" i="1"/>
  <c r="G721" i="1"/>
  <c r="H721" i="1"/>
  <c r="J721" i="1"/>
  <c r="A722" i="1"/>
  <c r="G722" i="1"/>
  <c r="H722" i="1"/>
  <c r="J722" i="1"/>
  <c r="A723" i="1"/>
  <c r="G723" i="1"/>
  <c r="H723" i="1"/>
  <c r="J723" i="1"/>
  <c r="A724" i="1"/>
  <c r="G724" i="1"/>
  <c r="H724" i="1"/>
  <c r="J724" i="1"/>
  <c r="A725" i="1"/>
  <c r="G725" i="1"/>
  <c r="H725" i="1"/>
  <c r="J725" i="1"/>
  <c r="A726" i="1"/>
  <c r="G726" i="1"/>
  <c r="H726" i="1"/>
  <c r="J726" i="1"/>
  <c r="A727" i="1"/>
  <c r="G727" i="1"/>
  <c r="H727" i="1"/>
  <c r="J727" i="1"/>
  <c r="A728" i="1"/>
  <c r="G728" i="1"/>
  <c r="H728" i="1"/>
  <c r="J728" i="1"/>
  <c r="A729" i="1"/>
  <c r="G729" i="1"/>
  <c r="H729" i="1"/>
  <c r="J729" i="1"/>
  <c r="A730" i="1"/>
  <c r="G730" i="1"/>
  <c r="H730" i="1"/>
  <c r="J730" i="1"/>
  <c r="A731" i="1"/>
  <c r="G731" i="1"/>
  <c r="H731" i="1"/>
  <c r="J731" i="1"/>
  <c r="A732" i="1"/>
  <c r="G732" i="1"/>
  <c r="H732" i="1"/>
  <c r="J732" i="1"/>
  <c r="A733" i="1"/>
  <c r="G733" i="1"/>
  <c r="H733" i="1"/>
  <c r="J733" i="1"/>
  <c r="A734" i="1"/>
  <c r="G734" i="1"/>
  <c r="H734" i="1"/>
  <c r="J734" i="1"/>
  <c r="A735" i="1"/>
  <c r="G735" i="1"/>
  <c r="H735" i="1"/>
  <c r="J735" i="1"/>
  <c r="A736" i="1"/>
  <c r="G736" i="1"/>
  <c r="H736" i="1"/>
  <c r="J736" i="1"/>
  <c r="A737" i="1"/>
  <c r="G737" i="1"/>
  <c r="H737" i="1"/>
  <c r="J737" i="1"/>
  <c r="A738" i="1"/>
  <c r="G738" i="1"/>
  <c r="H738" i="1"/>
  <c r="J738" i="1"/>
  <c r="A739" i="1"/>
  <c r="G739" i="1"/>
  <c r="H739" i="1"/>
  <c r="J739" i="1"/>
  <c r="A740" i="1"/>
  <c r="G740" i="1"/>
  <c r="H740" i="1"/>
  <c r="J740" i="1"/>
  <c r="A741" i="1"/>
  <c r="G741" i="1"/>
  <c r="H741" i="1"/>
  <c r="J741" i="1"/>
  <c r="A742" i="1"/>
  <c r="G742" i="1"/>
  <c r="H742" i="1"/>
  <c r="J742" i="1"/>
  <c r="A743" i="1"/>
  <c r="G743" i="1"/>
  <c r="H743" i="1"/>
  <c r="J743" i="1"/>
  <c r="A744" i="1"/>
  <c r="G744" i="1"/>
  <c r="H744" i="1"/>
  <c r="J744" i="1"/>
  <c r="A745" i="1"/>
  <c r="G745" i="1"/>
  <c r="H745" i="1"/>
  <c r="J745" i="1"/>
  <c r="A746" i="1"/>
  <c r="G746" i="1"/>
  <c r="H746" i="1"/>
  <c r="J746" i="1"/>
  <c r="A747" i="1"/>
  <c r="G747" i="1"/>
  <c r="H747" i="1"/>
  <c r="J747" i="1"/>
  <c r="A748" i="1"/>
  <c r="G748" i="1"/>
  <c r="H748" i="1"/>
  <c r="J748" i="1"/>
  <c r="A749" i="1"/>
  <c r="G749" i="1"/>
  <c r="H749" i="1"/>
  <c r="J749" i="1"/>
  <c r="A750" i="1"/>
  <c r="G750" i="1"/>
  <c r="H750" i="1"/>
  <c r="J750" i="1"/>
  <c r="A751" i="1"/>
  <c r="G751" i="1"/>
  <c r="H751" i="1"/>
  <c r="J751" i="1"/>
  <c r="A752" i="1"/>
  <c r="G752" i="1"/>
  <c r="H752" i="1"/>
  <c r="J752" i="1"/>
  <c r="A753" i="1"/>
  <c r="G753" i="1"/>
  <c r="A754" i="1"/>
  <c r="G754" i="1"/>
  <c r="H754" i="1"/>
  <c r="J754" i="1"/>
  <c r="A755" i="1"/>
  <c r="G755" i="1"/>
  <c r="H755" i="1"/>
  <c r="J755" i="1"/>
  <c r="A756" i="1"/>
  <c r="G756" i="1"/>
  <c r="H756" i="1"/>
  <c r="J756" i="1"/>
  <c r="A757" i="1"/>
  <c r="G757" i="1"/>
  <c r="H757" i="1"/>
  <c r="J757" i="1"/>
  <c r="A758" i="1"/>
  <c r="G758" i="1"/>
  <c r="H758" i="1"/>
  <c r="J758" i="1"/>
  <c r="A759" i="1"/>
  <c r="G759" i="1"/>
  <c r="H759" i="1"/>
  <c r="J759" i="1"/>
  <c r="A760" i="1"/>
  <c r="G760" i="1"/>
  <c r="H760" i="1"/>
  <c r="J760" i="1"/>
  <c r="A761" i="1"/>
  <c r="G761" i="1"/>
  <c r="H761" i="1"/>
  <c r="J761" i="1"/>
  <c r="A762" i="1"/>
  <c r="G762" i="1"/>
  <c r="H762" i="1"/>
  <c r="J762" i="1"/>
  <c r="A763" i="1"/>
  <c r="G763" i="1"/>
  <c r="H763" i="1"/>
  <c r="J763" i="1"/>
  <c r="A764" i="1"/>
  <c r="G764" i="1"/>
  <c r="H764" i="1"/>
  <c r="J764" i="1"/>
  <c r="A765" i="1"/>
  <c r="G765" i="1"/>
  <c r="H765" i="1"/>
  <c r="J765" i="1"/>
  <c r="A766" i="1"/>
  <c r="G766" i="1"/>
  <c r="H766" i="1"/>
  <c r="J766" i="1"/>
  <c r="A767" i="1"/>
  <c r="G767" i="1"/>
  <c r="H767" i="1"/>
  <c r="J767" i="1"/>
  <c r="A768" i="1"/>
  <c r="G768" i="1"/>
  <c r="H768" i="1"/>
  <c r="J768" i="1"/>
  <c r="A769" i="1"/>
  <c r="G769" i="1"/>
  <c r="H769" i="1"/>
  <c r="J769" i="1"/>
  <c r="A770" i="1"/>
  <c r="G770" i="1"/>
  <c r="H770" i="1"/>
  <c r="J770" i="1"/>
  <c r="A771" i="1"/>
  <c r="G771" i="1"/>
  <c r="H771" i="1"/>
  <c r="J771" i="1"/>
  <c r="A772" i="1"/>
  <c r="G772" i="1"/>
  <c r="H772" i="1"/>
  <c r="J772" i="1"/>
  <c r="A773" i="1"/>
  <c r="G773" i="1"/>
  <c r="H773" i="1"/>
  <c r="J773" i="1"/>
  <c r="A774" i="1"/>
  <c r="G774" i="1"/>
  <c r="H774" i="1"/>
  <c r="J774" i="1"/>
  <c r="A775" i="1"/>
  <c r="G775" i="1"/>
  <c r="H775" i="1"/>
  <c r="J775" i="1"/>
  <c r="A776" i="1"/>
  <c r="G776" i="1"/>
  <c r="H776" i="1"/>
  <c r="J776" i="1"/>
  <c r="A777" i="1"/>
  <c r="G777" i="1"/>
  <c r="H777" i="1"/>
  <c r="J777" i="1"/>
  <c r="A778" i="1"/>
  <c r="G778" i="1"/>
  <c r="H778" i="1"/>
  <c r="J778" i="1"/>
  <c r="A779" i="1"/>
  <c r="G779" i="1"/>
  <c r="H779" i="1"/>
  <c r="J779" i="1"/>
  <c r="A780" i="1"/>
  <c r="G780" i="1"/>
  <c r="H780" i="1"/>
  <c r="J780" i="1"/>
  <c r="A781" i="1"/>
  <c r="G781" i="1"/>
  <c r="H781" i="1"/>
  <c r="J781" i="1"/>
  <c r="A782" i="1"/>
  <c r="G782" i="1"/>
  <c r="H782" i="1"/>
  <c r="J782" i="1"/>
  <c r="A783" i="1"/>
  <c r="G783" i="1"/>
  <c r="H783" i="1"/>
  <c r="J783" i="1"/>
  <c r="A784" i="1"/>
  <c r="G784" i="1"/>
  <c r="H784" i="1"/>
  <c r="J784" i="1"/>
  <c r="A785" i="1"/>
  <c r="G785" i="1"/>
  <c r="H785" i="1"/>
  <c r="J785" i="1"/>
  <c r="A786" i="1"/>
  <c r="G786" i="1"/>
  <c r="H786" i="1"/>
  <c r="J786" i="1"/>
  <c r="A787" i="1"/>
  <c r="G787" i="1"/>
  <c r="H787" i="1"/>
  <c r="J787" i="1"/>
  <c r="A788" i="1"/>
  <c r="G788" i="1"/>
  <c r="H788" i="1"/>
  <c r="J788" i="1"/>
  <c r="A789" i="1"/>
  <c r="G789" i="1"/>
  <c r="H789" i="1"/>
  <c r="J789" i="1"/>
  <c r="A790" i="1"/>
  <c r="G790" i="1"/>
  <c r="H790" i="1"/>
  <c r="J790" i="1"/>
  <c r="A791" i="1"/>
  <c r="G791" i="1"/>
  <c r="H791" i="1"/>
  <c r="J791" i="1"/>
  <c r="A792" i="1"/>
  <c r="G792" i="1"/>
  <c r="H792" i="1"/>
  <c r="J792" i="1"/>
  <c r="A793" i="1"/>
  <c r="G793" i="1"/>
  <c r="H793" i="1"/>
  <c r="J793" i="1"/>
  <c r="A794" i="1"/>
  <c r="G794" i="1"/>
  <c r="H794" i="1"/>
  <c r="J794" i="1"/>
  <c r="A795" i="1"/>
  <c r="G795" i="1"/>
  <c r="H795" i="1"/>
  <c r="J795" i="1"/>
  <c r="A796" i="1"/>
  <c r="G796" i="1"/>
  <c r="H796" i="1"/>
  <c r="J796" i="1"/>
  <c r="A797" i="1"/>
  <c r="G797" i="1"/>
  <c r="H797" i="1"/>
  <c r="J797" i="1"/>
  <c r="A798" i="1"/>
  <c r="G798" i="1"/>
  <c r="H798" i="1"/>
  <c r="J798" i="1"/>
  <c r="A799" i="1"/>
  <c r="G799" i="1"/>
  <c r="H799" i="1"/>
  <c r="J799" i="1"/>
  <c r="A800" i="1"/>
  <c r="G800" i="1"/>
  <c r="H800" i="1"/>
  <c r="J800" i="1"/>
  <c r="A801" i="1"/>
  <c r="G801" i="1"/>
  <c r="H801" i="1"/>
  <c r="J801" i="1"/>
  <c r="A802" i="1"/>
  <c r="G802" i="1"/>
  <c r="H802" i="1"/>
  <c r="J802" i="1"/>
  <c r="A803" i="1"/>
  <c r="G803" i="1"/>
  <c r="H803" i="1"/>
  <c r="J803" i="1"/>
  <c r="A804" i="1"/>
  <c r="G804" i="1"/>
  <c r="H804" i="1"/>
  <c r="J804" i="1"/>
  <c r="A805" i="1"/>
  <c r="G805" i="1"/>
  <c r="H805" i="1"/>
  <c r="J805" i="1"/>
  <c r="A806" i="1"/>
  <c r="G806" i="1"/>
  <c r="H806" i="1"/>
  <c r="J806" i="1"/>
  <c r="A807" i="1"/>
  <c r="G807" i="1"/>
  <c r="H807" i="1"/>
  <c r="J807" i="1"/>
  <c r="A808" i="1"/>
  <c r="G808" i="1"/>
  <c r="H808" i="1"/>
  <c r="J808" i="1"/>
  <c r="A809" i="1"/>
  <c r="G809" i="1"/>
  <c r="H809" i="1"/>
  <c r="J809" i="1"/>
  <c r="A810" i="1"/>
  <c r="G810" i="1"/>
  <c r="H810" i="1"/>
  <c r="J810" i="1"/>
  <c r="A811" i="1"/>
  <c r="G811" i="1"/>
  <c r="H811" i="1"/>
  <c r="J811" i="1"/>
  <c r="A812" i="1"/>
  <c r="G812" i="1"/>
  <c r="H812" i="1"/>
  <c r="J812" i="1"/>
  <c r="A813" i="1"/>
  <c r="G813" i="1"/>
  <c r="H813" i="1"/>
  <c r="J813" i="1"/>
  <c r="A814" i="1"/>
  <c r="G814" i="1"/>
  <c r="H814" i="1"/>
  <c r="J814" i="1"/>
  <c r="A815" i="1"/>
  <c r="G815" i="1"/>
  <c r="H815" i="1"/>
  <c r="J815" i="1"/>
  <c r="A816" i="1"/>
  <c r="G816" i="1"/>
  <c r="H816" i="1"/>
  <c r="J816" i="1"/>
  <c r="A817" i="1"/>
  <c r="G817" i="1"/>
  <c r="H817" i="1"/>
  <c r="J817" i="1"/>
  <c r="A818" i="1"/>
  <c r="G818" i="1"/>
  <c r="H818" i="1"/>
  <c r="J818" i="1"/>
  <c r="A819" i="1"/>
  <c r="G819" i="1"/>
  <c r="H819" i="1"/>
  <c r="J819" i="1"/>
  <c r="A820" i="1"/>
  <c r="G820" i="1"/>
  <c r="H820" i="1"/>
  <c r="J820" i="1"/>
  <c r="A821" i="1"/>
  <c r="G821" i="1"/>
  <c r="H821" i="1"/>
  <c r="J821" i="1"/>
  <c r="A822" i="1"/>
  <c r="G822" i="1"/>
  <c r="H822" i="1"/>
  <c r="J822" i="1"/>
  <c r="A823" i="1"/>
  <c r="G823" i="1"/>
  <c r="H823" i="1"/>
  <c r="J823" i="1"/>
  <c r="A824" i="1"/>
  <c r="G824" i="1"/>
  <c r="H824" i="1"/>
  <c r="J824" i="1"/>
  <c r="A825" i="1"/>
  <c r="G825" i="1"/>
  <c r="H825" i="1"/>
  <c r="J825" i="1"/>
  <c r="A826" i="1"/>
  <c r="G826" i="1"/>
  <c r="H826" i="1"/>
  <c r="J826" i="1"/>
  <c r="A827" i="1"/>
  <c r="G827" i="1"/>
  <c r="H827" i="1"/>
  <c r="J827" i="1"/>
  <c r="A828" i="1"/>
  <c r="G828" i="1"/>
  <c r="H828" i="1"/>
  <c r="J828" i="1"/>
  <c r="A829" i="1"/>
  <c r="G829" i="1"/>
  <c r="H829" i="1"/>
  <c r="J829" i="1"/>
  <c r="A830" i="1"/>
  <c r="G830" i="1"/>
  <c r="H830" i="1"/>
  <c r="J830" i="1"/>
  <c r="A831" i="1"/>
  <c r="G831" i="1"/>
  <c r="H831" i="1"/>
  <c r="J831" i="1"/>
  <c r="A832" i="1"/>
  <c r="G832" i="1"/>
  <c r="H832" i="1"/>
  <c r="J832" i="1"/>
  <c r="A833" i="1"/>
  <c r="G833" i="1"/>
  <c r="H833" i="1"/>
  <c r="J833" i="1"/>
  <c r="A834" i="1"/>
  <c r="G834" i="1"/>
  <c r="H834" i="1"/>
  <c r="J834" i="1"/>
  <c r="A835" i="1"/>
  <c r="G835" i="1"/>
  <c r="H835" i="1"/>
  <c r="J835" i="1"/>
  <c r="A836" i="1"/>
  <c r="G836" i="1"/>
  <c r="H836" i="1"/>
  <c r="J836" i="1"/>
  <c r="A837" i="1"/>
  <c r="G837" i="1"/>
  <c r="H837" i="1"/>
  <c r="J837" i="1"/>
  <c r="A838" i="1"/>
  <c r="G838" i="1"/>
  <c r="H838" i="1"/>
  <c r="J838" i="1"/>
  <c r="A839" i="1"/>
  <c r="G839" i="1"/>
  <c r="H839" i="1"/>
  <c r="J839" i="1"/>
  <c r="A840" i="1"/>
  <c r="G840" i="1"/>
  <c r="H840" i="1"/>
  <c r="J840" i="1"/>
  <c r="A841" i="1"/>
  <c r="G841" i="1"/>
  <c r="H841" i="1"/>
  <c r="J841" i="1"/>
  <c r="A842" i="1"/>
  <c r="G842" i="1"/>
  <c r="H842" i="1"/>
  <c r="J842" i="1"/>
  <c r="A843" i="1"/>
  <c r="G843" i="1"/>
  <c r="H843" i="1"/>
  <c r="J843" i="1"/>
  <c r="A844" i="1"/>
  <c r="G844" i="1"/>
  <c r="H844" i="1"/>
  <c r="J844" i="1"/>
  <c r="A845" i="1"/>
  <c r="G845" i="1"/>
  <c r="H845" i="1"/>
  <c r="J845" i="1"/>
  <c r="A846" i="1"/>
  <c r="G846" i="1"/>
  <c r="H846" i="1"/>
  <c r="J846" i="1"/>
  <c r="A847" i="1"/>
  <c r="G847" i="1"/>
  <c r="H847" i="1"/>
  <c r="J847" i="1"/>
  <c r="A848" i="1"/>
  <c r="G848" i="1"/>
  <c r="H848" i="1"/>
  <c r="J848" i="1"/>
  <c r="A849" i="1"/>
  <c r="G849" i="1"/>
  <c r="H849" i="1"/>
  <c r="J849" i="1"/>
  <c r="A850" i="1"/>
  <c r="G850" i="1"/>
  <c r="H850" i="1"/>
  <c r="J850" i="1"/>
  <c r="A851" i="1"/>
  <c r="G851" i="1"/>
  <c r="H851" i="1"/>
  <c r="J851" i="1"/>
  <c r="A852" i="1"/>
  <c r="G852" i="1"/>
  <c r="H852" i="1"/>
  <c r="J852" i="1"/>
  <c r="A853" i="1"/>
  <c r="G853" i="1"/>
  <c r="H853" i="1"/>
  <c r="J853" i="1"/>
  <c r="A854" i="1"/>
  <c r="G854" i="1"/>
  <c r="H854" i="1"/>
  <c r="J854" i="1"/>
  <c r="A855" i="1"/>
  <c r="G855" i="1"/>
  <c r="H855" i="1"/>
  <c r="J855" i="1"/>
  <c r="A856" i="1"/>
  <c r="G856" i="1"/>
  <c r="H856" i="1"/>
  <c r="J856" i="1"/>
  <c r="A857" i="1"/>
  <c r="G857" i="1"/>
  <c r="H857" i="1"/>
  <c r="J857" i="1"/>
  <c r="A858" i="1"/>
  <c r="G858" i="1"/>
  <c r="H858" i="1"/>
  <c r="J858" i="1"/>
  <c r="A859" i="1"/>
  <c r="G859" i="1"/>
  <c r="H859" i="1"/>
  <c r="J859" i="1"/>
  <c r="A860" i="1"/>
  <c r="I860" i="1"/>
  <c r="J860" i="1"/>
  <c r="A861" i="1"/>
  <c r="G861" i="1"/>
  <c r="H861" i="1"/>
  <c r="J861" i="1"/>
  <c r="A862" i="1"/>
  <c r="G862" i="1"/>
  <c r="H862" i="1"/>
  <c r="J862" i="1"/>
  <c r="A863" i="1"/>
  <c r="I863" i="1"/>
  <c r="J863" i="1"/>
  <c r="A864" i="1"/>
  <c r="G864" i="1"/>
  <c r="H864" i="1"/>
  <c r="J864" i="1"/>
  <c r="A865" i="1"/>
  <c r="G865" i="1"/>
  <c r="H865" i="1"/>
  <c r="J865" i="1"/>
  <c r="A866" i="1"/>
  <c r="G866" i="1"/>
  <c r="H866" i="1"/>
  <c r="J866" i="1"/>
  <c r="A867" i="1"/>
  <c r="G867" i="1"/>
  <c r="H867" i="1"/>
  <c r="J867" i="1"/>
  <c r="A868" i="1"/>
  <c r="G868" i="1"/>
  <c r="H868" i="1"/>
  <c r="J868" i="1"/>
  <c r="A869" i="1"/>
  <c r="G869" i="1"/>
  <c r="H869" i="1"/>
  <c r="J869" i="1"/>
  <c r="A870" i="1"/>
  <c r="G870" i="1"/>
  <c r="H870" i="1"/>
  <c r="J870" i="1"/>
  <c r="A871" i="1"/>
  <c r="G871" i="1"/>
  <c r="H871" i="1"/>
  <c r="J871" i="1"/>
  <c r="A872" i="1"/>
  <c r="G872" i="1"/>
  <c r="H872" i="1"/>
  <c r="J872" i="1"/>
  <c r="A873" i="1"/>
  <c r="G873" i="1"/>
  <c r="H873" i="1"/>
  <c r="J873" i="1"/>
  <c r="A874" i="1"/>
  <c r="G874" i="1"/>
  <c r="H874" i="1"/>
  <c r="J874" i="1"/>
  <c r="A875" i="1"/>
  <c r="G875" i="1"/>
  <c r="H875" i="1"/>
  <c r="A876" i="1"/>
  <c r="G876" i="1"/>
  <c r="H876" i="1"/>
  <c r="A877" i="1"/>
  <c r="G877" i="1"/>
  <c r="H877" i="1"/>
  <c r="A878" i="1"/>
  <c r="G878" i="1"/>
  <c r="H878" i="1"/>
  <c r="J878" i="1"/>
  <c r="A879" i="1"/>
  <c r="G879" i="1"/>
  <c r="H879" i="1"/>
  <c r="J879" i="1"/>
  <c r="A880" i="1"/>
  <c r="G880" i="1"/>
  <c r="H880" i="1"/>
  <c r="J880" i="1"/>
  <c r="A881" i="1"/>
  <c r="G881" i="1"/>
  <c r="H881" i="1"/>
  <c r="J881" i="1"/>
  <c r="A882" i="1"/>
  <c r="G882" i="1"/>
  <c r="H882" i="1"/>
  <c r="J882" i="1"/>
  <c r="A883" i="1"/>
  <c r="G883" i="1"/>
  <c r="H883" i="1"/>
  <c r="J883" i="1"/>
  <c r="A884" i="1"/>
  <c r="G884" i="1"/>
  <c r="H884" i="1"/>
  <c r="J884" i="1"/>
  <c r="A885" i="1"/>
  <c r="G885" i="1"/>
  <c r="H885" i="1"/>
  <c r="J885" i="1"/>
  <c r="A886" i="1"/>
  <c r="G886" i="1"/>
  <c r="H886" i="1"/>
  <c r="J886" i="1"/>
  <c r="A887" i="1"/>
  <c r="G887" i="1"/>
  <c r="H887" i="1"/>
  <c r="J887" i="1"/>
  <c r="A888" i="1"/>
  <c r="G888" i="1"/>
  <c r="H888" i="1"/>
  <c r="J888" i="1"/>
  <c r="A889" i="1"/>
  <c r="G889" i="1"/>
  <c r="H889" i="1"/>
  <c r="J889" i="1"/>
  <c r="A890" i="1"/>
  <c r="G890" i="1"/>
  <c r="H890" i="1"/>
  <c r="J890" i="1"/>
  <c r="A891" i="1"/>
  <c r="G891" i="1"/>
  <c r="H891" i="1"/>
  <c r="J891" i="1"/>
  <c r="A892" i="1"/>
  <c r="G892" i="1"/>
  <c r="H892" i="1"/>
  <c r="J892" i="1"/>
  <c r="A893" i="1"/>
  <c r="G893" i="1"/>
  <c r="H893" i="1"/>
  <c r="J893" i="1"/>
  <c r="A894" i="1"/>
  <c r="G894" i="1"/>
  <c r="H894" i="1"/>
  <c r="J894" i="1"/>
  <c r="A895" i="1"/>
  <c r="G895" i="1"/>
  <c r="H895" i="1"/>
  <c r="J895" i="1"/>
  <c r="A896" i="1"/>
  <c r="G896" i="1"/>
  <c r="H896" i="1"/>
  <c r="J896" i="1"/>
  <c r="A897" i="1"/>
  <c r="G897" i="1"/>
  <c r="H897" i="1"/>
  <c r="J897" i="1"/>
  <c r="A898" i="1"/>
  <c r="G898" i="1"/>
  <c r="H898" i="1"/>
  <c r="J898" i="1"/>
  <c r="A899" i="1"/>
  <c r="G899" i="1"/>
  <c r="H899" i="1"/>
  <c r="J899" i="1"/>
  <c r="A900" i="1"/>
  <c r="G900" i="1"/>
  <c r="H900" i="1"/>
  <c r="J900" i="1"/>
  <c r="A901" i="1"/>
  <c r="G901" i="1"/>
  <c r="H901" i="1"/>
  <c r="J901" i="1"/>
  <c r="A902" i="1"/>
  <c r="G902" i="1"/>
  <c r="H902" i="1"/>
  <c r="J902" i="1"/>
  <c r="A903" i="1"/>
  <c r="G903" i="1"/>
  <c r="H903" i="1"/>
  <c r="J903" i="1"/>
  <c r="A904" i="1"/>
  <c r="G904" i="1"/>
  <c r="H904" i="1"/>
  <c r="J904" i="1"/>
  <c r="A905" i="1"/>
  <c r="G905" i="1"/>
  <c r="H905" i="1"/>
  <c r="J905" i="1"/>
  <c r="A906" i="1"/>
  <c r="G906" i="1"/>
  <c r="H906" i="1"/>
  <c r="J906" i="1"/>
  <c r="A907" i="1"/>
  <c r="G907" i="1"/>
  <c r="H907" i="1"/>
  <c r="J907" i="1"/>
  <c r="A908" i="1"/>
  <c r="G908" i="1"/>
  <c r="H908" i="1"/>
  <c r="J908" i="1"/>
  <c r="A909" i="1"/>
  <c r="G909" i="1"/>
  <c r="H909" i="1"/>
  <c r="J909" i="1"/>
  <c r="A910" i="1"/>
  <c r="G910" i="1"/>
  <c r="H910" i="1"/>
  <c r="J910" i="1"/>
  <c r="A911" i="1"/>
  <c r="G911" i="1"/>
  <c r="H911" i="1"/>
  <c r="J911" i="1"/>
  <c r="A912" i="1"/>
  <c r="G912" i="1"/>
  <c r="H912" i="1"/>
  <c r="J912" i="1"/>
  <c r="A913" i="1"/>
  <c r="G913" i="1"/>
  <c r="H913" i="1"/>
  <c r="J913" i="1"/>
  <c r="A914" i="1"/>
  <c r="G914" i="1"/>
  <c r="H914" i="1"/>
  <c r="J914" i="1"/>
  <c r="A915" i="1"/>
  <c r="G915" i="1"/>
  <c r="H915" i="1"/>
  <c r="J915" i="1"/>
  <c r="A916" i="1"/>
  <c r="G916" i="1"/>
  <c r="H916" i="1"/>
  <c r="J916" i="1"/>
  <c r="A917" i="1"/>
  <c r="G917" i="1"/>
  <c r="H917" i="1"/>
  <c r="J917" i="1"/>
  <c r="A918" i="1"/>
  <c r="G918" i="1"/>
  <c r="H918" i="1"/>
  <c r="J918" i="1"/>
  <c r="A919" i="1"/>
  <c r="G919" i="1"/>
  <c r="H919" i="1"/>
  <c r="J919" i="1"/>
  <c r="A920" i="1"/>
  <c r="G920" i="1"/>
  <c r="H920" i="1"/>
  <c r="J920" i="1"/>
  <c r="A921" i="1"/>
  <c r="G921" i="1"/>
  <c r="H921" i="1"/>
  <c r="J921" i="1"/>
  <c r="A922" i="1"/>
  <c r="G922" i="1"/>
  <c r="H922" i="1"/>
  <c r="J922" i="1"/>
  <c r="A923" i="1"/>
  <c r="G923" i="1"/>
  <c r="H923" i="1"/>
  <c r="J923" i="1"/>
  <c r="A924" i="1"/>
  <c r="G924" i="1"/>
  <c r="H924" i="1"/>
  <c r="J924" i="1"/>
  <c r="A925" i="1"/>
  <c r="G925" i="1"/>
  <c r="H925" i="1"/>
  <c r="J925" i="1"/>
  <c r="A926" i="1"/>
  <c r="G926" i="1"/>
  <c r="H926" i="1"/>
  <c r="J926" i="1"/>
  <c r="A927" i="1"/>
  <c r="G927" i="1"/>
  <c r="H927" i="1"/>
  <c r="J927" i="1"/>
  <c r="A928" i="1"/>
  <c r="G928" i="1"/>
  <c r="H928" i="1"/>
  <c r="J928" i="1"/>
  <c r="A929" i="1"/>
  <c r="G929" i="1"/>
  <c r="H929" i="1"/>
  <c r="J929" i="1"/>
  <c r="A930" i="1"/>
  <c r="G930" i="1"/>
  <c r="H930" i="1"/>
  <c r="J930" i="1"/>
  <c r="A931" i="1"/>
  <c r="G931" i="1"/>
  <c r="H931" i="1"/>
  <c r="J931" i="1"/>
  <c r="A932" i="1"/>
  <c r="G932" i="1"/>
  <c r="H932" i="1"/>
  <c r="J932" i="1"/>
  <c r="A933" i="1"/>
  <c r="G933" i="1"/>
  <c r="H933" i="1"/>
  <c r="J933" i="1"/>
  <c r="A934" i="1"/>
  <c r="G934" i="1"/>
  <c r="H934" i="1"/>
  <c r="J934" i="1"/>
  <c r="A935" i="1"/>
  <c r="G935" i="1"/>
  <c r="H935" i="1"/>
  <c r="J935" i="1"/>
  <c r="A936" i="1"/>
  <c r="G936" i="1"/>
  <c r="H936" i="1"/>
  <c r="J936" i="1"/>
  <c r="A937" i="1"/>
  <c r="G937" i="1"/>
  <c r="H937" i="1"/>
  <c r="J937" i="1"/>
  <c r="A938" i="1"/>
  <c r="G938" i="1"/>
  <c r="H938" i="1"/>
  <c r="J938" i="1"/>
  <c r="A939" i="1"/>
  <c r="G939" i="1"/>
  <c r="H939" i="1"/>
  <c r="J939" i="1"/>
  <c r="A940" i="1"/>
  <c r="G940" i="1"/>
  <c r="H940" i="1"/>
  <c r="J940" i="1"/>
  <c r="A941" i="1"/>
  <c r="G941" i="1"/>
  <c r="H941" i="1"/>
  <c r="J941" i="1"/>
  <c r="A942" i="1"/>
  <c r="G942" i="1"/>
  <c r="H942" i="1"/>
  <c r="J942" i="1"/>
  <c r="A943" i="1"/>
  <c r="G943" i="1"/>
  <c r="H943" i="1"/>
  <c r="J943" i="1"/>
  <c r="A944" i="1"/>
  <c r="G944" i="1"/>
  <c r="H944" i="1"/>
  <c r="J944" i="1"/>
  <c r="A945" i="1"/>
  <c r="G945" i="1"/>
  <c r="H945" i="1"/>
  <c r="J945" i="1"/>
  <c r="A946" i="1"/>
  <c r="G946" i="1"/>
  <c r="H946" i="1"/>
  <c r="J946" i="1"/>
  <c r="A947" i="1"/>
  <c r="G947" i="1"/>
  <c r="H947" i="1"/>
  <c r="J947" i="1"/>
  <c r="A948" i="1"/>
  <c r="G948" i="1"/>
  <c r="H948" i="1"/>
  <c r="J948" i="1"/>
  <c r="A949" i="1"/>
  <c r="G949" i="1"/>
  <c r="H949" i="1"/>
  <c r="J949" i="1"/>
  <c r="A950" i="1"/>
  <c r="G950" i="1"/>
  <c r="H950" i="1"/>
  <c r="J950" i="1"/>
  <c r="A951" i="1"/>
  <c r="G951" i="1"/>
  <c r="H951" i="1"/>
  <c r="J951" i="1"/>
  <c r="A952" i="1"/>
  <c r="G952" i="1"/>
  <c r="H952" i="1"/>
  <c r="J952" i="1"/>
  <c r="A953" i="1"/>
  <c r="G953" i="1"/>
  <c r="H953" i="1"/>
  <c r="J953" i="1"/>
  <c r="A954" i="1"/>
  <c r="G954" i="1"/>
  <c r="H954" i="1"/>
  <c r="J954" i="1"/>
  <c r="A955" i="1"/>
  <c r="G955" i="1"/>
  <c r="H955" i="1"/>
  <c r="J955" i="1"/>
  <c r="A956" i="1"/>
  <c r="G956" i="1"/>
  <c r="H956" i="1"/>
  <c r="J956" i="1"/>
  <c r="A957" i="1"/>
  <c r="G957" i="1"/>
  <c r="H957" i="1"/>
  <c r="J957" i="1"/>
  <c r="A958" i="1"/>
  <c r="G958" i="1"/>
  <c r="H958" i="1"/>
  <c r="J958" i="1"/>
  <c r="A959" i="1"/>
  <c r="G959" i="1"/>
  <c r="H959" i="1"/>
  <c r="J959" i="1"/>
  <c r="A960" i="1"/>
  <c r="G960" i="1"/>
  <c r="H960" i="1"/>
  <c r="J960" i="1"/>
  <c r="A961" i="1"/>
  <c r="G961" i="1"/>
  <c r="H961" i="1"/>
  <c r="J961" i="1"/>
  <c r="A962" i="1"/>
  <c r="G962" i="1"/>
  <c r="H962" i="1"/>
  <c r="J962" i="1"/>
  <c r="A963" i="1"/>
  <c r="G963" i="1"/>
  <c r="H963" i="1"/>
  <c r="J963" i="1"/>
  <c r="A964" i="1"/>
  <c r="G964" i="1"/>
  <c r="H964" i="1"/>
  <c r="J964" i="1"/>
  <c r="A965" i="1"/>
  <c r="G965" i="1"/>
  <c r="H965" i="1"/>
  <c r="J965" i="1"/>
  <c r="A966" i="1"/>
  <c r="G966" i="1"/>
  <c r="H966" i="1"/>
  <c r="J966" i="1"/>
  <c r="A967" i="1"/>
  <c r="G967" i="1"/>
  <c r="H967" i="1"/>
  <c r="J967" i="1"/>
  <c r="A968" i="1"/>
  <c r="G968" i="1"/>
  <c r="H968" i="1"/>
  <c r="J968" i="1"/>
  <c r="A969" i="1"/>
  <c r="G969" i="1"/>
  <c r="H969" i="1"/>
  <c r="J969" i="1"/>
  <c r="A970" i="1"/>
  <c r="G970" i="1"/>
  <c r="H970" i="1"/>
  <c r="J970" i="1"/>
  <c r="A971" i="1"/>
  <c r="G971" i="1"/>
  <c r="H971" i="1"/>
  <c r="J971" i="1"/>
  <c r="A972" i="1"/>
  <c r="G972" i="1"/>
  <c r="H972" i="1"/>
  <c r="J972" i="1"/>
  <c r="A973" i="1"/>
  <c r="G973" i="1"/>
  <c r="H973" i="1"/>
  <c r="J973" i="1"/>
  <c r="A974" i="1"/>
  <c r="G974" i="1"/>
  <c r="H974" i="1"/>
  <c r="J974" i="1"/>
  <c r="A975" i="1"/>
  <c r="G975" i="1"/>
  <c r="H975" i="1"/>
  <c r="J975" i="1"/>
  <c r="A976" i="1"/>
  <c r="G976" i="1"/>
  <c r="H976" i="1"/>
  <c r="J976" i="1"/>
  <c r="A977" i="1"/>
  <c r="G977" i="1"/>
  <c r="H977" i="1"/>
  <c r="J977" i="1"/>
  <c r="A978" i="1"/>
  <c r="I978" i="1"/>
  <c r="J978" i="1"/>
  <c r="A979" i="1"/>
  <c r="I979" i="1"/>
  <c r="J979" i="1"/>
  <c r="A980" i="1"/>
  <c r="I980" i="1"/>
  <c r="J980" i="1"/>
  <c r="A981" i="1"/>
  <c r="G981" i="1"/>
  <c r="H981" i="1"/>
  <c r="J981" i="1"/>
  <c r="A982" i="1"/>
  <c r="I982" i="1"/>
  <c r="J982" i="1"/>
  <c r="A983" i="1"/>
  <c r="I983" i="1"/>
  <c r="J983" i="1"/>
  <c r="A984" i="1"/>
  <c r="I984" i="1"/>
  <c r="J984" i="1"/>
  <c r="A985" i="1"/>
  <c r="G985" i="1"/>
  <c r="H985" i="1"/>
  <c r="J985" i="1"/>
  <c r="A986" i="1"/>
  <c r="G986" i="1"/>
  <c r="H986" i="1"/>
  <c r="J986" i="1"/>
  <c r="A987" i="1"/>
  <c r="G987" i="1"/>
  <c r="H987" i="1"/>
  <c r="J987" i="1"/>
  <c r="A988" i="1"/>
  <c r="G988" i="1"/>
  <c r="H988" i="1"/>
  <c r="J988" i="1"/>
  <c r="A989" i="1"/>
  <c r="G989" i="1"/>
  <c r="H989" i="1"/>
  <c r="J989" i="1"/>
  <c r="A990" i="1"/>
  <c r="G990" i="1"/>
  <c r="H990" i="1"/>
  <c r="J990" i="1"/>
  <c r="A991" i="1"/>
  <c r="G991" i="1"/>
  <c r="H991" i="1"/>
  <c r="J991" i="1"/>
  <c r="A992" i="1"/>
  <c r="G992" i="1"/>
  <c r="H992" i="1"/>
  <c r="J992" i="1"/>
  <c r="A993" i="1"/>
  <c r="G993" i="1"/>
  <c r="H993" i="1"/>
  <c r="J993" i="1"/>
  <c r="A994" i="1"/>
  <c r="G994" i="1"/>
  <c r="H994" i="1"/>
  <c r="J994" i="1"/>
  <c r="A995" i="1"/>
  <c r="G995" i="1"/>
  <c r="H995" i="1"/>
  <c r="J995" i="1"/>
  <c r="A996" i="1"/>
  <c r="G996" i="1"/>
  <c r="H996" i="1"/>
  <c r="J996" i="1"/>
  <c r="A997" i="1"/>
  <c r="G997" i="1"/>
  <c r="H997" i="1"/>
  <c r="J997" i="1"/>
  <c r="A998" i="1"/>
  <c r="G998" i="1"/>
  <c r="H998" i="1"/>
  <c r="J998" i="1"/>
  <c r="A999" i="1"/>
  <c r="G999" i="1"/>
  <c r="H999" i="1"/>
  <c r="J999" i="1"/>
  <c r="A1000" i="1"/>
  <c r="G1000" i="1"/>
  <c r="H1000" i="1"/>
  <c r="J1000" i="1"/>
  <c r="A1001" i="1"/>
  <c r="G1001" i="1"/>
  <c r="H1001" i="1"/>
  <c r="J1001" i="1"/>
  <c r="A1002" i="1"/>
  <c r="G1002" i="1"/>
  <c r="H1002" i="1"/>
  <c r="J1002" i="1"/>
  <c r="A1003" i="1"/>
  <c r="G1003" i="1"/>
  <c r="H1003" i="1"/>
  <c r="A1004" i="1"/>
  <c r="G1004" i="1"/>
  <c r="H1004" i="1"/>
  <c r="A1005" i="1"/>
  <c r="G1005" i="1"/>
  <c r="H1005" i="1"/>
  <c r="J1005" i="1"/>
  <c r="A1006" i="1"/>
  <c r="G1006" i="1"/>
  <c r="H1006" i="1"/>
  <c r="J1006" i="1"/>
  <c r="A1007" i="1"/>
  <c r="G1007" i="1"/>
  <c r="H1007" i="1"/>
  <c r="J1007" i="1"/>
  <c r="A1008" i="1"/>
  <c r="G1008" i="1"/>
  <c r="H1008" i="1"/>
  <c r="J1008" i="1"/>
  <c r="A1009" i="1"/>
  <c r="G1009" i="1"/>
  <c r="H1009" i="1"/>
  <c r="J1009" i="1"/>
  <c r="A1010" i="1"/>
  <c r="G1010" i="1"/>
  <c r="H1010" i="1"/>
  <c r="J1010" i="1"/>
  <c r="A1011" i="1"/>
  <c r="G1011" i="1"/>
  <c r="H1011" i="1"/>
  <c r="J1011" i="1"/>
  <c r="A1012" i="1"/>
  <c r="G1012" i="1"/>
  <c r="H1012" i="1"/>
  <c r="J1012" i="1"/>
  <c r="A1013" i="1"/>
  <c r="G1013" i="1"/>
  <c r="H1013" i="1"/>
  <c r="J1013" i="1"/>
  <c r="A1014" i="1"/>
  <c r="G1014" i="1"/>
  <c r="H1014" i="1"/>
  <c r="J1014" i="1"/>
  <c r="A1015" i="1"/>
  <c r="G1015" i="1"/>
  <c r="H1015" i="1"/>
  <c r="J1015" i="1"/>
  <c r="A1016" i="1"/>
  <c r="G1016" i="1"/>
  <c r="H1016" i="1"/>
  <c r="J1016" i="1"/>
  <c r="A1017" i="1"/>
  <c r="G1017" i="1"/>
  <c r="H1017" i="1"/>
  <c r="J1017" i="1"/>
  <c r="A1018" i="1"/>
  <c r="G1018" i="1"/>
  <c r="H1018" i="1"/>
  <c r="J1018" i="1"/>
  <c r="A1019" i="1"/>
  <c r="G1019" i="1"/>
  <c r="H1019" i="1"/>
  <c r="J1019" i="1"/>
  <c r="A1020" i="1"/>
  <c r="G1020" i="1"/>
  <c r="H1020" i="1"/>
  <c r="J1020" i="1"/>
  <c r="A1021" i="1"/>
  <c r="G1021" i="1"/>
  <c r="H1021" i="1"/>
  <c r="J1021" i="1"/>
  <c r="A1022" i="1"/>
  <c r="G1022" i="1"/>
  <c r="H1022" i="1"/>
  <c r="J1022" i="1"/>
  <c r="A1023" i="1"/>
  <c r="G1023" i="1"/>
  <c r="H1023" i="1"/>
  <c r="J1023" i="1"/>
  <c r="A1024" i="1"/>
  <c r="G1024" i="1"/>
  <c r="H1024" i="1"/>
  <c r="J1024" i="1"/>
  <c r="A1025" i="1"/>
  <c r="G1025" i="1"/>
  <c r="H1025" i="1"/>
  <c r="J1025" i="1"/>
  <c r="A1026" i="1"/>
  <c r="G1026" i="1"/>
  <c r="H1026" i="1"/>
  <c r="J1026" i="1"/>
  <c r="A1027" i="1"/>
  <c r="G1027" i="1"/>
  <c r="H1027" i="1"/>
  <c r="J1027" i="1"/>
  <c r="A1028" i="1"/>
  <c r="G1028" i="1"/>
  <c r="H1028" i="1"/>
  <c r="J1028" i="1"/>
  <c r="A1029" i="1"/>
  <c r="G1029" i="1"/>
  <c r="H1029" i="1"/>
  <c r="J1029" i="1"/>
  <c r="A1030" i="1"/>
  <c r="G1030" i="1"/>
  <c r="H1030" i="1"/>
  <c r="J1030" i="1"/>
  <c r="A1031" i="1"/>
  <c r="G1031" i="1"/>
  <c r="H1031" i="1"/>
  <c r="J1031" i="1"/>
  <c r="A1032" i="1"/>
  <c r="G1032" i="1"/>
  <c r="H1032" i="1"/>
  <c r="J1032" i="1"/>
  <c r="A1033" i="1"/>
  <c r="G1033" i="1"/>
  <c r="H1033" i="1"/>
  <c r="J1033" i="1"/>
  <c r="A1034" i="1"/>
  <c r="G1034" i="1"/>
  <c r="H1034" i="1"/>
  <c r="J1034" i="1"/>
  <c r="A1035" i="1"/>
  <c r="G1035" i="1"/>
  <c r="H1035" i="1"/>
  <c r="J1035" i="1"/>
  <c r="A1036" i="1"/>
  <c r="G1036" i="1"/>
  <c r="H1036" i="1"/>
  <c r="J1036" i="1"/>
  <c r="A1037" i="1"/>
  <c r="G1037" i="1"/>
  <c r="H1037" i="1"/>
  <c r="J1037" i="1"/>
  <c r="A1038" i="1"/>
  <c r="G1038" i="1"/>
  <c r="H1038" i="1"/>
  <c r="J1038" i="1"/>
  <c r="A1039" i="1"/>
  <c r="G1039" i="1"/>
  <c r="H1039" i="1"/>
  <c r="J1039" i="1"/>
  <c r="A1040" i="1"/>
  <c r="G1040" i="1"/>
  <c r="H1040" i="1"/>
  <c r="J1040" i="1"/>
  <c r="A1041" i="1"/>
  <c r="G1041" i="1"/>
  <c r="H1041" i="1"/>
  <c r="J1041" i="1"/>
  <c r="A1042" i="1"/>
  <c r="G1042" i="1"/>
  <c r="H1042" i="1"/>
  <c r="J1042" i="1"/>
  <c r="A1043" i="1"/>
  <c r="G1043" i="1"/>
  <c r="H1043" i="1"/>
  <c r="J1043" i="1"/>
  <c r="A1044" i="1"/>
  <c r="G1044" i="1"/>
  <c r="H1044" i="1"/>
  <c r="J1044" i="1"/>
  <c r="A1045" i="1"/>
  <c r="G1045" i="1"/>
  <c r="H1045" i="1"/>
  <c r="J1045" i="1"/>
  <c r="A1046" i="1"/>
  <c r="G1046" i="1"/>
  <c r="H1046" i="1"/>
  <c r="J1046" i="1"/>
  <c r="A1047" i="1"/>
  <c r="G1047" i="1"/>
  <c r="H1047" i="1"/>
  <c r="J1047" i="1"/>
  <c r="A1048" i="1"/>
  <c r="G1048" i="1"/>
  <c r="H1048" i="1"/>
  <c r="J1048" i="1"/>
  <c r="A1049" i="1"/>
  <c r="G1049" i="1"/>
  <c r="H1049" i="1"/>
  <c r="J1049" i="1"/>
  <c r="A1050" i="1"/>
  <c r="G1050" i="1"/>
  <c r="H1050" i="1"/>
  <c r="J1050" i="1"/>
  <c r="A1051" i="1"/>
  <c r="G1051" i="1"/>
  <c r="H1051" i="1"/>
  <c r="A1052" i="1"/>
  <c r="G1052" i="1"/>
  <c r="H1052" i="1"/>
  <c r="J1052" i="1"/>
  <c r="A1053" i="1"/>
  <c r="G1053" i="1"/>
  <c r="H1053" i="1"/>
  <c r="J1053" i="1"/>
  <c r="A1054" i="1"/>
  <c r="G1054" i="1"/>
  <c r="H1054" i="1"/>
  <c r="J1054" i="1"/>
  <c r="A1055" i="1"/>
  <c r="G1055" i="1"/>
  <c r="H1055" i="1"/>
  <c r="J1055" i="1"/>
  <c r="A1056" i="1"/>
  <c r="G1056" i="1"/>
  <c r="H1056" i="1"/>
  <c r="J1056" i="1"/>
  <c r="A1057" i="1"/>
  <c r="G1057" i="1"/>
  <c r="H1057" i="1"/>
  <c r="J1057" i="1"/>
  <c r="A1058" i="1"/>
  <c r="G1058" i="1"/>
  <c r="H1058" i="1"/>
  <c r="J1058" i="1"/>
  <c r="A1059" i="1"/>
  <c r="G1059" i="1"/>
  <c r="H1059" i="1"/>
  <c r="J1059" i="1"/>
  <c r="A1060" i="1"/>
  <c r="G1060" i="1"/>
  <c r="H1060" i="1"/>
  <c r="J1060" i="1"/>
  <c r="A1061" i="1"/>
  <c r="G1061" i="1"/>
  <c r="H1061" i="1"/>
  <c r="J1061" i="1"/>
  <c r="A1062" i="1"/>
  <c r="G1062" i="1"/>
  <c r="H1062" i="1"/>
  <c r="J1062" i="1"/>
  <c r="A1063" i="1"/>
  <c r="G1063" i="1"/>
  <c r="H1063" i="1"/>
  <c r="J1063" i="1"/>
  <c r="A1064" i="1"/>
  <c r="G1064" i="1"/>
  <c r="H1064" i="1"/>
  <c r="J1064" i="1"/>
  <c r="A1065" i="1"/>
  <c r="G1065" i="1"/>
  <c r="H1065" i="1"/>
  <c r="J1065" i="1"/>
  <c r="A1066" i="1"/>
  <c r="G1066" i="1"/>
  <c r="H1066" i="1"/>
  <c r="J1066" i="1"/>
  <c r="A1067" i="1"/>
  <c r="G1067" i="1"/>
  <c r="H1067" i="1"/>
  <c r="J1067" i="1"/>
  <c r="A1068" i="1"/>
  <c r="G1068" i="1"/>
  <c r="H1068" i="1"/>
  <c r="J1068" i="1"/>
  <c r="A1069" i="1"/>
  <c r="G1069" i="1"/>
  <c r="H1069" i="1"/>
  <c r="J1069" i="1"/>
  <c r="A1070" i="1"/>
  <c r="G1070" i="1"/>
  <c r="H1070" i="1"/>
  <c r="J1070" i="1"/>
  <c r="A1071" i="1"/>
  <c r="G1071" i="1"/>
  <c r="H1071" i="1"/>
  <c r="J1071" i="1"/>
  <c r="A1072" i="1"/>
  <c r="G1072" i="1"/>
  <c r="H1072" i="1"/>
  <c r="J1072" i="1"/>
  <c r="A1073" i="1"/>
  <c r="G1073" i="1"/>
  <c r="H1073" i="1"/>
  <c r="J1073" i="1"/>
  <c r="A1074" i="1"/>
  <c r="G1074" i="1"/>
  <c r="H1074" i="1"/>
  <c r="J1074" i="1"/>
  <c r="A1075" i="1"/>
  <c r="G1075" i="1"/>
  <c r="H1075" i="1"/>
  <c r="J1075" i="1"/>
  <c r="A1076" i="1"/>
  <c r="G1076" i="1"/>
  <c r="H1076" i="1"/>
  <c r="J1076" i="1"/>
  <c r="A1077" i="1"/>
  <c r="G1077" i="1"/>
  <c r="H1077" i="1"/>
  <c r="J1077" i="1"/>
  <c r="A1078" i="1"/>
  <c r="G1078" i="1"/>
  <c r="H1078" i="1"/>
  <c r="J1078" i="1"/>
  <c r="A1079" i="1"/>
  <c r="G1079" i="1"/>
  <c r="H1079" i="1"/>
  <c r="J1079" i="1"/>
  <c r="A1080" i="1"/>
  <c r="G1080" i="1"/>
  <c r="H1080" i="1"/>
  <c r="J1080" i="1"/>
  <c r="A1081" i="1"/>
  <c r="G1081" i="1"/>
  <c r="H1081" i="1"/>
  <c r="J1081" i="1"/>
  <c r="A1082" i="1"/>
  <c r="G1082" i="1"/>
  <c r="H1082" i="1"/>
  <c r="J1082" i="1"/>
  <c r="A1083" i="1"/>
  <c r="G1083" i="1"/>
  <c r="H1083" i="1"/>
  <c r="J1083" i="1"/>
  <c r="A1084" i="1"/>
  <c r="G1084" i="1"/>
  <c r="H1084" i="1"/>
  <c r="J1084" i="1"/>
  <c r="A1085" i="1"/>
  <c r="G1085" i="1"/>
  <c r="H1085" i="1"/>
  <c r="J1085" i="1"/>
  <c r="A1086" i="1"/>
  <c r="G1086" i="1"/>
  <c r="H1086" i="1"/>
  <c r="J1086" i="1"/>
  <c r="A1087" i="1"/>
  <c r="G1087" i="1"/>
  <c r="H1087" i="1"/>
  <c r="J1087" i="1"/>
  <c r="A1088" i="1"/>
  <c r="G1088" i="1"/>
  <c r="H1088" i="1"/>
  <c r="J1088" i="1"/>
  <c r="A1089" i="1"/>
  <c r="G1089" i="1"/>
  <c r="H1089" i="1"/>
  <c r="J1089" i="1"/>
  <c r="A1090" i="1"/>
  <c r="G1090" i="1"/>
  <c r="H1090" i="1"/>
  <c r="J1090" i="1"/>
  <c r="A1091" i="1"/>
  <c r="G1091" i="1"/>
  <c r="H1091" i="1"/>
  <c r="J1091" i="1"/>
  <c r="A1092" i="1"/>
  <c r="G1092" i="1"/>
  <c r="H1092" i="1"/>
  <c r="J1092" i="1"/>
  <c r="A1093" i="1"/>
  <c r="G1093" i="1"/>
  <c r="H1093" i="1"/>
  <c r="J1093" i="1"/>
  <c r="A1094" i="1"/>
  <c r="G1094" i="1"/>
  <c r="H1094" i="1"/>
  <c r="J1094" i="1"/>
  <c r="A1095" i="1"/>
  <c r="G1095" i="1"/>
  <c r="H1095" i="1"/>
  <c r="J1095" i="1"/>
  <c r="A1096" i="1"/>
  <c r="G1096" i="1"/>
  <c r="H1096" i="1"/>
  <c r="J1096" i="1"/>
  <c r="A1097" i="1"/>
  <c r="G1097" i="1"/>
  <c r="H1097" i="1"/>
  <c r="J1097" i="1"/>
  <c r="A1098" i="1"/>
  <c r="G1098" i="1"/>
  <c r="H1098" i="1"/>
  <c r="J1098" i="1"/>
  <c r="A1099" i="1"/>
  <c r="G1099" i="1"/>
  <c r="H1099" i="1"/>
  <c r="J1099" i="1"/>
  <c r="A1100" i="1"/>
  <c r="G1100" i="1"/>
  <c r="H1100" i="1"/>
  <c r="J1100" i="1"/>
  <c r="A1101" i="1"/>
  <c r="G1101" i="1"/>
  <c r="H1101" i="1"/>
  <c r="J1101" i="1"/>
  <c r="A1102" i="1"/>
  <c r="G1102" i="1"/>
  <c r="H1102" i="1"/>
  <c r="J1102" i="1"/>
  <c r="A1103" i="1"/>
  <c r="G1103" i="1"/>
  <c r="H1103" i="1"/>
  <c r="J1103" i="1"/>
  <c r="A1104" i="1"/>
  <c r="G1104" i="1"/>
  <c r="H1104" i="1"/>
  <c r="J1104" i="1"/>
  <c r="A1105" i="1"/>
  <c r="G1105" i="1"/>
  <c r="H1105" i="1"/>
  <c r="A1106" i="1"/>
  <c r="G1106" i="1"/>
  <c r="H1106" i="1"/>
  <c r="A1107" i="1"/>
  <c r="G1107" i="1"/>
  <c r="H1107" i="1"/>
  <c r="J1107" i="1"/>
  <c r="A1108" i="1"/>
  <c r="G1108" i="1"/>
  <c r="H1108" i="1"/>
  <c r="J1108" i="1"/>
  <c r="A1109" i="1"/>
  <c r="G1109" i="1"/>
  <c r="H1109" i="1"/>
  <c r="J1109" i="1"/>
  <c r="A1110" i="1"/>
  <c r="G1110" i="1"/>
  <c r="H1110" i="1"/>
  <c r="J1110" i="1"/>
  <c r="A1111" i="1"/>
  <c r="G1111" i="1"/>
  <c r="H1111" i="1"/>
  <c r="J1111" i="1"/>
  <c r="A1112" i="1"/>
  <c r="G1112" i="1"/>
  <c r="H1112" i="1"/>
  <c r="J1112" i="1"/>
  <c r="A1113" i="1"/>
  <c r="G1113" i="1"/>
  <c r="H1113" i="1"/>
  <c r="J1113" i="1"/>
  <c r="A1114" i="1"/>
  <c r="G1114" i="1"/>
  <c r="H1114" i="1"/>
  <c r="J1114" i="1"/>
  <c r="A1115" i="1"/>
  <c r="G1115" i="1"/>
  <c r="H1115" i="1"/>
  <c r="J1115" i="1"/>
  <c r="A1116" i="1"/>
  <c r="G1116" i="1"/>
  <c r="H1116" i="1"/>
  <c r="J1116" i="1"/>
  <c r="A1117" i="1"/>
  <c r="G1117" i="1"/>
  <c r="H1117" i="1"/>
  <c r="J1117" i="1"/>
  <c r="A1118" i="1"/>
  <c r="G1118" i="1"/>
  <c r="H1118" i="1"/>
  <c r="J1118" i="1"/>
  <c r="A1119" i="1"/>
  <c r="G1119" i="1"/>
  <c r="H1119" i="1"/>
  <c r="J1119" i="1"/>
  <c r="A1120" i="1"/>
  <c r="G1120" i="1"/>
  <c r="H1120" i="1"/>
  <c r="J1120" i="1"/>
  <c r="A1121" i="1"/>
  <c r="G1121" i="1"/>
  <c r="H1121" i="1"/>
  <c r="J1121" i="1"/>
  <c r="A1122" i="1"/>
  <c r="G1122" i="1"/>
  <c r="H1122" i="1"/>
  <c r="J1122" i="1"/>
  <c r="A1123" i="1"/>
  <c r="G1123" i="1"/>
  <c r="H1123" i="1"/>
  <c r="J1123" i="1"/>
  <c r="A1124" i="1"/>
  <c r="G1124" i="1"/>
  <c r="H1124" i="1"/>
  <c r="J1124" i="1"/>
  <c r="A1125" i="1"/>
  <c r="G1125" i="1"/>
  <c r="H1125" i="1"/>
  <c r="J1125" i="1"/>
  <c r="A1126" i="1"/>
  <c r="G1126" i="1"/>
  <c r="H1126" i="1"/>
  <c r="J1126" i="1"/>
  <c r="A1127" i="1"/>
  <c r="G1127" i="1"/>
  <c r="H1127" i="1"/>
  <c r="J1127" i="1"/>
  <c r="A1128" i="1"/>
  <c r="G1128" i="1"/>
  <c r="H1128" i="1"/>
  <c r="J1128" i="1"/>
  <c r="A1129" i="1"/>
  <c r="G1129" i="1"/>
  <c r="H1129" i="1"/>
  <c r="J1129" i="1"/>
  <c r="A1130" i="1"/>
  <c r="G1130" i="1"/>
  <c r="H1130" i="1"/>
  <c r="J1130" i="1"/>
  <c r="A1131" i="1"/>
  <c r="G1131" i="1"/>
  <c r="H1131" i="1"/>
  <c r="J1131" i="1"/>
  <c r="A1132" i="1"/>
  <c r="G1132" i="1"/>
  <c r="H1132" i="1"/>
  <c r="J1132" i="1"/>
  <c r="A1133" i="1"/>
  <c r="G1133" i="1"/>
  <c r="H1133" i="1"/>
  <c r="J1133" i="1"/>
  <c r="A1134" i="1"/>
  <c r="G1134" i="1"/>
  <c r="H1134" i="1"/>
  <c r="J1134" i="1"/>
  <c r="A1135" i="1"/>
  <c r="G1135" i="1"/>
  <c r="H1135" i="1"/>
  <c r="J1135" i="1"/>
  <c r="A1136" i="1"/>
  <c r="G1136" i="1"/>
  <c r="H1136" i="1"/>
  <c r="J1136" i="1"/>
  <c r="A1137" i="1"/>
  <c r="G1137" i="1"/>
  <c r="H1137" i="1"/>
  <c r="J1137" i="1"/>
  <c r="A1138" i="1"/>
  <c r="G1138" i="1"/>
  <c r="H1138" i="1"/>
  <c r="J1138" i="1"/>
  <c r="A1139" i="1"/>
  <c r="G1139" i="1"/>
  <c r="H1139" i="1"/>
  <c r="J1139" i="1"/>
  <c r="A1140" i="1"/>
  <c r="G1140" i="1"/>
  <c r="H1140" i="1"/>
  <c r="J1140" i="1"/>
  <c r="A1141" i="1"/>
  <c r="G1141" i="1"/>
  <c r="H1141" i="1"/>
  <c r="J1141" i="1"/>
  <c r="A1142" i="1"/>
  <c r="G1142" i="1"/>
  <c r="H1142" i="1"/>
  <c r="J1142" i="1"/>
  <c r="A1143" i="1"/>
  <c r="G1143" i="1"/>
  <c r="H1143" i="1"/>
  <c r="J1143" i="1"/>
  <c r="A1144" i="1"/>
  <c r="G1144" i="1"/>
  <c r="H1144" i="1"/>
  <c r="J1144" i="1"/>
  <c r="A1145" i="1"/>
  <c r="G1145" i="1"/>
  <c r="H1145" i="1"/>
  <c r="J1145" i="1"/>
  <c r="A1146" i="1"/>
  <c r="G1146" i="1"/>
  <c r="H1146" i="1"/>
  <c r="J1146" i="1"/>
  <c r="A1147" i="1"/>
  <c r="G1147" i="1"/>
  <c r="H1147" i="1"/>
  <c r="J1147" i="1"/>
  <c r="A1148" i="1"/>
  <c r="G1148" i="1"/>
  <c r="H1148" i="1"/>
  <c r="J1148" i="1"/>
  <c r="A1149" i="1"/>
  <c r="G1149" i="1"/>
  <c r="H1149" i="1"/>
  <c r="J1149" i="1"/>
  <c r="A1150" i="1"/>
  <c r="G1150" i="1"/>
  <c r="H1150" i="1"/>
  <c r="J1150" i="1"/>
  <c r="A1151" i="1"/>
  <c r="G1151" i="1"/>
  <c r="H1151" i="1"/>
  <c r="J1151" i="1"/>
  <c r="A1152" i="1"/>
  <c r="G1152" i="1"/>
  <c r="H1152" i="1"/>
  <c r="J1152" i="1"/>
  <c r="A1153" i="1"/>
  <c r="G1153" i="1"/>
  <c r="H1153" i="1"/>
  <c r="J1153" i="1"/>
  <c r="A1154" i="1"/>
  <c r="G1154" i="1"/>
  <c r="H1154" i="1"/>
  <c r="J1154" i="1"/>
  <c r="A1155" i="1"/>
  <c r="G1155" i="1"/>
  <c r="H1155" i="1"/>
  <c r="J1155" i="1"/>
  <c r="A1156" i="1"/>
  <c r="G1156" i="1"/>
  <c r="H1156" i="1"/>
  <c r="J1156" i="1"/>
  <c r="A1157" i="1"/>
  <c r="G1157" i="1"/>
  <c r="H1157" i="1"/>
  <c r="J1157" i="1"/>
  <c r="A1158" i="1"/>
  <c r="G1158" i="1"/>
  <c r="H1158" i="1"/>
  <c r="J1158" i="1"/>
  <c r="A1159" i="1"/>
  <c r="G1159" i="1"/>
  <c r="H1159" i="1"/>
  <c r="J1159" i="1"/>
  <c r="A1160" i="1"/>
  <c r="G1160" i="1"/>
  <c r="H1160" i="1"/>
  <c r="J1160" i="1"/>
  <c r="A1161" i="1"/>
  <c r="G1161" i="1"/>
  <c r="H1161" i="1"/>
  <c r="J1161" i="1"/>
  <c r="A1162" i="1"/>
  <c r="G1162" i="1"/>
  <c r="H1162" i="1"/>
  <c r="J1162" i="1"/>
  <c r="A1163" i="1"/>
  <c r="G1163" i="1"/>
  <c r="H1163" i="1"/>
  <c r="J1163" i="1"/>
  <c r="A1164" i="1"/>
  <c r="G1164" i="1"/>
  <c r="H1164" i="1"/>
  <c r="J1164" i="1"/>
  <c r="A1165" i="1"/>
  <c r="G1165" i="1"/>
  <c r="H1165" i="1"/>
  <c r="J1165" i="1"/>
  <c r="A1166" i="1"/>
  <c r="G1166" i="1"/>
  <c r="H1166" i="1"/>
  <c r="J1166" i="1"/>
  <c r="A1167" i="1"/>
  <c r="G1167" i="1"/>
  <c r="H1167" i="1"/>
  <c r="J1167" i="1"/>
  <c r="A1168" i="1"/>
  <c r="G1168" i="1"/>
  <c r="H1168" i="1"/>
  <c r="J1168" i="1"/>
  <c r="A1169" i="1"/>
  <c r="G1169" i="1"/>
  <c r="H1169" i="1"/>
  <c r="J1169" i="1"/>
  <c r="A1170" i="1"/>
  <c r="G1170" i="1"/>
  <c r="H1170" i="1"/>
  <c r="J1170" i="1"/>
  <c r="A1171" i="1"/>
  <c r="G1171" i="1"/>
  <c r="H1171" i="1"/>
  <c r="J1171" i="1"/>
  <c r="A1172" i="1"/>
  <c r="G1172" i="1"/>
  <c r="H1172" i="1"/>
  <c r="J1172" i="1"/>
  <c r="A1173" i="1"/>
  <c r="G1173" i="1"/>
  <c r="H1173" i="1"/>
  <c r="J1173" i="1"/>
  <c r="A1174" i="1"/>
  <c r="G1174" i="1"/>
  <c r="H1174" i="1"/>
  <c r="J1174" i="1"/>
  <c r="A1175" i="1"/>
  <c r="G1175" i="1"/>
  <c r="H1175" i="1"/>
  <c r="J1175" i="1"/>
  <c r="A1176" i="1"/>
  <c r="G1176" i="1"/>
  <c r="H1176" i="1"/>
  <c r="J1176" i="1"/>
  <c r="A1177" i="1"/>
  <c r="G1177" i="1"/>
  <c r="H1177" i="1"/>
  <c r="J1177" i="1"/>
  <c r="A1178" i="1"/>
  <c r="G1178" i="1"/>
  <c r="H1178" i="1"/>
  <c r="J1178" i="1"/>
  <c r="A1179" i="1"/>
  <c r="G1179" i="1"/>
  <c r="H1179" i="1"/>
  <c r="J1179" i="1"/>
  <c r="A1180" i="1"/>
  <c r="G1180" i="1"/>
  <c r="H1180" i="1"/>
  <c r="J1180" i="1"/>
  <c r="A1181" i="1"/>
  <c r="G1181" i="1"/>
  <c r="H1181" i="1"/>
  <c r="J1181" i="1"/>
  <c r="A1182" i="1"/>
  <c r="G1182" i="1"/>
  <c r="H1182" i="1"/>
  <c r="J1182" i="1"/>
  <c r="A1183" i="1"/>
  <c r="G1183" i="1"/>
  <c r="H1183" i="1"/>
  <c r="J1183" i="1"/>
  <c r="A1184" i="1"/>
  <c r="G1184" i="1"/>
  <c r="H1184" i="1"/>
  <c r="J1184" i="1"/>
  <c r="A1185" i="1"/>
  <c r="G1185" i="1"/>
  <c r="H1185" i="1"/>
  <c r="J1185" i="1"/>
  <c r="A1186" i="1"/>
  <c r="G1186" i="1"/>
  <c r="H1186" i="1"/>
  <c r="J1186" i="1"/>
  <c r="A1187" i="1"/>
  <c r="G1187" i="1"/>
  <c r="H1187" i="1"/>
  <c r="J1187" i="1"/>
  <c r="A1188" i="1"/>
  <c r="G1188" i="1"/>
  <c r="H1188" i="1"/>
  <c r="J1188" i="1"/>
  <c r="A1189" i="1"/>
  <c r="G1189" i="1"/>
  <c r="H1189" i="1"/>
  <c r="J1189" i="1"/>
  <c r="A1190" i="1"/>
  <c r="I1190" i="1"/>
  <c r="J1190" i="1"/>
  <c r="A1191" i="1"/>
  <c r="I1191" i="1"/>
  <c r="J1191" i="1"/>
  <c r="A1192" i="1"/>
  <c r="I1192" i="1"/>
  <c r="J1192" i="1"/>
  <c r="A1193" i="1"/>
  <c r="G1193" i="1"/>
  <c r="H1193" i="1"/>
  <c r="J1193" i="1"/>
  <c r="A1194" i="1"/>
  <c r="I1194" i="1"/>
  <c r="J1194" i="1"/>
  <c r="A1195" i="1"/>
  <c r="I1195" i="1"/>
  <c r="J1195" i="1"/>
  <c r="A1196" i="1"/>
  <c r="I1196" i="1"/>
  <c r="J1196" i="1"/>
  <c r="A1197" i="1"/>
  <c r="I1197" i="1"/>
  <c r="J1197" i="1"/>
  <c r="A1198" i="1"/>
  <c r="G1198" i="1"/>
  <c r="H1198" i="1"/>
  <c r="J1198" i="1"/>
  <c r="A1199" i="1"/>
  <c r="G1199" i="1"/>
  <c r="H1199" i="1"/>
  <c r="J1199" i="1"/>
  <c r="A1200" i="1"/>
  <c r="I1200" i="1"/>
  <c r="J1200" i="1"/>
  <c r="A1201" i="1"/>
  <c r="I1201" i="1"/>
  <c r="J1201" i="1"/>
  <c r="A1202" i="1"/>
  <c r="I1202" i="1"/>
  <c r="J1202" i="1"/>
  <c r="A1203" i="1"/>
  <c r="I1203" i="1"/>
  <c r="J1203" i="1"/>
  <c r="A1204" i="1"/>
  <c r="I1204" i="1"/>
  <c r="J1204" i="1"/>
  <c r="A1205" i="1"/>
  <c r="I1205" i="1"/>
  <c r="J1205" i="1"/>
  <c r="A1206" i="1"/>
  <c r="I1206" i="1"/>
  <c r="J1206" i="1"/>
  <c r="A1207" i="1"/>
  <c r="G1207" i="1"/>
  <c r="H1207" i="1"/>
  <c r="J1207" i="1"/>
  <c r="A1208" i="1"/>
  <c r="G1208" i="1"/>
  <c r="H1208" i="1"/>
  <c r="J1208" i="1"/>
  <c r="A1209" i="1"/>
  <c r="G1209" i="1"/>
  <c r="H1209" i="1"/>
  <c r="J1209" i="1"/>
  <c r="A1210" i="1"/>
  <c r="G1210" i="1"/>
  <c r="H1210" i="1"/>
  <c r="J1210" i="1"/>
  <c r="A1211" i="1"/>
  <c r="G1211" i="1"/>
  <c r="H1211" i="1"/>
  <c r="J1211" i="1"/>
  <c r="A1212" i="1"/>
  <c r="G1212" i="1"/>
  <c r="H1212" i="1"/>
  <c r="J1212" i="1"/>
  <c r="A1213" i="1"/>
  <c r="G1213" i="1"/>
  <c r="H1213" i="1"/>
  <c r="J1213" i="1"/>
  <c r="A1214" i="1"/>
  <c r="G1214" i="1"/>
  <c r="H1214" i="1"/>
  <c r="J1214" i="1"/>
  <c r="A1215" i="1"/>
  <c r="G1215" i="1"/>
  <c r="H1215" i="1"/>
  <c r="J1215" i="1"/>
  <c r="A1216" i="1"/>
  <c r="G1216" i="1"/>
  <c r="H1216" i="1"/>
  <c r="J1216" i="1"/>
  <c r="A1217" i="1"/>
  <c r="G1217" i="1"/>
  <c r="H1217" i="1"/>
  <c r="J1217" i="1"/>
  <c r="A1218" i="1"/>
  <c r="G1218" i="1"/>
  <c r="H1218" i="1"/>
  <c r="J1218" i="1"/>
  <c r="A1219" i="1"/>
  <c r="G1219" i="1"/>
  <c r="H1219" i="1"/>
  <c r="J1219" i="1"/>
  <c r="A1220" i="1"/>
  <c r="G1220" i="1"/>
  <c r="H1220" i="1"/>
  <c r="J1220" i="1"/>
  <c r="A1221" i="1"/>
  <c r="G1221" i="1"/>
  <c r="H1221" i="1"/>
  <c r="J1221" i="1"/>
  <c r="A1222" i="1"/>
  <c r="G1222" i="1"/>
  <c r="H1222" i="1"/>
  <c r="J1222" i="1"/>
  <c r="A1223" i="1"/>
  <c r="I1223" i="1"/>
  <c r="J1223" i="1"/>
  <c r="A1224" i="1"/>
  <c r="G1224" i="1"/>
  <c r="H1224" i="1"/>
  <c r="J1224" i="1"/>
  <c r="A1225" i="1"/>
  <c r="G1225" i="1"/>
  <c r="H1225" i="1"/>
  <c r="J1225" i="1"/>
  <c r="A1226" i="1"/>
  <c r="G1226" i="1"/>
  <c r="H1226" i="1"/>
  <c r="J1226" i="1"/>
  <c r="A1227" i="1"/>
  <c r="G1227" i="1"/>
  <c r="H1227" i="1"/>
  <c r="J1227" i="1"/>
  <c r="A1228" i="1"/>
  <c r="G1228" i="1"/>
  <c r="H1228" i="1"/>
  <c r="J1228" i="1"/>
  <c r="A1229" i="1"/>
  <c r="G1229" i="1"/>
  <c r="H1229" i="1"/>
  <c r="J1229" i="1"/>
  <c r="A1230" i="1"/>
  <c r="G1230" i="1"/>
  <c r="H1230" i="1"/>
  <c r="J1230" i="1"/>
  <c r="A1231" i="1"/>
  <c r="G1231" i="1"/>
  <c r="H1231" i="1"/>
  <c r="J1231" i="1"/>
  <c r="A1232" i="1"/>
  <c r="G1232" i="1"/>
  <c r="H1232" i="1"/>
  <c r="J1232" i="1"/>
  <c r="A1233" i="1"/>
  <c r="G1233" i="1"/>
  <c r="H1233" i="1"/>
  <c r="J1233" i="1"/>
  <c r="A1234" i="1"/>
  <c r="G1234" i="1"/>
  <c r="H1234" i="1"/>
  <c r="J1234" i="1"/>
  <c r="A1235" i="1"/>
  <c r="G1235" i="1"/>
  <c r="H1235" i="1"/>
  <c r="J1235" i="1"/>
  <c r="A1236" i="1"/>
  <c r="G1236" i="1"/>
  <c r="H1236" i="1"/>
  <c r="J1236" i="1"/>
  <c r="A1237" i="1"/>
  <c r="G1237" i="1"/>
  <c r="H1237" i="1"/>
  <c r="J1237" i="1"/>
  <c r="A1238" i="1"/>
  <c r="G1238" i="1"/>
  <c r="H1238" i="1"/>
  <c r="J1238" i="1"/>
  <c r="A1239" i="1"/>
  <c r="G1239" i="1"/>
  <c r="H1239" i="1"/>
  <c r="J1239" i="1"/>
  <c r="A1240" i="1"/>
  <c r="G1240" i="1"/>
  <c r="H1240" i="1"/>
  <c r="J1240" i="1"/>
  <c r="A1241" i="1"/>
  <c r="G1241" i="1"/>
  <c r="H1241" i="1"/>
  <c r="J1241" i="1"/>
  <c r="A1242" i="1"/>
  <c r="G1242" i="1"/>
  <c r="H1242" i="1"/>
  <c r="J1242" i="1"/>
  <c r="A1243" i="1"/>
  <c r="G1243" i="1"/>
  <c r="H1243" i="1"/>
  <c r="J1243" i="1"/>
  <c r="A1244" i="1"/>
  <c r="G1244" i="1"/>
  <c r="H1244" i="1"/>
  <c r="J1244" i="1"/>
  <c r="A1245" i="1"/>
  <c r="G1245" i="1"/>
  <c r="H1245" i="1"/>
  <c r="J1245" i="1"/>
  <c r="A1246" i="1"/>
  <c r="G1246" i="1"/>
  <c r="H1246" i="1"/>
  <c r="J1246" i="1"/>
  <c r="A1247" i="1"/>
  <c r="G1247" i="1"/>
  <c r="H1247" i="1"/>
  <c r="J1247" i="1"/>
  <c r="A1248" i="1"/>
  <c r="G1248" i="1"/>
  <c r="H1248" i="1"/>
  <c r="J1248" i="1"/>
  <c r="A1249" i="1"/>
  <c r="G1249" i="1"/>
  <c r="H1249" i="1"/>
  <c r="J1249" i="1"/>
  <c r="A1250" i="1"/>
  <c r="G1250" i="1"/>
  <c r="H1250" i="1"/>
  <c r="J1250" i="1"/>
  <c r="A1251" i="1"/>
  <c r="G1251" i="1"/>
  <c r="H1251" i="1"/>
  <c r="J1251" i="1"/>
  <c r="A1252" i="1"/>
  <c r="G1252" i="1"/>
  <c r="H1252" i="1"/>
  <c r="J1252" i="1"/>
  <c r="A1253" i="1"/>
  <c r="G1253" i="1"/>
  <c r="H1253" i="1"/>
  <c r="J1253" i="1"/>
  <c r="A1254" i="1"/>
  <c r="G1254" i="1"/>
  <c r="H1254" i="1"/>
  <c r="J1254" i="1"/>
  <c r="A1255" i="1"/>
  <c r="G1255" i="1"/>
  <c r="H1255" i="1"/>
  <c r="J1255" i="1"/>
  <c r="A1256" i="1"/>
  <c r="G1256" i="1"/>
  <c r="H1256" i="1"/>
  <c r="J1256" i="1"/>
  <c r="A1257" i="1"/>
  <c r="G1257" i="1"/>
  <c r="H1257" i="1"/>
  <c r="J1257" i="1"/>
  <c r="A1258" i="1"/>
  <c r="G1258" i="1"/>
  <c r="H1258" i="1"/>
  <c r="J1258" i="1"/>
  <c r="A1259" i="1"/>
  <c r="G1259" i="1"/>
  <c r="H1259" i="1"/>
  <c r="J1259" i="1"/>
  <c r="A1260" i="1"/>
  <c r="G1260" i="1"/>
  <c r="H1260" i="1"/>
  <c r="J1260" i="1"/>
  <c r="A1261" i="1"/>
  <c r="G1261" i="1"/>
  <c r="H1261" i="1"/>
  <c r="J1261" i="1"/>
  <c r="A1262" i="1"/>
  <c r="G1262" i="1"/>
  <c r="H1262" i="1"/>
  <c r="J1262" i="1"/>
  <c r="A1263" i="1"/>
  <c r="G1263" i="1"/>
  <c r="H1263" i="1"/>
  <c r="J1263" i="1"/>
  <c r="A1264" i="1"/>
  <c r="G1264" i="1"/>
  <c r="H1264" i="1"/>
  <c r="J1264" i="1"/>
  <c r="A1265" i="1"/>
  <c r="G1265" i="1"/>
  <c r="H1265" i="1"/>
  <c r="J1265" i="1"/>
  <c r="A1266" i="1"/>
  <c r="G1266" i="1"/>
  <c r="H1266" i="1"/>
  <c r="J1266" i="1"/>
  <c r="A1267" i="1"/>
  <c r="G1267" i="1"/>
  <c r="H1267" i="1"/>
  <c r="J1267" i="1"/>
  <c r="A1268" i="1"/>
  <c r="G1268" i="1"/>
  <c r="H1268" i="1"/>
  <c r="J1268" i="1"/>
  <c r="A1269" i="1"/>
  <c r="G1269" i="1"/>
  <c r="H1269" i="1"/>
  <c r="J1269" i="1"/>
  <c r="A1270" i="1"/>
  <c r="G1270" i="1"/>
  <c r="H1270" i="1"/>
  <c r="J1270" i="1"/>
  <c r="A1271" i="1"/>
  <c r="G1271" i="1"/>
  <c r="H1271" i="1"/>
  <c r="J1271" i="1"/>
  <c r="A1272" i="1"/>
  <c r="G1272" i="1"/>
  <c r="H1272" i="1"/>
  <c r="J1272" i="1"/>
  <c r="A1273" i="1"/>
  <c r="G1273" i="1"/>
  <c r="H1273" i="1"/>
  <c r="J1273" i="1"/>
  <c r="A1274" i="1"/>
  <c r="G1274" i="1"/>
  <c r="H1274" i="1"/>
  <c r="J1274" i="1"/>
  <c r="A1275" i="1"/>
  <c r="G1275" i="1"/>
  <c r="H1275" i="1"/>
  <c r="J1275" i="1"/>
  <c r="A1276" i="1"/>
  <c r="G1276" i="1"/>
  <c r="H1276" i="1"/>
  <c r="J1276" i="1"/>
  <c r="A1277" i="1"/>
  <c r="G1277" i="1"/>
  <c r="H1277" i="1"/>
  <c r="J1277" i="1"/>
  <c r="A1278" i="1"/>
  <c r="G1278" i="1"/>
  <c r="H1278" i="1"/>
  <c r="J1278" i="1"/>
  <c r="A1279" i="1"/>
  <c r="G1279" i="1"/>
  <c r="H1279" i="1"/>
  <c r="J1279" i="1"/>
  <c r="A1280" i="1"/>
  <c r="G1280" i="1"/>
  <c r="H1280" i="1"/>
  <c r="J1280" i="1"/>
  <c r="A1281" i="1"/>
  <c r="G1281" i="1"/>
  <c r="H1281" i="1"/>
  <c r="J1281" i="1"/>
  <c r="A1282" i="1"/>
  <c r="G1282" i="1"/>
  <c r="H1282" i="1"/>
  <c r="J1282" i="1"/>
  <c r="A1283" i="1"/>
  <c r="G1283" i="1"/>
  <c r="H1283" i="1"/>
  <c r="J1283" i="1"/>
  <c r="A1284" i="1"/>
  <c r="G1284" i="1"/>
  <c r="H1284" i="1"/>
  <c r="J1284" i="1"/>
  <c r="A1285" i="1"/>
  <c r="G1285" i="1"/>
  <c r="H1285" i="1"/>
  <c r="J1285" i="1"/>
  <c r="A1286" i="1"/>
  <c r="G1286" i="1"/>
  <c r="H1286" i="1"/>
  <c r="J1286" i="1"/>
  <c r="A1287" i="1"/>
  <c r="G1287" i="1"/>
  <c r="H1287" i="1"/>
  <c r="J1287" i="1"/>
  <c r="A1288" i="1"/>
  <c r="G1288" i="1"/>
  <c r="H1288" i="1"/>
  <c r="J1288" i="1"/>
  <c r="A1289" i="1"/>
  <c r="G1289" i="1"/>
  <c r="H1289" i="1"/>
  <c r="J1289" i="1"/>
  <c r="A1290" i="1"/>
  <c r="G1290" i="1"/>
  <c r="H1290" i="1"/>
  <c r="J1290" i="1"/>
  <c r="A1291" i="1"/>
  <c r="G1291" i="1"/>
  <c r="H1291" i="1"/>
  <c r="J1291" i="1"/>
  <c r="A1292" i="1"/>
  <c r="G1292" i="1"/>
  <c r="H1292" i="1"/>
  <c r="J1292" i="1"/>
  <c r="A1293" i="1"/>
  <c r="G1293" i="1"/>
  <c r="H1293" i="1"/>
  <c r="J1293" i="1"/>
  <c r="A1294" i="1"/>
  <c r="G1294" i="1"/>
  <c r="H1294" i="1"/>
  <c r="J1294" i="1"/>
  <c r="A1295" i="1"/>
  <c r="G1295" i="1"/>
  <c r="H1295" i="1"/>
  <c r="J1295" i="1"/>
  <c r="A1296" i="1"/>
  <c r="G1296" i="1"/>
  <c r="H1296" i="1"/>
  <c r="J1296" i="1"/>
  <c r="A1297" i="1"/>
  <c r="G1297" i="1"/>
  <c r="H1297" i="1"/>
  <c r="J1297" i="1"/>
  <c r="A1298" i="1"/>
  <c r="G1298" i="1"/>
  <c r="H1298" i="1"/>
  <c r="J1298" i="1"/>
  <c r="A1299" i="1"/>
  <c r="G1299" i="1"/>
  <c r="H1299" i="1"/>
  <c r="J1299" i="1"/>
  <c r="A1300" i="1"/>
  <c r="G1300" i="1"/>
  <c r="H1300" i="1"/>
  <c r="J1300" i="1"/>
  <c r="A1301" i="1"/>
  <c r="G1301" i="1"/>
  <c r="H1301" i="1"/>
  <c r="J1301" i="1"/>
  <c r="A1302" i="1"/>
  <c r="G1302" i="1"/>
  <c r="H1302" i="1"/>
  <c r="J1302" i="1"/>
  <c r="A1303" i="1"/>
  <c r="G1303" i="1"/>
  <c r="H1303" i="1"/>
  <c r="J1303" i="1"/>
  <c r="A1304" i="1"/>
  <c r="G1304" i="1"/>
  <c r="H1304" i="1"/>
  <c r="J1304" i="1"/>
  <c r="A1305" i="1"/>
  <c r="G1305" i="1"/>
  <c r="H1305" i="1"/>
  <c r="J1305" i="1"/>
  <c r="A1306" i="1"/>
  <c r="G1306" i="1"/>
  <c r="H1306" i="1"/>
  <c r="J1306" i="1"/>
  <c r="A1307" i="1"/>
  <c r="G1307" i="1"/>
  <c r="H1307" i="1"/>
  <c r="J1307" i="1"/>
  <c r="A1308" i="1"/>
  <c r="G1308" i="1"/>
  <c r="H1308" i="1"/>
  <c r="J1308" i="1"/>
  <c r="A1309" i="1"/>
  <c r="G1309" i="1"/>
  <c r="H1309" i="1"/>
  <c r="J1309" i="1"/>
  <c r="A1310" i="1"/>
  <c r="G1310" i="1"/>
  <c r="H1310" i="1"/>
  <c r="J1310" i="1"/>
  <c r="A1311" i="1"/>
  <c r="G1311" i="1"/>
  <c r="H1311" i="1"/>
  <c r="J1311" i="1"/>
  <c r="A1312" i="1"/>
  <c r="G1312" i="1"/>
  <c r="H1312" i="1"/>
  <c r="J1312" i="1"/>
  <c r="A1313" i="1"/>
  <c r="G1313" i="1"/>
  <c r="H1313" i="1"/>
  <c r="J1313" i="1"/>
  <c r="A1314" i="1"/>
  <c r="G1314" i="1"/>
  <c r="H1314" i="1"/>
  <c r="J1314" i="1"/>
  <c r="A1315" i="1"/>
  <c r="G1315" i="1"/>
  <c r="H1315" i="1"/>
  <c r="J1315" i="1"/>
  <c r="A1316" i="1"/>
  <c r="G1316" i="1"/>
  <c r="H1316" i="1"/>
  <c r="J1316" i="1"/>
  <c r="A1317" i="1"/>
  <c r="G1317" i="1"/>
  <c r="H1317" i="1"/>
  <c r="J1317" i="1"/>
  <c r="A1318" i="1"/>
  <c r="G1318" i="1"/>
  <c r="H1318" i="1"/>
  <c r="J1318" i="1"/>
  <c r="A1319" i="1"/>
  <c r="G1319" i="1"/>
  <c r="H1319" i="1"/>
  <c r="J1319" i="1"/>
  <c r="A1320" i="1"/>
  <c r="G1320" i="1"/>
  <c r="H1320" i="1"/>
  <c r="J1320" i="1"/>
  <c r="A1321" i="1"/>
  <c r="G1321" i="1"/>
  <c r="H1321" i="1"/>
  <c r="J1321" i="1"/>
  <c r="A1322" i="1"/>
  <c r="G1322" i="1"/>
  <c r="H1322" i="1"/>
  <c r="J1322" i="1"/>
  <c r="A1323" i="1"/>
  <c r="G1323" i="1"/>
  <c r="H1323" i="1"/>
  <c r="J1323" i="1"/>
  <c r="A1324" i="1"/>
  <c r="G1324" i="1"/>
  <c r="H1324" i="1"/>
  <c r="J1324" i="1"/>
  <c r="A1325" i="1"/>
  <c r="G1325" i="1"/>
  <c r="H1325" i="1"/>
  <c r="J1325" i="1"/>
  <c r="A1326" i="1"/>
  <c r="G1326" i="1"/>
  <c r="H1326" i="1"/>
  <c r="J1326" i="1"/>
  <c r="A1327" i="1"/>
  <c r="G1327" i="1"/>
  <c r="H1327" i="1"/>
  <c r="J1327" i="1"/>
  <c r="A1328" i="1"/>
  <c r="G1328" i="1"/>
  <c r="H1328" i="1"/>
  <c r="J1328" i="1"/>
  <c r="A1329" i="1"/>
  <c r="G1329" i="1"/>
  <c r="H1329" i="1"/>
  <c r="J1329" i="1"/>
  <c r="A1330" i="1"/>
  <c r="G1330" i="1"/>
  <c r="H1330" i="1"/>
  <c r="J1330" i="1"/>
  <c r="A1331" i="1"/>
  <c r="G1331" i="1"/>
  <c r="H1331" i="1"/>
  <c r="J1331" i="1"/>
  <c r="A1332" i="1"/>
  <c r="G1332" i="1"/>
  <c r="H1332" i="1"/>
  <c r="J1332" i="1"/>
  <c r="A1333" i="1"/>
  <c r="G1333" i="1"/>
  <c r="H1333" i="1"/>
  <c r="J1333" i="1"/>
  <c r="A1334" i="1"/>
  <c r="G1334" i="1"/>
  <c r="H1334" i="1"/>
  <c r="J1334" i="1"/>
  <c r="A1335" i="1"/>
  <c r="G1335" i="1"/>
  <c r="H1335" i="1"/>
  <c r="J1335" i="1"/>
  <c r="A1336" i="1"/>
  <c r="G1336" i="1"/>
  <c r="H1336" i="1"/>
  <c r="J1336" i="1"/>
  <c r="A1337" i="1"/>
  <c r="G1337" i="1"/>
  <c r="H1337" i="1"/>
  <c r="J1337" i="1"/>
  <c r="A1338" i="1"/>
  <c r="G1338" i="1"/>
  <c r="H1338" i="1"/>
  <c r="J1338" i="1"/>
  <c r="A1339" i="1"/>
  <c r="G1339" i="1"/>
  <c r="H1339" i="1"/>
  <c r="J1339" i="1"/>
  <c r="A1340" i="1"/>
  <c r="G1340" i="1"/>
  <c r="H1340" i="1"/>
  <c r="J1340" i="1"/>
  <c r="A1341" i="1"/>
  <c r="G1341" i="1"/>
  <c r="H1341" i="1"/>
  <c r="J1341" i="1"/>
  <c r="A1342" i="1"/>
  <c r="G1342" i="1"/>
  <c r="H1342" i="1"/>
  <c r="J1342" i="1"/>
  <c r="A1343" i="1"/>
  <c r="G1343" i="1"/>
  <c r="H1343" i="1"/>
  <c r="J1343" i="1"/>
  <c r="A1344" i="1"/>
  <c r="G1344" i="1"/>
  <c r="H1344" i="1"/>
  <c r="J1344" i="1"/>
  <c r="A1345" i="1"/>
  <c r="G1345" i="1"/>
  <c r="H1345" i="1"/>
  <c r="J1345" i="1"/>
  <c r="A1346" i="1"/>
  <c r="G1346" i="1"/>
  <c r="H1346" i="1"/>
  <c r="J1346" i="1"/>
  <c r="A1347" i="1"/>
  <c r="G1347" i="1"/>
  <c r="H1347" i="1"/>
  <c r="J1347" i="1"/>
  <c r="A1348" i="1"/>
  <c r="G1348" i="1"/>
  <c r="H1348" i="1"/>
  <c r="J1348" i="1"/>
  <c r="A1349" i="1"/>
  <c r="G1349" i="1"/>
  <c r="H1349" i="1"/>
  <c r="J1349" i="1"/>
  <c r="A1350" i="1"/>
  <c r="G1350" i="1"/>
  <c r="H1350" i="1"/>
  <c r="J1350" i="1"/>
  <c r="A1351" i="1"/>
  <c r="G1351" i="1"/>
  <c r="H1351" i="1"/>
  <c r="J1351" i="1"/>
  <c r="A1352" i="1"/>
  <c r="G1352" i="1"/>
  <c r="H1352" i="1"/>
  <c r="J1352" i="1"/>
  <c r="A1353" i="1"/>
  <c r="G1353" i="1"/>
  <c r="H1353" i="1"/>
  <c r="J1353" i="1"/>
  <c r="A1354" i="1"/>
  <c r="G1354" i="1"/>
  <c r="H1354" i="1"/>
  <c r="J1354" i="1"/>
  <c r="A1355" i="1"/>
  <c r="G1355" i="1"/>
  <c r="H1355" i="1"/>
  <c r="J1355" i="1"/>
  <c r="A1356" i="1"/>
  <c r="G1356" i="1"/>
  <c r="H1356" i="1"/>
  <c r="J1356" i="1"/>
  <c r="A1357" i="1"/>
  <c r="G1357" i="1"/>
  <c r="H1357" i="1"/>
  <c r="J1357" i="1"/>
  <c r="A1358" i="1"/>
  <c r="G1358" i="1"/>
  <c r="H1358" i="1"/>
  <c r="J1358" i="1"/>
  <c r="A1359" i="1"/>
  <c r="G1359" i="1"/>
  <c r="H1359" i="1"/>
  <c r="J1359" i="1"/>
  <c r="A1360" i="1"/>
  <c r="G1360" i="1"/>
  <c r="H1360" i="1"/>
  <c r="J1360" i="1"/>
  <c r="A1361" i="1"/>
  <c r="G1361" i="1"/>
  <c r="H1361" i="1"/>
  <c r="J1361" i="1"/>
  <c r="A1362" i="1"/>
  <c r="G1362" i="1"/>
  <c r="H1362" i="1"/>
  <c r="J1362" i="1"/>
  <c r="A1363" i="1"/>
  <c r="G1363" i="1"/>
  <c r="H1363" i="1"/>
  <c r="J1363" i="1"/>
  <c r="A1364" i="1"/>
  <c r="G1364" i="1"/>
  <c r="H1364" i="1"/>
  <c r="J1364" i="1"/>
  <c r="A1365" i="1"/>
  <c r="G1365" i="1"/>
  <c r="H1365" i="1"/>
  <c r="J1365" i="1"/>
  <c r="A1366" i="1"/>
  <c r="G1366" i="1"/>
  <c r="H1366" i="1"/>
  <c r="J1366" i="1"/>
  <c r="A1367" i="1"/>
  <c r="G1367" i="1"/>
  <c r="H1367" i="1"/>
  <c r="J1367" i="1"/>
  <c r="A1368" i="1"/>
  <c r="G1368" i="1"/>
  <c r="H1368" i="1"/>
  <c r="J1368" i="1"/>
  <c r="A1369" i="1"/>
  <c r="G1369" i="1"/>
  <c r="H1369" i="1"/>
  <c r="J1369" i="1"/>
  <c r="A1370" i="1"/>
  <c r="G1370" i="1"/>
  <c r="H1370" i="1"/>
  <c r="J1370" i="1"/>
  <c r="A1371" i="1"/>
  <c r="G1371" i="1"/>
  <c r="H1371" i="1"/>
  <c r="J1371" i="1"/>
  <c r="A1372" i="1"/>
  <c r="G1372" i="1"/>
  <c r="H1372" i="1"/>
  <c r="J1372" i="1"/>
  <c r="A1373" i="1"/>
  <c r="G1373" i="1"/>
  <c r="H1373" i="1"/>
  <c r="J1373" i="1"/>
  <c r="A1374" i="1"/>
  <c r="G1374" i="1"/>
  <c r="H1374" i="1"/>
  <c r="J1374" i="1"/>
  <c r="A1375" i="1"/>
  <c r="G1375" i="1"/>
  <c r="H1375" i="1"/>
  <c r="J1375" i="1"/>
  <c r="A1376" i="1"/>
  <c r="G1376" i="1"/>
  <c r="H1376" i="1"/>
  <c r="J1376" i="1"/>
  <c r="A1377" i="1"/>
  <c r="G1377" i="1"/>
  <c r="H1377" i="1"/>
  <c r="J1377" i="1"/>
  <c r="A1378" i="1"/>
  <c r="G1378" i="1"/>
  <c r="H1378" i="1"/>
  <c r="J1378" i="1"/>
  <c r="A1379" i="1"/>
  <c r="G1379" i="1"/>
  <c r="H1379" i="1"/>
  <c r="J1379" i="1"/>
  <c r="A1380" i="1"/>
  <c r="G1380" i="1"/>
  <c r="H1380" i="1"/>
  <c r="J1380" i="1"/>
  <c r="A1381" i="1"/>
  <c r="G1381" i="1"/>
  <c r="H1381" i="1"/>
  <c r="J1381" i="1"/>
  <c r="A1382" i="1"/>
  <c r="G1382" i="1"/>
  <c r="H1382" i="1"/>
  <c r="J1382" i="1"/>
  <c r="A1383" i="1"/>
  <c r="G1383" i="1"/>
  <c r="H1383" i="1"/>
  <c r="J1383" i="1"/>
  <c r="A1384" i="1"/>
  <c r="G1384" i="1"/>
  <c r="H1384" i="1"/>
  <c r="J1384" i="1"/>
  <c r="A1385" i="1"/>
  <c r="G1385" i="1"/>
  <c r="H1385" i="1"/>
  <c r="J1385" i="1"/>
  <c r="A1386" i="1"/>
  <c r="G1386" i="1"/>
  <c r="H1386" i="1"/>
  <c r="J1386" i="1"/>
  <c r="A1387" i="1"/>
  <c r="G1387" i="1"/>
  <c r="H1387" i="1"/>
  <c r="J1387" i="1"/>
  <c r="A1388" i="1"/>
  <c r="G1388" i="1"/>
  <c r="H1388" i="1"/>
  <c r="J1388" i="1"/>
  <c r="A1389" i="1"/>
  <c r="G1389" i="1"/>
  <c r="H1389" i="1"/>
  <c r="J1389" i="1"/>
  <c r="A1390" i="1"/>
  <c r="G1390" i="1"/>
  <c r="H1390" i="1"/>
  <c r="J1390" i="1"/>
  <c r="A1391" i="1"/>
  <c r="G1391" i="1"/>
  <c r="H1391" i="1"/>
  <c r="J1391" i="1"/>
  <c r="A1392" i="1"/>
  <c r="G1392" i="1"/>
  <c r="H1392" i="1"/>
  <c r="J1392" i="1"/>
  <c r="A1393" i="1"/>
  <c r="G1393" i="1"/>
  <c r="H1393" i="1"/>
  <c r="J1393" i="1"/>
  <c r="A1394" i="1"/>
  <c r="G1394" i="1"/>
  <c r="H1394" i="1"/>
  <c r="J1394" i="1"/>
  <c r="A1395" i="1"/>
  <c r="G1395" i="1"/>
  <c r="H1395" i="1"/>
  <c r="J1395" i="1"/>
  <c r="A1396" i="1"/>
  <c r="G1396" i="1"/>
  <c r="H1396" i="1"/>
  <c r="J1396" i="1"/>
  <c r="A1397" i="1"/>
  <c r="G1397" i="1"/>
  <c r="H1397" i="1"/>
  <c r="J1397" i="1"/>
  <c r="A1398" i="1"/>
  <c r="G1398" i="1"/>
  <c r="H1398" i="1"/>
  <c r="J1398" i="1"/>
  <c r="A1399" i="1"/>
  <c r="G1399" i="1"/>
  <c r="H1399" i="1"/>
  <c r="J1399" i="1"/>
  <c r="A1400" i="1"/>
  <c r="G1400" i="1"/>
  <c r="H1400" i="1"/>
  <c r="J1400" i="1"/>
  <c r="A1401" i="1"/>
  <c r="G1401" i="1"/>
  <c r="H1401" i="1"/>
  <c r="J1401" i="1"/>
  <c r="A1402" i="1"/>
  <c r="G1402" i="1"/>
  <c r="H1402" i="1"/>
  <c r="J1402" i="1"/>
  <c r="A1403" i="1"/>
  <c r="G1403" i="1"/>
  <c r="H1403" i="1"/>
  <c r="J1403" i="1"/>
  <c r="A1404" i="1"/>
  <c r="G1404" i="1"/>
  <c r="H1404" i="1"/>
  <c r="J1404" i="1"/>
  <c r="A1405" i="1"/>
  <c r="G1405" i="1"/>
  <c r="H1405" i="1"/>
  <c r="J1405" i="1"/>
  <c r="A1406" i="1"/>
  <c r="G1406" i="1"/>
  <c r="H1406" i="1"/>
  <c r="J1406" i="1"/>
  <c r="A1407" i="1"/>
  <c r="G1407" i="1"/>
  <c r="H1407" i="1"/>
  <c r="J1407" i="1"/>
  <c r="A1408" i="1"/>
  <c r="G1408" i="1"/>
  <c r="H1408" i="1"/>
  <c r="J1408" i="1"/>
  <c r="A1409" i="1"/>
  <c r="G1409" i="1"/>
  <c r="H1409" i="1"/>
  <c r="J1409" i="1"/>
  <c r="A1410" i="1"/>
  <c r="G1410" i="1"/>
  <c r="H1410" i="1"/>
  <c r="J1410" i="1"/>
  <c r="A1411" i="1"/>
  <c r="G1411" i="1"/>
  <c r="H1411" i="1"/>
  <c r="J1411" i="1"/>
  <c r="A1412" i="1"/>
  <c r="G1412" i="1"/>
  <c r="H1412" i="1"/>
  <c r="J1412" i="1"/>
  <c r="A1413" i="1"/>
  <c r="G1413" i="1"/>
  <c r="H1413" i="1"/>
  <c r="J1413" i="1"/>
  <c r="A1414" i="1"/>
  <c r="G1414" i="1"/>
  <c r="H1414" i="1"/>
  <c r="J1414" i="1"/>
  <c r="A1415" i="1"/>
  <c r="G1415" i="1"/>
  <c r="H1415" i="1"/>
  <c r="J1415" i="1"/>
  <c r="A1416" i="1"/>
  <c r="G1416" i="1"/>
  <c r="H1416" i="1"/>
  <c r="J1416" i="1"/>
  <c r="A1417" i="1"/>
  <c r="G1417" i="1"/>
  <c r="H1417" i="1"/>
  <c r="J1417" i="1"/>
  <c r="A1418" i="1"/>
  <c r="G1418" i="1"/>
  <c r="H1418" i="1"/>
  <c r="J1418" i="1"/>
  <c r="A1419" i="1"/>
  <c r="G1419" i="1"/>
  <c r="H1419" i="1"/>
  <c r="J1419" i="1"/>
  <c r="A1420" i="1"/>
  <c r="G1420" i="1"/>
  <c r="H1420" i="1"/>
  <c r="J1420" i="1"/>
  <c r="A1421" i="1"/>
  <c r="G1421" i="1"/>
  <c r="H1421" i="1"/>
  <c r="J1421" i="1"/>
  <c r="A1422" i="1"/>
  <c r="G1422" i="1"/>
  <c r="H1422" i="1"/>
  <c r="J1422" i="1"/>
  <c r="A1423" i="1"/>
  <c r="G1423" i="1"/>
  <c r="H1423" i="1"/>
  <c r="J1423" i="1"/>
  <c r="A1424" i="1"/>
  <c r="G1424" i="1"/>
  <c r="H1424" i="1"/>
  <c r="J1424" i="1"/>
  <c r="A1425" i="1"/>
  <c r="G1425" i="1"/>
  <c r="H1425" i="1"/>
  <c r="J1425" i="1"/>
  <c r="A1426" i="1"/>
  <c r="G1426" i="1"/>
  <c r="H1426" i="1"/>
  <c r="J1426" i="1"/>
  <c r="A1427" i="1"/>
  <c r="G1427" i="1"/>
  <c r="H1427" i="1"/>
  <c r="J1427" i="1"/>
  <c r="A1428" i="1"/>
  <c r="G1428" i="1"/>
  <c r="H1428" i="1"/>
  <c r="J1428" i="1"/>
  <c r="A1429" i="1"/>
  <c r="G1429" i="1"/>
  <c r="H1429" i="1"/>
  <c r="J1429" i="1"/>
  <c r="A1430" i="1"/>
  <c r="G1430" i="1"/>
  <c r="H1430" i="1"/>
  <c r="J1430" i="1"/>
  <c r="A1431" i="1"/>
  <c r="G1431" i="1"/>
  <c r="H1431" i="1"/>
  <c r="J1431" i="1"/>
  <c r="A1432" i="1"/>
  <c r="G1432" i="1"/>
  <c r="H1432" i="1"/>
  <c r="J1432" i="1"/>
  <c r="A1433" i="1"/>
  <c r="G1433" i="1"/>
  <c r="H1433" i="1"/>
  <c r="J1433" i="1"/>
  <c r="A1434" i="1"/>
  <c r="G1434" i="1"/>
  <c r="H1434" i="1"/>
  <c r="J1434" i="1"/>
  <c r="A1435" i="1"/>
  <c r="G1435" i="1"/>
  <c r="H1435" i="1"/>
  <c r="J1435" i="1"/>
  <c r="A1436" i="1"/>
  <c r="G1436" i="1"/>
  <c r="H1436" i="1"/>
  <c r="J1436" i="1"/>
  <c r="A1437" i="1"/>
  <c r="G1437" i="1"/>
  <c r="H1437" i="1"/>
  <c r="J1437" i="1"/>
  <c r="A1438" i="1"/>
  <c r="G1438" i="1"/>
  <c r="H1438" i="1"/>
  <c r="J1438" i="1"/>
  <c r="A1439" i="1"/>
  <c r="G1439" i="1"/>
  <c r="H1439" i="1"/>
  <c r="J1439" i="1"/>
  <c r="A1440" i="1"/>
  <c r="G1440" i="1"/>
  <c r="H1440" i="1"/>
  <c r="J1440" i="1"/>
  <c r="A1441" i="1"/>
  <c r="G1441" i="1"/>
  <c r="H1441" i="1"/>
  <c r="J1441" i="1"/>
  <c r="A1442" i="1"/>
  <c r="G1442" i="1"/>
  <c r="H1442" i="1"/>
  <c r="J1442" i="1"/>
  <c r="A1443" i="1"/>
  <c r="G1443" i="1"/>
  <c r="H1443" i="1"/>
  <c r="J1443" i="1"/>
  <c r="A1444" i="1"/>
  <c r="G1444" i="1"/>
  <c r="H1444" i="1"/>
  <c r="J1444" i="1"/>
  <c r="A1445" i="1"/>
  <c r="G1445" i="1"/>
  <c r="H1445" i="1"/>
  <c r="J1445" i="1"/>
  <c r="A1446" i="1"/>
  <c r="G1446" i="1"/>
  <c r="H1446" i="1"/>
  <c r="J1446" i="1"/>
  <c r="A1447" i="1"/>
  <c r="G1447" i="1"/>
  <c r="H1447" i="1"/>
  <c r="J1447" i="1"/>
  <c r="A1448" i="1"/>
  <c r="G1448" i="1"/>
  <c r="H1448" i="1"/>
  <c r="J1448" i="1"/>
  <c r="A1449" i="1"/>
  <c r="G1449" i="1"/>
  <c r="H1449" i="1"/>
  <c r="J1449" i="1"/>
  <c r="A1450" i="1"/>
  <c r="G1450" i="1"/>
  <c r="H1450" i="1"/>
  <c r="J1450" i="1"/>
  <c r="A1451" i="1"/>
  <c r="G1451" i="1"/>
  <c r="H1451" i="1"/>
  <c r="J1451" i="1"/>
  <c r="A1452" i="1"/>
  <c r="G1452" i="1"/>
  <c r="H1452" i="1"/>
  <c r="J1452" i="1"/>
  <c r="A1453" i="1"/>
  <c r="G1453" i="1"/>
  <c r="H1453" i="1"/>
  <c r="J1453" i="1"/>
  <c r="A1454" i="1"/>
  <c r="G1454" i="1"/>
  <c r="H1454" i="1"/>
  <c r="J1454" i="1"/>
  <c r="A1455" i="1"/>
  <c r="G1455" i="1"/>
  <c r="H1455" i="1"/>
  <c r="J1455" i="1"/>
  <c r="A1456" i="1"/>
  <c r="G1456" i="1"/>
  <c r="H1456" i="1"/>
  <c r="J1456" i="1"/>
  <c r="A1457" i="1"/>
  <c r="G1457" i="1"/>
  <c r="H1457" i="1"/>
  <c r="J1457" i="1"/>
  <c r="A1458" i="1"/>
  <c r="G1458" i="1"/>
  <c r="H1458" i="1"/>
  <c r="J1458" i="1"/>
  <c r="A1459" i="1"/>
  <c r="G1459" i="1"/>
  <c r="H1459" i="1"/>
  <c r="J1459" i="1"/>
  <c r="A1460" i="1"/>
  <c r="G1460" i="1"/>
  <c r="H1460" i="1"/>
  <c r="J1460" i="1"/>
  <c r="A1461" i="1"/>
  <c r="G1461" i="1"/>
  <c r="H1461" i="1"/>
  <c r="J1461" i="1"/>
  <c r="A1462" i="1"/>
  <c r="G1462" i="1"/>
  <c r="H1462" i="1"/>
  <c r="J1462" i="1"/>
  <c r="A1463" i="1"/>
  <c r="G1463" i="1"/>
  <c r="H1463" i="1"/>
  <c r="J1463" i="1"/>
  <c r="A1464" i="1"/>
  <c r="G1464" i="1"/>
  <c r="H1464" i="1"/>
  <c r="J1464" i="1"/>
  <c r="A1465" i="1"/>
  <c r="G1465" i="1"/>
  <c r="H1465" i="1"/>
  <c r="J1465" i="1"/>
  <c r="A1466" i="1"/>
  <c r="G1466" i="1"/>
  <c r="H1466" i="1"/>
  <c r="J1466" i="1"/>
  <c r="A1467" i="1"/>
  <c r="G1467" i="1"/>
  <c r="H1467" i="1"/>
  <c r="J1467" i="1"/>
  <c r="A1468" i="1"/>
  <c r="G1468" i="1"/>
  <c r="H1468" i="1"/>
  <c r="J1468" i="1"/>
  <c r="A1469" i="1"/>
  <c r="G1469" i="1"/>
  <c r="H1469" i="1"/>
  <c r="J1469" i="1"/>
  <c r="A1470" i="1"/>
  <c r="G1470" i="1"/>
  <c r="H1470" i="1"/>
  <c r="J1470" i="1"/>
  <c r="A1471" i="1"/>
  <c r="G1471" i="1"/>
  <c r="H1471" i="1"/>
  <c r="J1471" i="1"/>
  <c r="A1472" i="1"/>
  <c r="G1472" i="1"/>
  <c r="H1472" i="1"/>
  <c r="J1472" i="1"/>
  <c r="A1473" i="1"/>
  <c r="G1473" i="1"/>
  <c r="H1473" i="1"/>
  <c r="J1473" i="1"/>
  <c r="A1474" i="1"/>
  <c r="G1474" i="1"/>
  <c r="H1474" i="1"/>
  <c r="J1474" i="1"/>
  <c r="A1475" i="1"/>
  <c r="G1475" i="1"/>
  <c r="H1475" i="1"/>
  <c r="J1475" i="1"/>
  <c r="A1476" i="1"/>
  <c r="G1476" i="1"/>
  <c r="H1476" i="1"/>
  <c r="J1476" i="1"/>
  <c r="A1477" i="1"/>
  <c r="G1477" i="1"/>
  <c r="H1477" i="1"/>
  <c r="J1477" i="1"/>
  <c r="A1478" i="1"/>
  <c r="G1478" i="1"/>
  <c r="H1478" i="1"/>
  <c r="J1478" i="1"/>
  <c r="A1479" i="1"/>
  <c r="G1479" i="1"/>
  <c r="H1479" i="1"/>
  <c r="J1479" i="1"/>
  <c r="A1480" i="1"/>
  <c r="G1480" i="1"/>
  <c r="H1480" i="1"/>
  <c r="J1480" i="1"/>
  <c r="A1481" i="1"/>
  <c r="G1481" i="1"/>
  <c r="H1481" i="1"/>
  <c r="J1481" i="1"/>
  <c r="A1482" i="1"/>
  <c r="G1482" i="1"/>
  <c r="H1482" i="1"/>
  <c r="J1482" i="1"/>
  <c r="A1483" i="1"/>
  <c r="G1483" i="1"/>
  <c r="H1483" i="1"/>
  <c r="J1483" i="1"/>
  <c r="A1484" i="1"/>
  <c r="G1484" i="1"/>
  <c r="H1484" i="1"/>
  <c r="J1484" i="1"/>
  <c r="A1485" i="1"/>
  <c r="G1485" i="1"/>
  <c r="H1485" i="1"/>
  <c r="J1485" i="1"/>
  <c r="A1486" i="1"/>
  <c r="G1486" i="1"/>
  <c r="H1486" i="1"/>
  <c r="J1486" i="1"/>
  <c r="A1487" i="1"/>
  <c r="G1487" i="1"/>
  <c r="H1487" i="1"/>
  <c r="J1487" i="1"/>
  <c r="A1488" i="1"/>
  <c r="G1488" i="1"/>
  <c r="H1488" i="1"/>
  <c r="J1488" i="1"/>
  <c r="A1489" i="1"/>
  <c r="G1489" i="1"/>
  <c r="H1489" i="1"/>
  <c r="J1489" i="1"/>
  <c r="A1490" i="1"/>
  <c r="G1490" i="1"/>
  <c r="H1490" i="1"/>
  <c r="J1490" i="1"/>
  <c r="A1491" i="1"/>
  <c r="G1491" i="1"/>
  <c r="H1491" i="1"/>
  <c r="J1491" i="1"/>
  <c r="A1492" i="1"/>
  <c r="G1492" i="1"/>
  <c r="H1492" i="1"/>
  <c r="J1492" i="1"/>
  <c r="A1493" i="1"/>
  <c r="G1493" i="1"/>
  <c r="H1493" i="1"/>
  <c r="J1493" i="1"/>
  <c r="A1494" i="1"/>
  <c r="G1494" i="1"/>
  <c r="H1494" i="1"/>
  <c r="J1494" i="1"/>
  <c r="A1495" i="1"/>
  <c r="G1495" i="1"/>
  <c r="H1495" i="1"/>
  <c r="J1495" i="1"/>
  <c r="A1496" i="1"/>
  <c r="G1496" i="1"/>
  <c r="H1496" i="1"/>
  <c r="J1496" i="1"/>
  <c r="A1497" i="1"/>
  <c r="G1497" i="1"/>
  <c r="H1497" i="1"/>
  <c r="J1497" i="1"/>
  <c r="A1498" i="1"/>
  <c r="G1498" i="1"/>
  <c r="H1498" i="1"/>
  <c r="J1498" i="1"/>
  <c r="A1499" i="1"/>
  <c r="G1499" i="1"/>
  <c r="H1499" i="1"/>
  <c r="J1499" i="1"/>
  <c r="A1500" i="1"/>
  <c r="G1500" i="1"/>
  <c r="H1500" i="1"/>
  <c r="J1500" i="1"/>
  <c r="A1501" i="1"/>
  <c r="G1501" i="1"/>
  <c r="H1501" i="1"/>
  <c r="J1501" i="1"/>
  <c r="A1502" i="1"/>
  <c r="G1502" i="1"/>
  <c r="H1502" i="1"/>
  <c r="J1502" i="1"/>
  <c r="A1503" i="1"/>
  <c r="G1503" i="1"/>
  <c r="H1503" i="1"/>
  <c r="J1503" i="1"/>
  <c r="A1504" i="1"/>
  <c r="G1504" i="1"/>
  <c r="H1504" i="1"/>
  <c r="J1504" i="1"/>
  <c r="A1505" i="1"/>
  <c r="G1505" i="1"/>
  <c r="H1505" i="1"/>
  <c r="J1505" i="1"/>
  <c r="A1506" i="1"/>
  <c r="G1506" i="1"/>
  <c r="H1506" i="1"/>
  <c r="J1506" i="1"/>
  <c r="A1507" i="1"/>
  <c r="G1507" i="1"/>
  <c r="H1507" i="1"/>
  <c r="J1507" i="1"/>
  <c r="A1508" i="1"/>
  <c r="G1508" i="1"/>
  <c r="H1508" i="1"/>
  <c r="J1508" i="1"/>
  <c r="A1509" i="1"/>
  <c r="G1509" i="1"/>
  <c r="H1509" i="1"/>
  <c r="J1509" i="1"/>
  <c r="A1510" i="1"/>
  <c r="G1510" i="1"/>
  <c r="H1510" i="1"/>
  <c r="J1510" i="1"/>
  <c r="A1511" i="1"/>
  <c r="G1511" i="1"/>
  <c r="H1511" i="1"/>
  <c r="J1511" i="1"/>
  <c r="A1512" i="1"/>
  <c r="G1512" i="1"/>
  <c r="H1512" i="1"/>
  <c r="J1512" i="1"/>
  <c r="A1513" i="1"/>
  <c r="G1513" i="1"/>
  <c r="H1513" i="1"/>
  <c r="J1513" i="1"/>
  <c r="A1514" i="1"/>
  <c r="G1514" i="1"/>
  <c r="H1514" i="1"/>
  <c r="J1514" i="1"/>
  <c r="A1515" i="1"/>
  <c r="G1515" i="1"/>
  <c r="H1515" i="1"/>
  <c r="J1515" i="1"/>
  <c r="A1516" i="1"/>
  <c r="G1516" i="1"/>
  <c r="H1516" i="1"/>
  <c r="J1516" i="1"/>
  <c r="A1517" i="1"/>
  <c r="G1517" i="1"/>
  <c r="H1517" i="1"/>
  <c r="J1517" i="1"/>
  <c r="A1518" i="1"/>
  <c r="G1518" i="1"/>
  <c r="H1518" i="1"/>
  <c r="J1518" i="1"/>
  <c r="A1519" i="1"/>
  <c r="G1519" i="1"/>
  <c r="H1519" i="1"/>
  <c r="J1519" i="1"/>
  <c r="A1520" i="1"/>
  <c r="G1520" i="1"/>
  <c r="H1520" i="1"/>
  <c r="J1520" i="1"/>
  <c r="A1521" i="1"/>
  <c r="G1521" i="1"/>
  <c r="H1521" i="1"/>
  <c r="J1521" i="1"/>
  <c r="A1522" i="1"/>
  <c r="G1522" i="1"/>
  <c r="H1522" i="1"/>
  <c r="J1522" i="1"/>
  <c r="A1523" i="1"/>
  <c r="G1523" i="1"/>
  <c r="H1523" i="1"/>
  <c r="J1523" i="1"/>
  <c r="A1524" i="1"/>
  <c r="G1524" i="1"/>
  <c r="H1524" i="1"/>
  <c r="J1524" i="1"/>
  <c r="A1525" i="1"/>
  <c r="G1525" i="1"/>
  <c r="H1525" i="1"/>
  <c r="J1525" i="1"/>
  <c r="A1526" i="1"/>
  <c r="G1526" i="1"/>
  <c r="H1526" i="1"/>
  <c r="J1526" i="1"/>
  <c r="A1527" i="1"/>
  <c r="G1527" i="1"/>
  <c r="H1527" i="1"/>
  <c r="J1527" i="1"/>
  <c r="A1528" i="1"/>
  <c r="G1528" i="1"/>
  <c r="H1528" i="1"/>
  <c r="J1528" i="1"/>
  <c r="A1529" i="1"/>
  <c r="G1529" i="1"/>
  <c r="H1529" i="1"/>
  <c r="J1529" i="1"/>
  <c r="A1530" i="1"/>
  <c r="G1530" i="1"/>
  <c r="H1530" i="1"/>
  <c r="J1530" i="1"/>
  <c r="A1531" i="1"/>
  <c r="G1531" i="1"/>
  <c r="H1531" i="1"/>
  <c r="J1531" i="1"/>
  <c r="A1532" i="1"/>
  <c r="G1532" i="1"/>
  <c r="H1532" i="1"/>
  <c r="J1532" i="1"/>
  <c r="A1533" i="1"/>
  <c r="G1533" i="1"/>
  <c r="H1533" i="1"/>
  <c r="J1533" i="1"/>
  <c r="A1534" i="1"/>
  <c r="G1534" i="1"/>
  <c r="H1534" i="1"/>
  <c r="J1534" i="1"/>
  <c r="A1535" i="1"/>
  <c r="G1535" i="1"/>
  <c r="H1535" i="1"/>
  <c r="J1535" i="1"/>
  <c r="A1536" i="1"/>
  <c r="G1536" i="1"/>
  <c r="H1536" i="1"/>
  <c r="J1536" i="1"/>
  <c r="A1537" i="1"/>
  <c r="G1537" i="1"/>
  <c r="H1537" i="1"/>
  <c r="J1537" i="1"/>
  <c r="A1538" i="1"/>
  <c r="G1538" i="1"/>
  <c r="H1538" i="1"/>
  <c r="J1538" i="1"/>
  <c r="A1539" i="1"/>
  <c r="G1539" i="1"/>
  <c r="H1539" i="1"/>
  <c r="J1539" i="1"/>
  <c r="A1540" i="1"/>
  <c r="G1540" i="1"/>
  <c r="H1540" i="1"/>
  <c r="J1540" i="1"/>
  <c r="A1541" i="1"/>
  <c r="G1541" i="1"/>
  <c r="H1541" i="1"/>
  <c r="J1541" i="1"/>
  <c r="A1542" i="1"/>
  <c r="G1542" i="1"/>
  <c r="H1542" i="1"/>
  <c r="J1542" i="1"/>
  <c r="A1543" i="1"/>
  <c r="G1543" i="1"/>
  <c r="H1543" i="1"/>
  <c r="J1543" i="1"/>
  <c r="A1544" i="1"/>
  <c r="G1544" i="1"/>
  <c r="H1544" i="1"/>
  <c r="J1544" i="1"/>
  <c r="A1545" i="1"/>
  <c r="G1545" i="1"/>
  <c r="H1545" i="1"/>
  <c r="J1545" i="1"/>
  <c r="A1546" i="1"/>
  <c r="G1546" i="1"/>
  <c r="H1546" i="1"/>
  <c r="J1546" i="1"/>
  <c r="A1547" i="1"/>
  <c r="G1547" i="1"/>
  <c r="H1547" i="1"/>
  <c r="J1547" i="1"/>
  <c r="A1548" i="1"/>
  <c r="G1548" i="1"/>
  <c r="H1548" i="1"/>
  <c r="J1548" i="1"/>
  <c r="A1549" i="1"/>
  <c r="G1549" i="1"/>
  <c r="H1549" i="1"/>
  <c r="J1549" i="1"/>
  <c r="A1550" i="1"/>
  <c r="G1550" i="1"/>
  <c r="H1550" i="1"/>
  <c r="J1550" i="1"/>
  <c r="A1551" i="1"/>
  <c r="G1551" i="1"/>
  <c r="H1551" i="1"/>
  <c r="J1551" i="1"/>
  <c r="A1552" i="1"/>
  <c r="G1552" i="1"/>
  <c r="H1552" i="1"/>
  <c r="J1552" i="1"/>
  <c r="A1553" i="1"/>
  <c r="G1553" i="1"/>
  <c r="H1553" i="1"/>
  <c r="J1553" i="1"/>
  <c r="A1554" i="1"/>
  <c r="G1554" i="1"/>
  <c r="H1554" i="1"/>
  <c r="J1554" i="1"/>
  <c r="A1555" i="1"/>
  <c r="G1555" i="1"/>
  <c r="H1555" i="1"/>
  <c r="J1555" i="1"/>
  <c r="A1556" i="1"/>
  <c r="G1556" i="1"/>
  <c r="H1556" i="1"/>
  <c r="J1556" i="1"/>
  <c r="A1557" i="1"/>
  <c r="G1557" i="1"/>
  <c r="H1557" i="1"/>
  <c r="J1557" i="1"/>
  <c r="A1558" i="1"/>
  <c r="G1558" i="1"/>
  <c r="H1558" i="1"/>
  <c r="J1558" i="1"/>
  <c r="A1559" i="1"/>
  <c r="G1559" i="1"/>
  <c r="H1559" i="1"/>
  <c r="J1559" i="1"/>
  <c r="A1560" i="1"/>
  <c r="G1560" i="1"/>
  <c r="H1560" i="1"/>
  <c r="J1560" i="1"/>
  <c r="A1561" i="1"/>
  <c r="G1561" i="1"/>
  <c r="H1561" i="1"/>
  <c r="J1561" i="1"/>
  <c r="A1562" i="1"/>
  <c r="G1562" i="1"/>
  <c r="H1562" i="1"/>
  <c r="J1562" i="1"/>
  <c r="A1563" i="1"/>
  <c r="G1563" i="1"/>
  <c r="H1563" i="1"/>
  <c r="J1563" i="1"/>
  <c r="A1564" i="1"/>
  <c r="G1564" i="1"/>
  <c r="H1564" i="1"/>
  <c r="J1564" i="1"/>
  <c r="A1565" i="1"/>
  <c r="G1565" i="1"/>
  <c r="H1565" i="1"/>
  <c r="J1565" i="1"/>
  <c r="A1566" i="1"/>
  <c r="G1566" i="1"/>
  <c r="H1566" i="1"/>
  <c r="J1566" i="1"/>
  <c r="A1567" i="1"/>
  <c r="G1567" i="1"/>
  <c r="H1567" i="1"/>
  <c r="J1567" i="1"/>
  <c r="A1568" i="1"/>
  <c r="G1568" i="1"/>
  <c r="H1568" i="1"/>
  <c r="J1568" i="1"/>
  <c r="A1569" i="1"/>
  <c r="G1569" i="1"/>
  <c r="H1569" i="1"/>
  <c r="J1569" i="1"/>
  <c r="A1570" i="1"/>
  <c r="G1570" i="1"/>
  <c r="H1570" i="1"/>
  <c r="J1570" i="1"/>
  <c r="A1571" i="1"/>
  <c r="G1571" i="1"/>
  <c r="H1571" i="1"/>
  <c r="J1571" i="1"/>
  <c r="A1572" i="1"/>
  <c r="G1572" i="1"/>
  <c r="H1572" i="1"/>
  <c r="J1572" i="1"/>
  <c r="A1573" i="1"/>
  <c r="G1573" i="1"/>
  <c r="H1573" i="1"/>
  <c r="J1573" i="1"/>
  <c r="A1574" i="1"/>
  <c r="G1574" i="1"/>
  <c r="H1574" i="1"/>
  <c r="J1574" i="1"/>
  <c r="A1575" i="1"/>
  <c r="G1575" i="1"/>
  <c r="H1575" i="1"/>
  <c r="J1575" i="1"/>
  <c r="A1576" i="1"/>
  <c r="G1576" i="1"/>
  <c r="H1576" i="1"/>
  <c r="J1576" i="1"/>
  <c r="A1577" i="1"/>
  <c r="G1577" i="1"/>
  <c r="H1577" i="1"/>
  <c r="J1577" i="1"/>
  <c r="A1578" i="1"/>
  <c r="G1578" i="1"/>
  <c r="H1578" i="1"/>
  <c r="J1578" i="1"/>
  <c r="A1579" i="1"/>
  <c r="G1579" i="1"/>
  <c r="H1579" i="1"/>
  <c r="J1579" i="1"/>
  <c r="A1580" i="1"/>
  <c r="G1580" i="1"/>
  <c r="H1580" i="1"/>
  <c r="J1580" i="1"/>
  <c r="A1581" i="1"/>
  <c r="G1581" i="1"/>
  <c r="H1581" i="1"/>
  <c r="J1581" i="1"/>
  <c r="A1582" i="1"/>
  <c r="G1582" i="1"/>
  <c r="H1582" i="1"/>
  <c r="J1582" i="1"/>
  <c r="A1583" i="1"/>
  <c r="G1583" i="1"/>
  <c r="H1583" i="1"/>
  <c r="J1583" i="1"/>
  <c r="A1584" i="1"/>
  <c r="G1584" i="1"/>
  <c r="H1584" i="1"/>
  <c r="J1584" i="1"/>
  <c r="A1585" i="1"/>
  <c r="G1585" i="1"/>
  <c r="H1585" i="1"/>
  <c r="J1585" i="1"/>
  <c r="A1586" i="1"/>
  <c r="G1586" i="1"/>
  <c r="H1586" i="1"/>
  <c r="J1586" i="1"/>
  <c r="A1587" i="1"/>
  <c r="G1587" i="1"/>
  <c r="H1587" i="1"/>
  <c r="J1587" i="1"/>
  <c r="A1588" i="1"/>
  <c r="G1588" i="1"/>
  <c r="H1588" i="1"/>
  <c r="J1588" i="1"/>
  <c r="A1589" i="1"/>
  <c r="G1589" i="1"/>
  <c r="H1589" i="1"/>
  <c r="J1589" i="1"/>
  <c r="A1590" i="1"/>
  <c r="G1590" i="1"/>
  <c r="H1590" i="1"/>
  <c r="J1590" i="1"/>
  <c r="A1591" i="1"/>
  <c r="G1591" i="1"/>
  <c r="H1591" i="1"/>
  <c r="J1591" i="1"/>
  <c r="A1592" i="1"/>
  <c r="G1592" i="1"/>
  <c r="H1592" i="1"/>
  <c r="J1592" i="1"/>
  <c r="A1593" i="1"/>
  <c r="G1593" i="1"/>
  <c r="H1593" i="1"/>
  <c r="J1593" i="1"/>
  <c r="A1594" i="1"/>
  <c r="G1594" i="1"/>
  <c r="H1594" i="1"/>
  <c r="J1594" i="1"/>
  <c r="A1595" i="1"/>
  <c r="G1595" i="1"/>
  <c r="H1595" i="1"/>
  <c r="J1595" i="1"/>
  <c r="A1596" i="1"/>
  <c r="G1596" i="1"/>
  <c r="H1596" i="1"/>
  <c r="J1596" i="1"/>
  <c r="A1597" i="1"/>
  <c r="G1597" i="1"/>
  <c r="H1597" i="1"/>
  <c r="J1597" i="1"/>
  <c r="A1598" i="1"/>
  <c r="G1598" i="1"/>
  <c r="H1598" i="1"/>
  <c r="J1598" i="1"/>
  <c r="A1599" i="1"/>
  <c r="G1599" i="1"/>
  <c r="H1599" i="1"/>
  <c r="J1599" i="1"/>
  <c r="A1600" i="1"/>
  <c r="G1600" i="1"/>
  <c r="H1600" i="1"/>
  <c r="J1600" i="1"/>
  <c r="A1601" i="1"/>
  <c r="G1601" i="1"/>
  <c r="H1601" i="1"/>
  <c r="J1601" i="1"/>
  <c r="A1602" i="1"/>
  <c r="G1602" i="1"/>
  <c r="H1602" i="1"/>
  <c r="J1602" i="1"/>
  <c r="A1603" i="1"/>
  <c r="G1603" i="1"/>
  <c r="H1603" i="1"/>
  <c r="J1603" i="1"/>
  <c r="A1604" i="1"/>
  <c r="G1604" i="1"/>
  <c r="H1604" i="1"/>
  <c r="J1604" i="1"/>
  <c r="A1605" i="1"/>
  <c r="G1605" i="1"/>
  <c r="H1605" i="1"/>
  <c r="J1605" i="1"/>
  <c r="A1606" i="1"/>
  <c r="G1606" i="1"/>
  <c r="H1606" i="1"/>
  <c r="J1606" i="1"/>
  <c r="A1607" i="1"/>
  <c r="G1607" i="1"/>
  <c r="H1607" i="1"/>
  <c r="J1607" i="1"/>
  <c r="A1608" i="1"/>
  <c r="G1608" i="1"/>
  <c r="H1608" i="1"/>
  <c r="J1608" i="1"/>
  <c r="A1609" i="1"/>
  <c r="G1609" i="1"/>
  <c r="H1609" i="1"/>
  <c r="J1609" i="1"/>
  <c r="A1610" i="1"/>
  <c r="G1610" i="1"/>
  <c r="H1610" i="1"/>
  <c r="J1610" i="1"/>
  <c r="A1611" i="1"/>
  <c r="G1611" i="1"/>
  <c r="H1611" i="1"/>
  <c r="J1611" i="1"/>
  <c r="A1612" i="1"/>
  <c r="G1612" i="1"/>
  <c r="H1612" i="1"/>
  <c r="J1612" i="1"/>
  <c r="A1613" i="1"/>
  <c r="G1613" i="1"/>
  <c r="H1613" i="1"/>
  <c r="J1613" i="1"/>
  <c r="A1614" i="1"/>
  <c r="G1614" i="1"/>
  <c r="H1614" i="1"/>
  <c r="J1614" i="1"/>
  <c r="A1615" i="1"/>
  <c r="G1615" i="1"/>
  <c r="H1615" i="1"/>
  <c r="J1615" i="1"/>
  <c r="A1616" i="1"/>
  <c r="G1616" i="1"/>
  <c r="H1616" i="1"/>
  <c r="J1616" i="1"/>
  <c r="A1617" i="1"/>
  <c r="G1617" i="1"/>
  <c r="H1617" i="1"/>
  <c r="J1617" i="1"/>
  <c r="A1618" i="1"/>
  <c r="G1618" i="1"/>
  <c r="H1618" i="1"/>
  <c r="J1618" i="1"/>
  <c r="A1619" i="1"/>
  <c r="G1619" i="1"/>
  <c r="H1619" i="1"/>
  <c r="J1619" i="1"/>
  <c r="A1620" i="1"/>
  <c r="G1620" i="1"/>
  <c r="H1620" i="1"/>
  <c r="J1620" i="1"/>
  <c r="A1621" i="1"/>
  <c r="G1621" i="1"/>
  <c r="H1621" i="1"/>
  <c r="J1621" i="1"/>
  <c r="A1622" i="1"/>
  <c r="G1622" i="1"/>
  <c r="H1622" i="1"/>
  <c r="J1622" i="1"/>
  <c r="A1623" i="1"/>
  <c r="G1623" i="1"/>
  <c r="H1623" i="1"/>
  <c r="J1623" i="1"/>
  <c r="A1624" i="1"/>
  <c r="G1624" i="1"/>
  <c r="H1624" i="1"/>
  <c r="J1624" i="1"/>
  <c r="A1625" i="1"/>
  <c r="G1625" i="1"/>
  <c r="H1625" i="1"/>
  <c r="J1625" i="1"/>
  <c r="A1626" i="1"/>
  <c r="G1626" i="1"/>
  <c r="H1626" i="1"/>
  <c r="J1626" i="1"/>
  <c r="A1627" i="1"/>
  <c r="G1627" i="1"/>
  <c r="H1627" i="1"/>
  <c r="J1627" i="1"/>
  <c r="A1628" i="1"/>
  <c r="G1628" i="1"/>
  <c r="H1628" i="1"/>
  <c r="J1628" i="1"/>
  <c r="A1629" i="1"/>
  <c r="G1629" i="1"/>
  <c r="H1629" i="1"/>
  <c r="J1629" i="1"/>
  <c r="A1630" i="1"/>
  <c r="G1630" i="1"/>
  <c r="H1630" i="1"/>
  <c r="J1630" i="1"/>
  <c r="A1631" i="1"/>
  <c r="G1631" i="1"/>
  <c r="H1631" i="1"/>
  <c r="J1631" i="1"/>
  <c r="A1632" i="1"/>
  <c r="G1632" i="1"/>
  <c r="H1632" i="1"/>
  <c r="J1632" i="1"/>
  <c r="A1633" i="1"/>
  <c r="G1633" i="1"/>
  <c r="H1633" i="1"/>
  <c r="J1633" i="1"/>
  <c r="A1634" i="1"/>
  <c r="G1634" i="1"/>
  <c r="H1634" i="1"/>
  <c r="J1634" i="1"/>
  <c r="A1635" i="1"/>
  <c r="G1635" i="1"/>
  <c r="H1635" i="1"/>
  <c r="J1635" i="1"/>
  <c r="A1636" i="1"/>
  <c r="G1636" i="1"/>
  <c r="H1636" i="1"/>
  <c r="J1636" i="1"/>
  <c r="A1637" i="1"/>
  <c r="G1637" i="1"/>
  <c r="H1637" i="1"/>
  <c r="J1637" i="1"/>
  <c r="A1638" i="1"/>
  <c r="G1638" i="1"/>
  <c r="H1638" i="1"/>
  <c r="J1638" i="1"/>
  <c r="A1639" i="1"/>
  <c r="G1639" i="1"/>
  <c r="H1639" i="1"/>
  <c r="J1639" i="1"/>
  <c r="A1640" i="1"/>
  <c r="G1640" i="1"/>
  <c r="H1640" i="1"/>
  <c r="J1640" i="1"/>
  <c r="A1641" i="1"/>
  <c r="G1641" i="1"/>
  <c r="H1641" i="1"/>
  <c r="J1641" i="1"/>
  <c r="A1642" i="1"/>
  <c r="I1642" i="1"/>
  <c r="J1642" i="1"/>
  <c r="A1643" i="1"/>
  <c r="G1643" i="1"/>
  <c r="H1643" i="1"/>
  <c r="J1643" i="1"/>
  <c r="A1644" i="1"/>
  <c r="G1644" i="1"/>
  <c r="H1644" i="1"/>
  <c r="J1644" i="1"/>
  <c r="A1645" i="1"/>
  <c r="G1645" i="1"/>
  <c r="H1645" i="1"/>
  <c r="J1645" i="1"/>
  <c r="A1646" i="1"/>
  <c r="G1646" i="1"/>
  <c r="H1646" i="1"/>
  <c r="J1646" i="1"/>
  <c r="A1647" i="1"/>
  <c r="G1647" i="1"/>
  <c r="H1647" i="1"/>
  <c r="J1647" i="1"/>
  <c r="A1648" i="1"/>
  <c r="G1648" i="1"/>
  <c r="H1648" i="1"/>
  <c r="J1648" i="1"/>
  <c r="A1649" i="1"/>
  <c r="G1649" i="1"/>
  <c r="H1649" i="1"/>
  <c r="J1649" i="1"/>
  <c r="A1650" i="1"/>
  <c r="G1650" i="1"/>
  <c r="H1650" i="1"/>
  <c r="J1650" i="1"/>
  <c r="A1651" i="1"/>
  <c r="G1651" i="1"/>
  <c r="H1651" i="1"/>
  <c r="J1651" i="1"/>
  <c r="A1652" i="1"/>
  <c r="G1652" i="1"/>
  <c r="H1652" i="1"/>
  <c r="J1652" i="1"/>
  <c r="A1653" i="1"/>
  <c r="G1653" i="1"/>
  <c r="H1653" i="1"/>
  <c r="J1653" i="1"/>
  <c r="A1654" i="1"/>
  <c r="G1654" i="1"/>
  <c r="H1654" i="1"/>
  <c r="J1654" i="1"/>
  <c r="A1655" i="1"/>
  <c r="G1655" i="1"/>
  <c r="H1655" i="1"/>
  <c r="J1655" i="1"/>
  <c r="A1656" i="1"/>
  <c r="G1656" i="1"/>
  <c r="H1656" i="1"/>
  <c r="J1656" i="1"/>
  <c r="A1657" i="1"/>
  <c r="I1657" i="1"/>
  <c r="J1657" i="1"/>
  <c r="A1658" i="1"/>
  <c r="G1658" i="1"/>
  <c r="H1658" i="1"/>
  <c r="J1658" i="1"/>
  <c r="A1659" i="1"/>
  <c r="G1659" i="1"/>
  <c r="H1659" i="1"/>
  <c r="J1659" i="1"/>
  <c r="A1660" i="1"/>
  <c r="G1660" i="1"/>
  <c r="H1660" i="1"/>
  <c r="J1660" i="1"/>
  <c r="A1661" i="1"/>
  <c r="G1661" i="1"/>
  <c r="H1661" i="1"/>
  <c r="J1661" i="1"/>
  <c r="A1662" i="1"/>
  <c r="G1662" i="1"/>
  <c r="H1662" i="1"/>
  <c r="J1662" i="1"/>
  <c r="A1663" i="1"/>
  <c r="G1663" i="1"/>
  <c r="H1663" i="1"/>
  <c r="J1663" i="1"/>
  <c r="A1664" i="1"/>
  <c r="G1664" i="1"/>
  <c r="H1664" i="1"/>
  <c r="J1664" i="1"/>
  <c r="A1665" i="1"/>
  <c r="G1665" i="1"/>
  <c r="H1665" i="1"/>
  <c r="J1665" i="1"/>
  <c r="A1666" i="1"/>
  <c r="G1666" i="1"/>
  <c r="H1666" i="1"/>
  <c r="J1666" i="1"/>
  <c r="A1667" i="1"/>
  <c r="G1667" i="1"/>
  <c r="H1667" i="1"/>
  <c r="J1667" i="1"/>
  <c r="A1668" i="1"/>
  <c r="G1668" i="1"/>
  <c r="H1668" i="1"/>
  <c r="A1669" i="1"/>
  <c r="G1669" i="1"/>
  <c r="H1669" i="1"/>
  <c r="J1669" i="1"/>
  <c r="A1670" i="1"/>
  <c r="G1670" i="1"/>
  <c r="H1670" i="1"/>
  <c r="J1670" i="1"/>
  <c r="A1671" i="1"/>
  <c r="G1671" i="1"/>
  <c r="H1671" i="1"/>
  <c r="J1671" i="1"/>
  <c r="A1672" i="1"/>
  <c r="G1672" i="1"/>
  <c r="H1672" i="1"/>
  <c r="J1672" i="1"/>
  <c r="A1673" i="1"/>
  <c r="G1673" i="1"/>
  <c r="H1673" i="1"/>
  <c r="J1673" i="1"/>
  <c r="A1674" i="1"/>
  <c r="G1674" i="1"/>
  <c r="H1674" i="1"/>
  <c r="J1674" i="1"/>
  <c r="A1675" i="1"/>
  <c r="G1675" i="1"/>
  <c r="H1675" i="1"/>
  <c r="J1675" i="1"/>
  <c r="A1676" i="1"/>
  <c r="G1676" i="1"/>
  <c r="H1676" i="1"/>
  <c r="J1676" i="1"/>
  <c r="A1677" i="1"/>
  <c r="G1677" i="1"/>
  <c r="H1677" i="1"/>
  <c r="J1677" i="1"/>
  <c r="A1678" i="1"/>
  <c r="G1678" i="1"/>
  <c r="H1678" i="1"/>
  <c r="J1678" i="1"/>
  <c r="A1679" i="1"/>
  <c r="G1679" i="1"/>
  <c r="H1679" i="1"/>
  <c r="J1679" i="1"/>
  <c r="A1680" i="1"/>
  <c r="G1680" i="1"/>
  <c r="H1680" i="1"/>
  <c r="J1680" i="1"/>
  <c r="A1681" i="1"/>
  <c r="G1681" i="1"/>
  <c r="H1681" i="1"/>
  <c r="J1681" i="1"/>
  <c r="A1682" i="1"/>
  <c r="G1682" i="1"/>
  <c r="H1682" i="1"/>
  <c r="J1682" i="1"/>
  <c r="A1683" i="1"/>
  <c r="G1683" i="1"/>
  <c r="H1683" i="1"/>
  <c r="J1683" i="1"/>
  <c r="A1684" i="1"/>
  <c r="G1684" i="1"/>
  <c r="H1684" i="1"/>
  <c r="J1684" i="1"/>
  <c r="A1685" i="1"/>
  <c r="G1685" i="1"/>
  <c r="H1685" i="1"/>
  <c r="J1685" i="1"/>
  <c r="A1686" i="1"/>
  <c r="G1686" i="1"/>
  <c r="H1686" i="1"/>
  <c r="J1686" i="1"/>
  <c r="A1687" i="1"/>
  <c r="G1687" i="1"/>
  <c r="H1687" i="1"/>
  <c r="J1687" i="1"/>
  <c r="A1688" i="1"/>
  <c r="G1688" i="1"/>
  <c r="H1688" i="1"/>
  <c r="J1688" i="1"/>
  <c r="A1689" i="1"/>
  <c r="G1689" i="1"/>
  <c r="H1689" i="1"/>
  <c r="J1689" i="1"/>
  <c r="A1690" i="1"/>
  <c r="G1690" i="1"/>
  <c r="H1690" i="1"/>
  <c r="J1690" i="1"/>
  <c r="A1691" i="1"/>
  <c r="G1691" i="1"/>
  <c r="H1691" i="1"/>
  <c r="J1691" i="1"/>
  <c r="A1692" i="1"/>
  <c r="G1692" i="1"/>
  <c r="H1692" i="1"/>
  <c r="J1692" i="1"/>
  <c r="A1693" i="1"/>
  <c r="G1693" i="1"/>
  <c r="H1693" i="1"/>
  <c r="J1693" i="1"/>
  <c r="A1694" i="1"/>
  <c r="G1694" i="1"/>
  <c r="H1694" i="1"/>
  <c r="J1694" i="1"/>
  <c r="A1695" i="1"/>
  <c r="G1695" i="1"/>
  <c r="H1695" i="1"/>
  <c r="J1695" i="1"/>
  <c r="A1696" i="1"/>
  <c r="G1696" i="1"/>
  <c r="H1696" i="1"/>
  <c r="J1696" i="1"/>
  <c r="A1697" i="1"/>
  <c r="G1697" i="1"/>
  <c r="H1697" i="1"/>
  <c r="J1697" i="1"/>
  <c r="A1698" i="1"/>
  <c r="G1698" i="1"/>
  <c r="H1698" i="1"/>
  <c r="J1698" i="1"/>
  <c r="A1699" i="1"/>
  <c r="G1699" i="1"/>
  <c r="H1699" i="1"/>
  <c r="J1699" i="1"/>
  <c r="A1700" i="1"/>
  <c r="G1700" i="1"/>
  <c r="H1700" i="1"/>
  <c r="J1700" i="1"/>
  <c r="A1701" i="1"/>
  <c r="G1701" i="1"/>
  <c r="H1701" i="1"/>
  <c r="J1701" i="1"/>
  <c r="A1702" i="1"/>
  <c r="G1702" i="1"/>
  <c r="H1702" i="1"/>
  <c r="J1702" i="1"/>
  <c r="A1703" i="1"/>
  <c r="G1703" i="1"/>
  <c r="H1703" i="1"/>
  <c r="J1703" i="1"/>
  <c r="A1704" i="1"/>
  <c r="G1704" i="1"/>
  <c r="H1704" i="1"/>
  <c r="J1704" i="1"/>
  <c r="A1705" i="1"/>
  <c r="G1705" i="1"/>
  <c r="H1705" i="1"/>
  <c r="J1705" i="1"/>
  <c r="A1706" i="1"/>
  <c r="G1706" i="1"/>
  <c r="H1706" i="1"/>
  <c r="J1706" i="1"/>
  <c r="A1707" i="1"/>
  <c r="G1707" i="1"/>
  <c r="H1707" i="1"/>
  <c r="J1707" i="1"/>
  <c r="A1708" i="1"/>
  <c r="G1708" i="1"/>
  <c r="H1708" i="1"/>
  <c r="J1708" i="1"/>
  <c r="A1709" i="1"/>
  <c r="G1709" i="1"/>
  <c r="H1709" i="1"/>
  <c r="J1709" i="1"/>
  <c r="A1710" i="1"/>
  <c r="G1710" i="1"/>
  <c r="H1710" i="1"/>
  <c r="J1710" i="1"/>
  <c r="A1711" i="1"/>
  <c r="G1711" i="1"/>
  <c r="H1711" i="1"/>
  <c r="J1711" i="1"/>
  <c r="A1712" i="1"/>
  <c r="G1712" i="1"/>
  <c r="H1712" i="1"/>
  <c r="J1712" i="1"/>
  <c r="A1713" i="1"/>
  <c r="G1713" i="1"/>
  <c r="H1713" i="1"/>
  <c r="J1713" i="1"/>
  <c r="A1714" i="1"/>
  <c r="G1714" i="1"/>
  <c r="H1714" i="1"/>
  <c r="J1714" i="1"/>
  <c r="A1715" i="1"/>
  <c r="G1715" i="1"/>
  <c r="H1715" i="1"/>
  <c r="J1715" i="1"/>
  <c r="A1716" i="1"/>
  <c r="G1716" i="1"/>
  <c r="H1716" i="1"/>
  <c r="J1716" i="1"/>
  <c r="A1717" i="1"/>
  <c r="G1717" i="1"/>
  <c r="H1717" i="1"/>
  <c r="J1717" i="1"/>
  <c r="A1718" i="1"/>
  <c r="G1718" i="1"/>
  <c r="H1718" i="1"/>
  <c r="J1718" i="1"/>
  <c r="A1719" i="1"/>
  <c r="G1719" i="1"/>
  <c r="H1719" i="1"/>
  <c r="J1719" i="1"/>
  <c r="A1720" i="1"/>
  <c r="G1720" i="1"/>
  <c r="H1720" i="1"/>
  <c r="J1720" i="1"/>
  <c r="A1721" i="1"/>
  <c r="G1721" i="1"/>
  <c r="H1721" i="1"/>
  <c r="J1721" i="1"/>
  <c r="A1722" i="1"/>
  <c r="G1722" i="1"/>
  <c r="H1722" i="1"/>
  <c r="J1722" i="1"/>
  <c r="A1723" i="1"/>
  <c r="G1723" i="1"/>
  <c r="H1723" i="1"/>
  <c r="J1723" i="1"/>
  <c r="A1724" i="1"/>
  <c r="G1724" i="1"/>
  <c r="H1724" i="1"/>
  <c r="J1724" i="1"/>
  <c r="A1725" i="1"/>
  <c r="G1725" i="1"/>
  <c r="H1725" i="1"/>
  <c r="J1725" i="1"/>
  <c r="A1726" i="1"/>
  <c r="G1726" i="1"/>
  <c r="H1726" i="1"/>
  <c r="J1726" i="1"/>
  <c r="A1727" i="1"/>
  <c r="G1727" i="1"/>
  <c r="H1727" i="1"/>
  <c r="J1727" i="1"/>
  <c r="A1728" i="1"/>
  <c r="G1728" i="1"/>
  <c r="H1728" i="1"/>
  <c r="J1728" i="1"/>
  <c r="A1729" i="1"/>
  <c r="G1729" i="1"/>
  <c r="H1729" i="1"/>
  <c r="J1729" i="1"/>
  <c r="A1730" i="1"/>
  <c r="G1730" i="1"/>
  <c r="H1730" i="1"/>
  <c r="J1730" i="1"/>
  <c r="A1731" i="1"/>
  <c r="G1731" i="1"/>
  <c r="H1731" i="1"/>
  <c r="J1731" i="1"/>
  <c r="A1732" i="1"/>
  <c r="G1732" i="1"/>
  <c r="H1732" i="1"/>
  <c r="J1732" i="1"/>
  <c r="A1733" i="1"/>
  <c r="G1733" i="1"/>
  <c r="H1733" i="1"/>
  <c r="J1733" i="1"/>
  <c r="A1734" i="1"/>
  <c r="G1734" i="1"/>
  <c r="H1734" i="1"/>
  <c r="J1734" i="1"/>
  <c r="A1735" i="1"/>
  <c r="G1735" i="1"/>
  <c r="H1735" i="1"/>
  <c r="J1735" i="1"/>
  <c r="A1736" i="1"/>
  <c r="G1736" i="1"/>
  <c r="H1736" i="1"/>
  <c r="J1736" i="1"/>
  <c r="A1737" i="1"/>
  <c r="G1737" i="1"/>
  <c r="H1737" i="1"/>
  <c r="J1737" i="1"/>
  <c r="A1738" i="1"/>
  <c r="G1738" i="1"/>
  <c r="H1738" i="1"/>
  <c r="J1738" i="1"/>
  <c r="A1739" i="1"/>
  <c r="G1739" i="1"/>
  <c r="H1739" i="1"/>
  <c r="J1739" i="1"/>
  <c r="A1740" i="1"/>
  <c r="G1740" i="1"/>
  <c r="H1740" i="1"/>
  <c r="J1740" i="1"/>
  <c r="A1741" i="1"/>
  <c r="G1741" i="1"/>
  <c r="H1741" i="1"/>
  <c r="J1741" i="1"/>
  <c r="A1742" i="1"/>
  <c r="G1742" i="1"/>
  <c r="H1742" i="1"/>
  <c r="J1742" i="1"/>
  <c r="A1743" i="1"/>
  <c r="G1743" i="1"/>
  <c r="H1743" i="1"/>
  <c r="J1743" i="1"/>
  <c r="A1744" i="1"/>
  <c r="G1744" i="1"/>
  <c r="H1744" i="1"/>
  <c r="J1744" i="1"/>
  <c r="A1745" i="1"/>
  <c r="G1745" i="1"/>
  <c r="H1745" i="1"/>
  <c r="J1745" i="1"/>
  <c r="A1746" i="1"/>
  <c r="G1746" i="1"/>
  <c r="H1746" i="1"/>
  <c r="J1746" i="1"/>
  <c r="A1747" i="1"/>
  <c r="G1747" i="1"/>
  <c r="H1747" i="1"/>
  <c r="J1747" i="1"/>
  <c r="A1748" i="1"/>
  <c r="G1748" i="1"/>
  <c r="H1748" i="1"/>
  <c r="J1748" i="1"/>
  <c r="A1749" i="1"/>
  <c r="G1749" i="1"/>
  <c r="H1749" i="1"/>
  <c r="J1749" i="1"/>
  <c r="A1750" i="1"/>
  <c r="G1750" i="1"/>
  <c r="H1750" i="1"/>
  <c r="J1750" i="1"/>
  <c r="A1751" i="1"/>
  <c r="G1751" i="1"/>
  <c r="H1751" i="1"/>
  <c r="J1751" i="1"/>
  <c r="A1752" i="1"/>
  <c r="G1752" i="1"/>
  <c r="H1752" i="1"/>
  <c r="J1752" i="1"/>
  <c r="A1753" i="1"/>
  <c r="G1753" i="1"/>
  <c r="H1753" i="1"/>
  <c r="J1753" i="1"/>
  <c r="A1754" i="1"/>
  <c r="G1754" i="1"/>
  <c r="H1754" i="1"/>
  <c r="J1754" i="1"/>
  <c r="A1755" i="1"/>
  <c r="G1755" i="1"/>
  <c r="H1755" i="1"/>
  <c r="J1755" i="1"/>
  <c r="A1756" i="1"/>
  <c r="G1756" i="1"/>
  <c r="H1756" i="1"/>
  <c r="J1756" i="1"/>
  <c r="A1757" i="1"/>
  <c r="G1757" i="1"/>
  <c r="H1757" i="1"/>
  <c r="J1757" i="1"/>
  <c r="A1758" i="1"/>
  <c r="G1758" i="1"/>
  <c r="H1758" i="1"/>
  <c r="J1758" i="1"/>
  <c r="A1759" i="1"/>
  <c r="G1759" i="1"/>
  <c r="H1759" i="1"/>
  <c r="J1759" i="1"/>
  <c r="A1760" i="1"/>
  <c r="G1760" i="1"/>
  <c r="H1760" i="1"/>
  <c r="J1760" i="1"/>
  <c r="A1761" i="1"/>
  <c r="G1761" i="1"/>
  <c r="H1761" i="1"/>
  <c r="J1761" i="1"/>
  <c r="A1762" i="1"/>
  <c r="G1762" i="1"/>
  <c r="H1762" i="1"/>
  <c r="J1762" i="1"/>
  <c r="A1763" i="1"/>
  <c r="G1763" i="1"/>
  <c r="H1763" i="1"/>
  <c r="J1763" i="1"/>
  <c r="A1764" i="1"/>
  <c r="G1764" i="1"/>
  <c r="H1764" i="1"/>
  <c r="J1764" i="1"/>
  <c r="A1765" i="1"/>
  <c r="G1765" i="1"/>
  <c r="H1765" i="1"/>
  <c r="J1765" i="1"/>
  <c r="A1766" i="1"/>
  <c r="G1766" i="1"/>
  <c r="H1766" i="1"/>
  <c r="J1766" i="1"/>
  <c r="A1767" i="1"/>
  <c r="G1767" i="1"/>
  <c r="H1767" i="1"/>
  <c r="J1767" i="1"/>
  <c r="A1768" i="1"/>
  <c r="G1768" i="1"/>
  <c r="H1768" i="1"/>
  <c r="J1768" i="1"/>
  <c r="A1769" i="1"/>
  <c r="G1769" i="1"/>
  <c r="H1769" i="1"/>
  <c r="J1769" i="1"/>
  <c r="A1770" i="1"/>
  <c r="G1770" i="1"/>
  <c r="H1770" i="1"/>
  <c r="J1770" i="1"/>
  <c r="A1771" i="1"/>
  <c r="I1771" i="1"/>
  <c r="J1771" i="1"/>
  <c r="A1772" i="1"/>
  <c r="G1772" i="1"/>
  <c r="H1772" i="1"/>
  <c r="J1772" i="1"/>
  <c r="A1773" i="1"/>
  <c r="I1773" i="1"/>
  <c r="J1773" i="1"/>
  <c r="A1774" i="1"/>
  <c r="I1774" i="1"/>
  <c r="J1774" i="1"/>
  <c r="A1775" i="1"/>
  <c r="I1775" i="1"/>
  <c r="J1775" i="1"/>
  <c r="A1776" i="1"/>
  <c r="G1776" i="1"/>
  <c r="H1776" i="1"/>
  <c r="J1776" i="1"/>
  <c r="A1777" i="1"/>
  <c r="G1777" i="1"/>
  <c r="H1777" i="1"/>
  <c r="J1777" i="1"/>
  <c r="A1778" i="1"/>
  <c r="G1778" i="1"/>
  <c r="H1778" i="1"/>
  <c r="J1778" i="1"/>
  <c r="A1779" i="1"/>
  <c r="G1779" i="1"/>
  <c r="H1779" i="1"/>
  <c r="J1779" i="1"/>
  <c r="A1780" i="1"/>
  <c r="G1780" i="1"/>
  <c r="H1780" i="1"/>
  <c r="J1780" i="1"/>
  <c r="A1781" i="1"/>
  <c r="G1781" i="1"/>
  <c r="H1781" i="1"/>
  <c r="J1781" i="1"/>
  <c r="A1782" i="1"/>
  <c r="G1782" i="1"/>
  <c r="H1782" i="1"/>
  <c r="J1782" i="1"/>
  <c r="A1783" i="1"/>
  <c r="G1783" i="1"/>
  <c r="H1783" i="1"/>
  <c r="A1784" i="1"/>
  <c r="G1784" i="1"/>
  <c r="H1784" i="1"/>
  <c r="J1784" i="1"/>
  <c r="A1785" i="1"/>
  <c r="G1785" i="1"/>
  <c r="H1785" i="1"/>
  <c r="J1785" i="1"/>
  <c r="A1786" i="1"/>
  <c r="G1786" i="1"/>
  <c r="H1786" i="1"/>
  <c r="J1786" i="1"/>
  <c r="A1787" i="1"/>
  <c r="G1787" i="1"/>
  <c r="H1787" i="1"/>
  <c r="J1787" i="1"/>
  <c r="A1788" i="1"/>
  <c r="G1788" i="1"/>
  <c r="H1788" i="1"/>
  <c r="J1788" i="1"/>
  <c r="A1789" i="1"/>
  <c r="G1789" i="1"/>
  <c r="H1789" i="1"/>
  <c r="J1789" i="1"/>
  <c r="A1790" i="1"/>
  <c r="G1790" i="1"/>
  <c r="H1790" i="1"/>
  <c r="J1790" i="1"/>
  <c r="A1791" i="1"/>
  <c r="G1791" i="1"/>
  <c r="H1791" i="1"/>
  <c r="J1791" i="1"/>
  <c r="A1792" i="1"/>
  <c r="G1792" i="1"/>
  <c r="H1792" i="1"/>
  <c r="J1792" i="1"/>
  <c r="A1793" i="1"/>
  <c r="G1793" i="1"/>
  <c r="H1793" i="1"/>
  <c r="J1793" i="1"/>
  <c r="A1794" i="1"/>
  <c r="G1794" i="1"/>
  <c r="H1794" i="1"/>
  <c r="J1794" i="1"/>
  <c r="A1795" i="1"/>
  <c r="G1795" i="1"/>
  <c r="H1795" i="1"/>
  <c r="J1795" i="1"/>
  <c r="A1796" i="1"/>
  <c r="G1796" i="1"/>
  <c r="H1796" i="1"/>
  <c r="J1796" i="1"/>
  <c r="A1797" i="1"/>
  <c r="G1797" i="1"/>
  <c r="H1797" i="1"/>
  <c r="J1797" i="1"/>
  <c r="A1798" i="1"/>
  <c r="G1798" i="1"/>
  <c r="H1798" i="1"/>
  <c r="J1798" i="1"/>
  <c r="A1799" i="1"/>
  <c r="G1799" i="1"/>
  <c r="H1799" i="1"/>
  <c r="J1799" i="1"/>
  <c r="A1800" i="1"/>
  <c r="G1800" i="1"/>
  <c r="H1800" i="1"/>
  <c r="J1800" i="1"/>
  <c r="A1801" i="1"/>
  <c r="G1801" i="1"/>
  <c r="H1801" i="1"/>
  <c r="J1801" i="1"/>
  <c r="A1802" i="1"/>
  <c r="G1802" i="1"/>
  <c r="H1802" i="1"/>
  <c r="J1802" i="1"/>
  <c r="A1803" i="1"/>
  <c r="G1803" i="1"/>
  <c r="H1803" i="1"/>
  <c r="J1803" i="1"/>
  <c r="A1804" i="1"/>
  <c r="G1804" i="1"/>
  <c r="H1804" i="1"/>
  <c r="J1804" i="1"/>
  <c r="A1805" i="1"/>
  <c r="G1805" i="1"/>
  <c r="H1805" i="1"/>
  <c r="J1805" i="1"/>
  <c r="A1806" i="1"/>
  <c r="G1806" i="1"/>
  <c r="H1806" i="1"/>
  <c r="J1806" i="1"/>
  <c r="A1807" i="1"/>
  <c r="G1807" i="1"/>
  <c r="H1807" i="1"/>
  <c r="J1807" i="1"/>
  <c r="A1808" i="1"/>
  <c r="G1808" i="1"/>
  <c r="H1808" i="1"/>
  <c r="J1808" i="1"/>
  <c r="A1809" i="1"/>
  <c r="G1809" i="1"/>
  <c r="H1809" i="1"/>
  <c r="J1809" i="1"/>
  <c r="A1810" i="1"/>
  <c r="G1810" i="1"/>
  <c r="H1810" i="1"/>
  <c r="J1810" i="1"/>
  <c r="A1811" i="1"/>
  <c r="G1811" i="1"/>
  <c r="H1811" i="1"/>
  <c r="J1811" i="1"/>
  <c r="A1812" i="1"/>
  <c r="G1812" i="1"/>
  <c r="H1812" i="1"/>
  <c r="J1812" i="1"/>
  <c r="A1813" i="1"/>
  <c r="G1813" i="1"/>
  <c r="H1813" i="1"/>
  <c r="J1813" i="1"/>
  <c r="A1814" i="1"/>
  <c r="G1814" i="1"/>
  <c r="H1814" i="1"/>
  <c r="J1814" i="1"/>
  <c r="A1815" i="1"/>
  <c r="G1815" i="1"/>
  <c r="H1815" i="1"/>
  <c r="J1815" i="1"/>
  <c r="A1816" i="1"/>
  <c r="G1816" i="1"/>
  <c r="H1816" i="1"/>
  <c r="J1816" i="1"/>
  <c r="A1817" i="1"/>
  <c r="G1817" i="1"/>
  <c r="H1817" i="1"/>
  <c r="J1817" i="1"/>
  <c r="A1818" i="1"/>
  <c r="G1818" i="1"/>
  <c r="H1818" i="1"/>
  <c r="J1818" i="1"/>
  <c r="A1819" i="1"/>
  <c r="G1819" i="1"/>
  <c r="H1819" i="1"/>
  <c r="J1819" i="1"/>
  <c r="A1820" i="1"/>
  <c r="G1820" i="1"/>
  <c r="H1820" i="1"/>
  <c r="J1820" i="1"/>
  <c r="A1821" i="1"/>
  <c r="G1821" i="1"/>
  <c r="H1821" i="1"/>
  <c r="J1821" i="1"/>
  <c r="A1822" i="1"/>
  <c r="G1822" i="1"/>
  <c r="H1822" i="1"/>
  <c r="J1822" i="1"/>
  <c r="A1823" i="1"/>
  <c r="G1823" i="1"/>
  <c r="H1823" i="1"/>
  <c r="J1823" i="1"/>
  <c r="A1824" i="1"/>
  <c r="G1824" i="1"/>
  <c r="H1824" i="1"/>
  <c r="J1824" i="1"/>
  <c r="A1825" i="1"/>
  <c r="G1825" i="1"/>
  <c r="H1825" i="1"/>
  <c r="J1825" i="1"/>
  <c r="A1826" i="1"/>
  <c r="G1826" i="1"/>
  <c r="H1826" i="1"/>
  <c r="J1826" i="1"/>
  <c r="A1827" i="1"/>
  <c r="G1827" i="1"/>
  <c r="H1827" i="1"/>
  <c r="J1827" i="1"/>
  <c r="A1828" i="1"/>
  <c r="G1828" i="1"/>
  <c r="H1828" i="1"/>
  <c r="J1828" i="1"/>
  <c r="A1829" i="1"/>
  <c r="G1829" i="1"/>
  <c r="H1829" i="1"/>
  <c r="J1829" i="1"/>
  <c r="A1830" i="1"/>
  <c r="G1830" i="1"/>
  <c r="H1830" i="1"/>
  <c r="J1830" i="1"/>
  <c r="A1831" i="1"/>
  <c r="G1831" i="1"/>
  <c r="H1831" i="1"/>
  <c r="J1831" i="1"/>
  <c r="A1832" i="1"/>
  <c r="G1832" i="1"/>
  <c r="H1832" i="1"/>
  <c r="J1832" i="1"/>
  <c r="A1833" i="1"/>
  <c r="G1833" i="1"/>
  <c r="H1833" i="1"/>
  <c r="J1833" i="1"/>
  <c r="A1834" i="1"/>
  <c r="G1834" i="1"/>
  <c r="H1834" i="1"/>
  <c r="J1834" i="1"/>
  <c r="A1835" i="1"/>
  <c r="G1835" i="1"/>
  <c r="H1835" i="1"/>
  <c r="J1835" i="1"/>
  <c r="A1836" i="1"/>
  <c r="G1836" i="1"/>
  <c r="H1836" i="1"/>
  <c r="J1836" i="1"/>
  <c r="A1837" i="1"/>
  <c r="G1837" i="1"/>
  <c r="H1837" i="1"/>
  <c r="J1837" i="1"/>
  <c r="A1838" i="1"/>
  <c r="G1838" i="1"/>
  <c r="H1838" i="1"/>
  <c r="J1838" i="1"/>
  <c r="A1839" i="1"/>
  <c r="G1839" i="1"/>
  <c r="H1839" i="1"/>
  <c r="J1839" i="1"/>
  <c r="A1840" i="1"/>
  <c r="G1840" i="1"/>
  <c r="H1840" i="1"/>
  <c r="J1840" i="1"/>
  <c r="A1841" i="1"/>
  <c r="G1841" i="1"/>
  <c r="H1841" i="1"/>
  <c r="J1841" i="1"/>
  <c r="A1842" i="1"/>
  <c r="G1842" i="1"/>
  <c r="H1842" i="1"/>
  <c r="J1842" i="1"/>
  <c r="A1843" i="1"/>
  <c r="G1843" i="1"/>
  <c r="H1843" i="1"/>
  <c r="J1843" i="1"/>
  <c r="A1844" i="1"/>
  <c r="G1844" i="1"/>
  <c r="H1844" i="1"/>
  <c r="J1844" i="1"/>
  <c r="A1845" i="1"/>
  <c r="G1845" i="1"/>
  <c r="H1845" i="1"/>
  <c r="J1845" i="1"/>
  <c r="A1846" i="1"/>
  <c r="G1846" i="1"/>
  <c r="H1846" i="1"/>
  <c r="J1846" i="1"/>
  <c r="A1847" i="1"/>
  <c r="G1847" i="1"/>
  <c r="H1847" i="1"/>
  <c r="J1847" i="1"/>
  <c r="A1848" i="1"/>
  <c r="G1848" i="1"/>
  <c r="H1848" i="1"/>
  <c r="J1848" i="1"/>
  <c r="A1849" i="1"/>
  <c r="G1849" i="1"/>
  <c r="H1849" i="1"/>
  <c r="J1849" i="1"/>
  <c r="A1850" i="1"/>
  <c r="G1850" i="1"/>
  <c r="H1850" i="1"/>
  <c r="J1850" i="1"/>
  <c r="A1851" i="1"/>
  <c r="G1851" i="1"/>
  <c r="H1851" i="1"/>
  <c r="J1851" i="1"/>
  <c r="A1852" i="1"/>
  <c r="G1852" i="1"/>
  <c r="H1852" i="1"/>
  <c r="J1852" i="1"/>
  <c r="A1853" i="1"/>
  <c r="G1853" i="1"/>
  <c r="H1853" i="1"/>
  <c r="J1853" i="1"/>
  <c r="A1854" i="1"/>
  <c r="G1854" i="1"/>
  <c r="H1854" i="1"/>
  <c r="J1854" i="1"/>
  <c r="A1855" i="1"/>
  <c r="G1855" i="1"/>
  <c r="H1855" i="1"/>
  <c r="J1855" i="1"/>
  <c r="A1856" i="1"/>
  <c r="G1856" i="1"/>
  <c r="H1856" i="1"/>
  <c r="J1856" i="1"/>
  <c r="A1857" i="1"/>
  <c r="G1857" i="1"/>
  <c r="H1857" i="1"/>
  <c r="J1857" i="1"/>
  <c r="A1858" i="1"/>
  <c r="G1858" i="1"/>
  <c r="H1858" i="1"/>
  <c r="J1858" i="1"/>
  <c r="A1859" i="1"/>
  <c r="G1859" i="1"/>
  <c r="H1859" i="1"/>
  <c r="J1859" i="1"/>
  <c r="A1860" i="1"/>
  <c r="G1860" i="1"/>
  <c r="H1860" i="1"/>
  <c r="J1860" i="1"/>
  <c r="A1861" i="1"/>
  <c r="G1861" i="1"/>
  <c r="H1861" i="1"/>
  <c r="J1861" i="1"/>
  <c r="A1862" i="1"/>
  <c r="G1862" i="1"/>
  <c r="H1862" i="1"/>
  <c r="J1862" i="1"/>
  <c r="A1863" i="1"/>
  <c r="G1863" i="1"/>
  <c r="H1863" i="1"/>
  <c r="J1863" i="1"/>
  <c r="A1864" i="1"/>
  <c r="G1864" i="1"/>
  <c r="H1864" i="1"/>
  <c r="J1864" i="1"/>
  <c r="A1865" i="1"/>
  <c r="G1865" i="1"/>
  <c r="H1865" i="1"/>
  <c r="J1865" i="1"/>
  <c r="A1866" i="1"/>
  <c r="G1866" i="1"/>
  <c r="H1866" i="1"/>
  <c r="J1866" i="1"/>
  <c r="A1867" i="1"/>
  <c r="G1867" i="1"/>
  <c r="H1867" i="1"/>
  <c r="J1867" i="1"/>
  <c r="A1868" i="1"/>
  <c r="G1868" i="1"/>
  <c r="H1868" i="1"/>
  <c r="J1868" i="1"/>
  <c r="A1869" i="1"/>
  <c r="G1869" i="1"/>
  <c r="H1869" i="1"/>
  <c r="J1869" i="1"/>
  <c r="A1870" i="1"/>
  <c r="G1870" i="1"/>
  <c r="H1870" i="1"/>
  <c r="J1870" i="1"/>
  <c r="A1871" i="1"/>
  <c r="G1871" i="1"/>
  <c r="H1871" i="1"/>
  <c r="J1871" i="1"/>
  <c r="A1872" i="1"/>
  <c r="G1872" i="1"/>
  <c r="H1872" i="1"/>
  <c r="J1872" i="1"/>
  <c r="A1873" i="1"/>
  <c r="G1873" i="1"/>
  <c r="H1873" i="1"/>
  <c r="J1873" i="1"/>
  <c r="A1874" i="1"/>
  <c r="G1874" i="1"/>
  <c r="H1874" i="1"/>
  <c r="J1874" i="1"/>
  <c r="A1875" i="1"/>
  <c r="G1875" i="1"/>
  <c r="H1875" i="1"/>
  <c r="J1875" i="1"/>
  <c r="A1876" i="1"/>
  <c r="G1876" i="1"/>
  <c r="H1876" i="1"/>
  <c r="J1876" i="1"/>
  <c r="A1877" i="1"/>
  <c r="G1877" i="1"/>
  <c r="H1877" i="1"/>
  <c r="J1877" i="1"/>
  <c r="A1878" i="1"/>
  <c r="G1878" i="1"/>
  <c r="H1878" i="1"/>
  <c r="J1878" i="1"/>
  <c r="A1879" i="1"/>
  <c r="G1879" i="1"/>
  <c r="H1879" i="1"/>
  <c r="J1879" i="1"/>
  <c r="A1880" i="1"/>
  <c r="G1880" i="1"/>
  <c r="H1880" i="1"/>
  <c r="J1880" i="1"/>
  <c r="A1881" i="1"/>
  <c r="G1881" i="1"/>
  <c r="H1881" i="1"/>
  <c r="J1881" i="1"/>
  <c r="A1882" i="1"/>
  <c r="G1882" i="1"/>
  <c r="H1882" i="1"/>
  <c r="J1882" i="1"/>
  <c r="A1883" i="1"/>
  <c r="G1883" i="1"/>
  <c r="H1883" i="1"/>
  <c r="J1883" i="1"/>
  <c r="A1884" i="1"/>
  <c r="G1884" i="1"/>
  <c r="H1884" i="1"/>
  <c r="J1884" i="1"/>
  <c r="A1885" i="1"/>
  <c r="G1885" i="1"/>
  <c r="H1885" i="1"/>
  <c r="J1885" i="1"/>
  <c r="A1886" i="1"/>
  <c r="G1886" i="1"/>
  <c r="H1886" i="1"/>
  <c r="J1886" i="1"/>
  <c r="A1887" i="1"/>
  <c r="G1887" i="1"/>
  <c r="H1887" i="1"/>
  <c r="J1887" i="1"/>
  <c r="A1888" i="1"/>
  <c r="G1888" i="1"/>
  <c r="H1888" i="1"/>
  <c r="J1888" i="1"/>
  <c r="A1889" i="1"/>
  <c r="G1889" i="1"/>
  <c r="H1889" i="1"/>
  <c r="J1889" i="1"/>
  <c r="A1890" i="1"/>
  <c r="G1890" i="1"/>
  <c r="H1890" i="1"/>
  <c r="J1890" i="1"/>
  <c r="A1891" i="1"/>
  <c r="G1891" i="1"/>
  <c r="H1891" i="1"/>
  <c r="J1891" i="1"/>
  <c r="A1892" i="1"/>
  <c r="G1892" i="1"/>
  <c r="H1892" i="1"/>
  <c r="J1892" i="1"/>
  <c r="A1893" i="1"/>
  <c r="G1893" i="1"/>
  <c r="H1893" i="1"/>
  <c r="J1893" i="1"/>
  <c r="A1894" i="1"/>
  <c r="G1894" i="1"/>
  <c r="H1894" i="1"/>
  <c r="J1894" i="1"/>
  <c r="A1895" i="1"/>
  <c r="G1895" i="1"/>
  <c r="H1895" i="1"/>
  <c r="J1895" i="1"/>
  <c r="A1896" i="1"/>
  <c r="G1896" i="1"/>
  <c r="H1896" i="1"/>
  <c r="J1896" i="1"/>
  <c r="A1897" i="1"/>
  <c r="G1897" i="1"/>
  <c r="H1897" i="1"/>
  <c r="J1897" i="1"/>
  <c r="A1898" i="1"/>
  <c r="G1898" i="1"/>
  <c r="H1898" i="1"/>
  <c r="J1898" i="1"/>
  <c r="A1899" i="1"/>
  <c r="G1899" i="1"/>
  <c r="H1899" i="1"/>
  <c r="J1899" i="1"/>
  <c r="A1900" i="1"/>
  <c r="G1900" i="1"/>
  <c r="H1900" i="1"/>
  <c r="J1900" i="1"/>
  <c r="A1901" i="1"/>
  <c r="G1901" i="1"/>
  <c r="H1901" i="1"/>
  <c r="J1901" i="1"/>
  <c r="A1902" i="1"/>
  <c r="G1902" i="1"/>
  <c r="H1902" i="1"/>
  <c r="J1902" i="1"/>
  <c r="A1903" i="1"/>
  <c r="G1903" i="1"/>
  <c r="H1903" i="1"/>
  <c r="J1903" i="1"/>
  <c r="A1904" i="1"/>
  <c r="G1904" i="1"/>
  <c r="H1904" i="1"/>
  <c r="J1904" i="1"/>
  <c r="A1905" i="1"/>
  <c r="G1905" i="1"/>
  <c r="H1905" i="1"/>
  <c r="J1905" i="1"/>
  <c r="A1906" i="1"/>
  <c r="G1906" i="1"/>
  <c r="H1906" i="1"/>
  <c r="J1906" i="1"/>
  <c r="A1907" i="1"/>
  <c r="G1907" i="1"/>
  <c r="H1907" i="1"/>
  <c r="J1907" i="1"/>
  <c r="A1908" i="1"/>
  <c r="G1908" i="1"/>
  <c r="H1908" i="1"/>
  <c r="J1908" i="1"/>
  <c r="A1909" i="1"/>
  <c r="G1909" i="1"/>
  <c r="H1909" i="1"/>
  <c r="J1909" i="1"/>
  <c r="A1910" i="1"/>
  <c r="G1910" i="1"/>
  <c r="H1910" i="1"/>
  <c r="J1910" i="1"/>
  <c r="A1911" i="1"/>
  <c r="G1911" i="1"/>
  <c r="H1911" i="1"/>
  <c r="J1911" i="1"/>
  <c r="A1912" i="1"/>
  <c r="G1912" i="1"/>
  <c r="H1912" i="1"/>
  <c r="J1912" i="1"/>
  <c r="A1913" i="1"/>
  <c r="G1913" i="1"/>
  <c r="H1913" i="1"/>
  <c r="J1913" i="1"/>
  <c r="A1914" i="1"/>
  <c r="I1914" i="1"/>
  <c r="J1914" i="1"/>
  <c r="A1915" i="1"/>
  <c r="G1915" i="1"/>
  <c r="H1915" i="1"/>
  <c r="J1915" i="1"/>
  <c r="A1916" i="1"/>
  <c r="G1916" i="1"/>
  <c r="H1916" i="1"/>
  <c r="J1916" i="1"/>
  <c r="A1917" i="1"/>
  <c r="G1917" i="1"/>
  <c r="H1917" i="1"/>
  <c r="A1918" i="1"/>
  <c r="G1918" i="1"/>
  <c r="H1918" i="1"/>
  <c r="A1919" i="1"/>
  <c r="G1919" i="1"/>
  <c r="H1919" i="1"/>
  <c r="J1919" i="1"/>
  <c r="A1920" i="1"/>
  <c r="G1920" i="1"/>
  <c r="H1920" i="1"/>
  <c r="J1920" i="1"/>
  <c r="A1921" i="1"/>
  <c r="G1921" i="1"/>
  <c r="H1921" i="1"/>
  <c r="J1921" i="1"/>
  <c r="A1922" i="1"/>
  <c r="G1922" i="1"/>
  <c r="H1922" i="1"/>
  <c r="J1922" i="1"/>
  <c r="A1923" i="1"/>
  <c r="G1923" i="1"/>
  <c r="H1923" i="1"/>
  <c r="J1923" i="1"/>
  <c r="A1924" i="1"/>
  <c r="G1924" i="1"/>
  <c r="H1924" i="1"/>
  <c r="J1924" i="1"/>
  <c r="A1925" i="1"/>
  <c r="G1925" i="1"/>
  <c r="H1925" i="1"/>
  <c r="J1925" i="1"/>
  <c r="A1926" i="1"/>
  <c r="G1926" i="1"/>
  <c r="H1926" i="1"/>
  <c r="J1926" i="1"/>
  <c r="A1927" i="1"/>
  <c r="G1927" i="1"/>
  <c r="H1927" i="1"/>
  <c r="J1927" i="1"/>
  <c r="A1928" i="1"/>
  <c r="G1928" i="1"/>
  <c r="H1928" i="1"/>
  <c r="J1928" i="1"/>
  <c r="A1929" i="1"/>
  <c r="G1929" i="1"/>
  <c r="H1929" i="1"/>
  <c r="J1929" i="1"/>
  <c r="A1930" i="1"/>
  <c r="G1930" i="1"/>
  <c r="H1930" i="1"/>
  <c r="J1930" i="1"/>
  <c r="A1931" i="1"/>
  <c r="G1931" i="1"/>
  <c r="H1931" i="1"/>
  <c r="J1931" i="1"/>
  <c r="A1932" i="1"/>
  <c r="G1932" i="1"/>
  <c r="H1932" i="1"/>
  <c r="J1932" i="1"/>
  <c r="A1933" i="1"/>
  <c r="G1933" i="1"/>
  <c r="H1933" i="1"/>
  <c r="J1933" i="1"/>
  <c r="A1934" i="1"/>
  <c r="G1934" i="1"/>
  <c r="H1934" i="1"/>
  <c r="J1934" i="1"/>
  <c r="A1935" i="1"/>
  <c r="G1935" i="1"/>
  <c r="H1935" i="1"/>
  <c r="J1935" i="1"/>
  <c r="A1936" i="1"/>
  <c r="G1936" i="1"/>
  <c r="H1936" i="1"/>
  <c r="J1936" i="1"/>
  <c r="A1937" i="1"/>
  <c r="G1937" i="1"/>
  <c r="H1937" i="1"/>
  <c r="J1937" i="1"/>
  <c r="A1938" i="1"/>
  <c r="G1938" i="1"/>
  <c r="H1938" i="1"/>
  <c r="J1938" i="1"/>
  <c r="A1939" i="1"/>
  <c r="G1939" i="1"/>
  <c r="H1939" i="1"/>
  <c r="A1940" i="1"/>
  <c r="G1940" i="1"/>
  <c r="H1940" i="1"/>
  <c r="A1941" i="1"/>
  <c r="G1941" i="1"/>
  <c r="H1941" i="1"/>
  <c r="A1942" i="1"/>
  <c r="G1942" i="1"/>
  <c r="H1942" i="1"/>
  <c r="A1943" i="1"/>
  <c r="G1943" i="1"/>
  <c r="H1943" i="1"/>
  <c r="A1944" i="1"/>
  <c r="G1944" i="1"/>
  <c r="H1944" i="1"/>
  <c r="A1945" i="1"/>
  <c r="G1945" i="1"/>
  <c r="H1945" i="1"/>
  <c r="A1946" i="1"/>
  <c r="G1946" i="1"/>
  <c r="H1946" i="1"/>
  <c r="A1947" i="1"/>
  <c r="G1947" i="1"/>
  <c r="H1947" i="1"/>
  <c r="A1948" i="1"/>
  <c r="G1948" i="1"/>
  <c r="H1948" i="1"/>
  <c r="A1949" i="1"/>
  <c r="G1949" i="1"/>
  <c r="H1949" i="1"/>
  <c r="J1949" i="1"/>
  <c r="A1950" i="1"/>
  <c r="G1950" i="1"/>
  <c r="H1950" i="1"/>
  <c r="J1950" i="1"/>
  <c r="A1951" i="1"/>
  <c r="G1951" i="1"/>
  <c r="H1951" i="1"/>
  <c r="J1951" i="1"/>
  <c r="A1952" i="1"/>
  <c r="G1952" i="1"/>
  <c r="H1952" i="1"/>
  <c r="J1952" i="1"/>
  <c r="A1953" i="1"/>
  <c r="G1953" i="1"/>
  <c r="H1953" i="1"/>
  <c r="J1953" i="1"/>
  <c r="A1954" i="1"/>
  <c r="G1954" i="1"/>
  <c r="H1954" i="1"/>
  <c r="J1954" i="1"/>
  <c r="A1955" i="1"/>
  <c r="G1955" i="1"/>
  <c r="H1955" i="1"/>
  <c r="J1955" i="1"/>
  <c r="A1956" i="1"/>
  <c r="G1956" i="1"/>
  <c r="H1956" i="1"/>
  <c r="J1956" i="1"/>
  <c r="A1957" i="1"/>
  <c r="G1957" i="1"/>
  <c r="H1957" i="1"/>
  <c r="J1957" i="1"/>
  <c r="A1958" i="1"/>
  <c r="G1958" i="1"/>
  <c r="H1958" i="1"/>
  <c r="J1958" i="1"/>
  <c r="A1959" i="1"/>
  <c r="G1959" i="1"/>
  <c r="H1959" i="1"/>
  <c r="J1959" i="1"/>
  <c r="A1960" i="1"/>
  <c r="G1960" i="1"/>
  <c r="H1960" i="1"/>
  <c r="J1960" i="1"/>
  <c r="A1961" i="1"/>
  <c r="G1961" i="1"/>
  <c r="H1961" i="1"/>
  <c r="A1962" i="1"/>
  <c r="G1962" i="1"/>
  <c r="H1962" i="1"/>
  <c r="A1963" i="1"/>
  <c r="G1963" i="1"/>
  <c r="H1963" i="1"/>
  <c r="A1964" i="1"/>
  <c r="G1964" i="1"/>
  <c r="H1964" i="1"/>
  <c r="A1965" i="1"/>
  <c r="G1965" i="1"/>
  <c r="H1965" i="1"/>
  <c r="J1965" i="1"/>
  <c r="A1966" i="1"/>
  <c r="G1966" i="1"/>
  <c r="H1966" i="1"/>
  <c r="J1966" i="1"/>
  <c r="A1967" i="1"/>
  <c r="G1967" i="1"/>
  <c r="H1967" i="1"/>
  <c r="J1967" i="1"/>
  <c r="A1968" i="1"/>
  <c r="G1968" i="1"/>
  <c r="H1968" i="1"/>
  <c r="J1968" i="1"/>
  <c r="A1969" i="1"/>
  <c r="G1969" i="1"/>
  <c r="H1969" i="1"/>
  <c r="J1969" i="1"/>
  <c r="A1970" i="1"/>
  <c r="G1970" i="1"/>
  <c r="H1970" i="1"/>
  <c r="J1970" i="1"/>
  <c r="A1971" i="1"/>
  <c r="G1971" i="1"/>
  <c r="H1971" i="1"/>
  <c r="J1971" i="1"/>
  <c r="A1972" i="1"/>
  <c r="G1972" i="1"/>
  <c r="H1972" i="1"/>
  <c r="J1972" i="1"/>
  <c r="A1973" i="1"/>
  <c r="G1973" i="1"/>
  <c r="H1973" i="1"/>
  <c r="J1973" i="1"/>
  <c r="A1974" i="1"/>
  <c r="G1974" i="1"/>
  <c r="H1974" i="1"/>
  <c r="J1974" i="1"/>
  <c r="A1975" i="1"/>
  <c r="G1975" i="1"/>
  <c r="H1975" i="1"/>
  <c r="J1975" i="1"/>
  <c r="A1976" i="1"/>
  <c r="G1976" i="1"/>
  <c r="H1976" i="1"/>
  <c r="J1976" i="1"/>
  <c r="A1977" i="1"/>
  <c r="G1977" i="1"/>
  <c r="H1977" i="1"/>
  <c r="J1977" i="1"/>
  <c r="A1978" i="1"/>
  <c r="G1978" i="1"/>
  <c r="H1978" i="1"/>
  <c r="J1978" i="1"/>
  <c r="A1979" i="1"/>
  <c r="G1979" i="1"/>
  <c r="H1979" i="1"/>
  <c r="J1979" i="1"/>
  <c r="A1980" i="1"/>
  <c r="G1980" i="1"/>
  <c r="H1980" i="1"/>
  <c r="J1980" i="1"/>
  <c r="A1981" i="1"/>
  <c r="G1981" i="1"/>
  <c r="H1981" i="1"/>
  <c r="J1981" i="1"/>
  <c r="A1982" i="1"/>
  <c r="G1982" i="1"/>
  <c r="H1982" i="1"/>
  <c r="J1982" i="1"/>
  <c r="A1983" i="1"/>
  <c r="G1983" i="1"/>
  <c r="H1983" i="1"/>
  <c r="J1983" i="1"/>
  <c r="A1984" i="1"/>
  <c r="G1984" i="1"/>
  <c r="H1984" i="1"/>
  <c r="J1984" i="1"/>
  <c r="A1985" i="1"/>
  <c r="G1985" i="1"/>
  <c r="H1985" i="1"/>
  <c r="J1985" i="1"/>
  <c r="A1986" i="1"/>
  <c r="G1986" i="1"/>
  <c r="H1986" i="1"/>
  <c r="J1986" i="1"/>
  <c r="A1987" i="1"/>
  <c r="G1987" i="1"/>
  <c r="H1987" i="1"/>
  <c r="J1987" i="1"/>
  <c r="A1988" i="1"/>
  <c r="G1988" i="1"/>
  <c r="H1988" i="1"/>
  <c r="J1988" i="1"/>
  <c r="A1989" i="1"/>
  <c r="G1989" i="1"/>
  <c r="H1989" i="1"/>
  <c r="J1989" i="1"/>
  <c r="A1990" i="1"/>
  <c r="G1990" i="1"/>
  <c r="H1990" i="1"/>
  <c r="J1990" i="1"/>
  <c r="A1991" i="1"/>
  <c r="G1991" i="1"/>
  <c r="H1991" i="1"/>
  <c r="J1991" i="1"/>
  <c r="A1992" i="1"/>
  <c r="G1992" i="1"/>
  <c r="H1992" i="1"/>
  <c r="J1992" i="1"/>
  <c r="A1993" i="1"/>
  <c r="G1993" i="1"/>
  <c r="H1993" i="1"/>
  <c r="J1993" i="1"/>
  <c r="A1994" i="1"/>
  <c r="G1994" i="1"/>
  <c r="H1994" i="1"/>
  <c r="J1994" i="1"/>
  <c r="A1995" i="1"/>
  <c r="G1995" i="1"/>
  <c r="H1995" i="1"/>
  <c r="J1995" i="1"/>
  <c r="A1996" i="1"/>
  <c r="G1996" i="1"/>
  <c r="H1996" i="1"/>
  <c r="J1996" i="1"/>
  <c r="A1997" i="1"/>
  <c r="G1997" i="1"/>
  <c r="H1997" i="1"/>
  <c r="J1997" i="1"/>
  <c r="A1998" i="1"/>
  <c r="G1998" i="1"/>
  <c r="H1998" i="1"/>
  <c r="J1998" i="1"/>
  <c r="A1999" i="1"/>
  <c r="G1999" i="1"/>
  <c r="H1999" i="1"/>
  <c r="J1999" i="1"/>
  <c r="A2000" i="1"/>
  <c r="G2000" i="1"/>
  <c r="H2000" i="1"/>
  <c r="J2000" i="1"/>
  <c r="A2001" i="1"/>
  <c r="G2001" i="1"/>
  <c r="H2001" i="1"/>
  <c r="J2001" i="1"/>
  <c r="A2002" i="1"/>
  <c r="G2002" i="1"/>
  <c r="H2002" i="1"/>
  <c r="J2002" i="1"/>
  <c r="A2003" i="1"/>
  <c r="G2003" i="1"/>
  <c r="H2003" i="1"/>
  <c r="J2003" i="1"/>
  <c r="A2004" i="1"/>
  <c r="G2004" i="1"/>
  <c r="H2004" i="1"/>
  <c r="J2004" i="1"/>
  <c r="A2005" i="1"/>
  <c r="G2005" i="1"/>
  <c r="H2005" i="1"/>
  <c r="J2005" i="1"/>
  <c r="A2006" i="1"/>
  <c r="G2006" i="1"/>
  <c r="H2006" i="1"/>
  <c r="J2006" i="1"/>
  <c r="A2007" i="1"/>
  <c r="G2007" i="1"/>
  <c r="H2007" i="1"/>
  <c r="J2007" i="1"/>
  <c r="A2008" i="1"/>
  <c r="G2008" i="1"/>
  <c r="H2008" i="1"/>
  <c r="J2008" i="1"/>
  <c r="A2009" i="1"/>
  <c r="G2009" i="1"/>
  <c r="H2009" i="1"/>
  <c r="J2009" i="1"/>
  <c r="A2010" i="1"/>
  <c r="G2010" i="1"/>
  <c r="H2010" i="1"/>
  <c r="J2010" i="1"/>
  <c r="A2011" i="1"/>
  <c r="G2011" i="1"/>
  <c r="H2011" i="1"/>
  <c r="J2011" i="1"/>
  <c r="A2012" i="1"/>
  <c r="G2012" i="1"/>
  <c r="H2012" i="1"/>
  <c r="J2012" i="1"/>
  <c r="A2013" i="1"/>
  <c r="G2013" i="1"/>
  <c r="H2013" i="1"/>
  <c r="J2013" i="1"/>
  <c r="A2014" i="1"/>
  <c r="G2014" i="1"/>
  <c r="H2014" i="1"/>
  <c r="J2014" i="1"/>
  <c r="A2015" i="1"/>
  <c r="G2015" i="1"/>
  <c r="H2015" i="1"/>
  <c r="J2015" i="1"/>
  <c r="A2016" i="1"/>
  <c r="G2016" i="1"/>
  <c r="H2016" i="1"/>
  <c r="J2016" i="1"/>
  <c r="A2017" i="1"/>
  <c r="G2017" i="1"/>
  <c r="H2017" i="1"/>
  <c r="J2017" i="1"/>
  <c r="A2018" i="1"/>
  <c r="G2018" i="1"/>
  <c r="H2018" i="1"/>
  <c r="J2018" i="1"/>
  <c r="A2019" i="1"/>
  <c r="G2019" i="1"/>
  <c r="H2019" i="1"/>
  <c r="J2019" i="1"/>
  <c r="A2020" i="1"/>
  <c r="G2020" i="1"/>
  <c r="H2020" i="1"/>
  <c r="J2020" i="1"/>
  <c r="A2021" i="1"/>
  <c r="G2021" i="1"/>
  <c r="H2021" i="1"/>
  <c r="J2021" i="1"/>
  <c r="A2022" i="1"/>
  <c r="G2022" i="1"/>
  <c r="H2022" i="1"/>
  <c r="J2022" i="1"/>
  <c r="A2023" i="1"/>
  <c r="G2023" i="1"/>
  <c r="H2023" i="1"/>
  <c r="J2023" i="1"/>
  <c r="A2024" i="1"/>
  <c r="G2024" i="1"/>
  <c r="H2024" i="1"/>
  <c r="J2024" i="1"/>
  <c r="A2025" i="1"/>
  <c r="G2025" i="1"/>
  <c r="H2025" i="1"/>
  <c r="J2025" i="1"/>
  <c r="A2026" i="1"/>
  <c r="G2026" i="1"/>
  <c r="H2026" i="1"/>
  <c r="J2026" i="1"/>
  <c r="A2027" i="1"/>
  <c r="G2027" i="1"/>
  <c r="H2027" i="1"/>
  <c r="J2027" i="1"/>
  <c r="A2028" i="1"/>
  <c r="G2028" i="1"/>
  <c r="H2028" i="1"/>
  <c r="J2028" i="1"/>
  <c r="A2029" i="1"/>
  <c r="G2029" i="1"/>
  <c r="H2029" i="1"/>
  <c r="J2029" i="1"/>
  <c r="A2030" i="1"/>
  <c r="G2030" i="1"/>
  <c r="H2030" i="1"/>
  <c r="J2030" i="1"/>
  <c r="A2031" i="1"/>
  <c r="G2031" i="1"/>
  <c r="H2031" i="1"/>
  <c r="J2031" i="1"/>
  <c r="A2032" i="1"/>
  <c r="G2032" i="1"/>
  <c r="H2032" i="1"/>
  <c r="J2032" i="1"/>
  <c r="A2033" i="1"/>
  <c r="G2033" i="1"/>
  <c r="H2033" i="1"/>
  <c r="J2033" i="1"/>
  <c r="A2034" i="1"/>
  <c r="G2034" i="1"/>
  <c r="H2034" i="1"/>
  <c r="J2034" i="1"/>
  <c r="A2035" i="1"/>
  <c r="G2035" i="1"/>
  <c r="H2035" i="1"/>
  <c r="J2035" i="1"/>
  <c r="A2036" i="1"/>
  <c r="G2036" i="1"/>
  <c r="H2036" i="1"/>
  <c r="J2036" i="1"/>
  <c r="A2037" i="1"/>
  <c r="G2037" i="1"/>
  <c r="H2037" i="1"/>
  <c r="J2037" i="1"/>
  <c r="A2038" i="1"/>
  <c r="G2038" i="1"/>
  <c r="H2038" i="1"/>
  <c r="J2038" i="1"/>
  <c r="A2039" i="1"/>
  <c r="G2039" i="1"/>
  <c r="H2039" i="1"/>
  <c r="J2039" i="1"/>
  <c r="A2040" i="1"/>
  <c r="G2040" i="1"/>
  <c r="H2040" i="1"/>
  <c r="J2040" i="1"/>
  <c r="A2041" i="1"/>
  <c r="G2041" i="1"/>
  <c r="H2041" i="1"/>
  <c r="J2041" i="1"/>
  <c r="A2042" i="1"/>
  <c r="G2042" i="1"/>
  <c r="H2042" i="1"/>
  <c r="J2042" i="1"/>
  <c r="A2043" i="1"/>
  <c r="G2043" i="1"/>
  <c r="H2043" i="1"/>
  <c r="J2043" i="1"/>
  <c r="A2044" i="1"/>
  <c r="G2044" i="1"/>
  <c r="H2044" i="1"/>
  <c r="J2044" i="1"/>
  <c r="A2045" i="1"/>
  <c r="G2045" i="1"/>
  <c r="H2045" i="1"/>
  <c r="J2045" i="1"/>
  <c r="A2046" i="1"/>
  <c r="G2046" i="1"/>
  <c r="H2046" i="1"/>
  <c r="J2046" i="1"/>
  <c r="A2047" i="1"/>
  <c r="G2047" i="1"/>
  <c r="H2047" i="1"/>
  <c r="J2047" i="1"/>
  <c r="A2048" i="1"/>
  <c r="G2048" i="1"/>
  <c r="H2048" i="1"/>
  <c r="J2048" i="1"/>
  <c r="A2049" i="1"/>
  <c r="G2049" i="1"/>
  <c r="H2049" i="1"/>
  <c r="J2049" i="1"/>
  <c r="A2050" i="1"/>
  <c r="G2050" i="1"/>
  <c r="H2050" i="1"/>
  <c r="J2050" i="1"/>
  <c r="A2051" i="1"/>
  <c r="G2051" i="1"/>
  <c r="H2051" i="1"/>
  <c r="J2051" i="1"/>
  <c r="A2052" i="1"/>
  <c r="G2052" i="1"/>
  <c r="H2052" i="1"/>
  <c r="J2052" i="1"/>
  <c r="A2053" i="1"/>
  <c r="G2053" i="1"/>
  <c r="H2053" i="1"/>
  <c r="J2053" i="1"/>
  <c r="A2054" i="1"/>
  <c r="G2054" i="1"/>
  <c r="H2054" i="1"/>
  <c r="J2054" i="1"/>
  <c r="A2055" i="1"/>
  <c r="G2055" i="1"/>
  <c r="H2055" i="1"/>
  <c r="J2055" i="1"/>
  <c r="A2056" i="1"/>
  <c r="G2056" i="1"/>
  <c r="H2056" i="1"/>
  <c r="J2056" i="1"/>
  <c r="A2057" i="1"/>
  <c r="G2057" i="1"/>
  <c r="H2057" i="1"/>
  <c r="J2057" i="1"/>
  <c r="A2058" i="1"/>
  <c r="G2058" i="1"/>
  <c r="H2058" i="1"/>
  <c r="J2058" i="1"/>
  <c r="A2059" i="1"/>
  <c r="G2059" i="1"/>
  <c r="H2059" i="1"/>
  <c r="J2059" i="1"/>
  <c r="A2060" i="1"/>
  <c r="G2060" i="1"/>
  <c r="H2060" i="1"/>
  <c r="J2060" i="1"/>
  <c r="A2061" i="1"/>
  <c r="G2061" i="1"/>
  <c r="H2061" i="1"/>
  <c r="J2061" i="1"/>
  <c r="A2062" i="1"/>
  <c r="G2062" i="1"/>
  <c r="H2062" i="1"/>
  <c r="J2062" i="1"/>
  <c r="A2063" i="1"/>
  <c r="G2063" i="1"/>
  <c r="H2063" i="1"/>
  <c r="J2063" i="1"/>
  <c r="A2064" i="1"/>
  <c r="G2064" i="1"/>
  <c r="H2064" i="1"/>
  <c r="J2064" i="1"/>
  <c r="A2065" i="1"/>
  <c r="G2065" i="1"/>
  <c r="H2065" i="1"/>
  <c r="J2065" i="1"/>
  <c r="A2066" i="1"/>
  <c r="G2066" i="1"/>
  <c r="H2066" i="1"/>
  <c r="J2066" i="1"/>
  <c r="A2067" i="1"/>
  <c r="G2067" i="1"/>
  <c r="H2067" i="1"/>
  <c r="J2067" i="1"/>
  <c r="A2068" i="1"/>
  <c r="G2068" i="1"/>
  <c r="H2068" i="1"/>
  <c r="J2068" i="1"/>
  <c r="A2069" i="1"/>
  <c r="G2069" i="1"/>
  <c r="H2069" i="1"/>
  <c r="J2069" i="1"/>
  <c r="A2070" i="1"/>
  <c r="G2070" i="1"/>
  <c r="H2070" i="1"/>
  <c r="J2070" i="1"/>
  <c r="A2071" i="1"/>
  <c r="G2071" i="1"/>
  <c r="H2071" i="1"/>
  <c r="J2071" i="1"/>
  <c r="A2072" i="1"/>
  <c r="G2072" i="1"/>
  <c r="H2072" i="1"/>
  <c r="J2072" i="1"/>
  <c r="A2073" i="1"/>
  <c r="G2073" i="1"/>
  <c r="H2073" i="1"/>
  <c r="J2073" i="1"/>
  <c r="A2074" i="1"/>
  <c r="G2074" i="1"/>
  <c r="H2074" i="1"/>
  <c r="J2074" i="1"/>
  <c r="A2075" i="1"/>
  <c r="G2075" i="1"/>
  <c r="H2075" i="1"/>
  <c r="J2075" i="1"/>
  <c r="A2076" i="1"/>
  <c r="G2076" i="1"/>
  <c r="H2076" i="1"/>
  <c r="J2076" i="1"/>
  <c r="A2077" i="1"/>
  <c r="G2077" i="1"/>
  <c r="H2077" i="1"/>
  <c r="J2077" i="1"/>
  <c r="A2078" i="1"/>
  <c r="G2078" i="1"/>
  <c r="H2078" i="1"/>
  <c r="J2078" i="1"/>
  <c r="A2079" i="1"/>
  <c r="G2079" i="1"/>
  <c r="H2079" i="1"/>
  <c r="J2079" i="1"/>
  <c r="A2080" i="1"/>
  <c r="G2080" i="1"/>
  <c r="H2080" i="1"/>
  <c r="J2080" i="1"/>
  <c r="A2081" i="1"/>
  <c r="G2081" i="1"/>
  <c r="H2081" i="1"/>
  <c r="J2081" i="1"/>
  <c r="A2082" i="1"/>
  <c r="G2082" i="1"/>
  <c r="H2082" i="1"/>
  <c r="J2082" i="1"/>
  <c r="A2083" i="1"/>
  <c r="G2083" i="1"/>
  <c r="H2083" i="1"/>
  <c r="J2083" i="1"/>
  <c r="A2084" i="1"/>
  <c r="G2084" i="1"/>
  <c r="H2084" i="1"/>
  <c r="J2084" i="1"/>
  <c r="A2085" i="1"/>
  <c r="G2085" i="1"/>
  <c r="H2085" i="1"/>
  <c r="J2085" i="1"/>
  <c r="A2086" i="1"/>
  <c r="G2086" i="1"/>
  <c r="H2086" i="1"/>
  <c r="J2086" i="1"/>
  <c r="A2087" i="1"/>
  <c r="G2087" i="1"/>
  <c r="H2087" i="1"/>
  <c r="J2087" i="1"/>
  <c r="A2088" i="1"/>
  <c r="G2088" i="1"/>
  <c r="H2088" i="1"/>
  <c r="J2088" i="1"/>
  <c r="A2089" i="1"/>
  <c r="G2089" i="1"/>
  <c r="H2089" i="1"/>
  <c r="J2089" i="1"/>
  <c r="A2090" i="1"/>
  <c r="G2090" i="1"/>
  <c r="H2090" i="1"/>
  <c r="J2090" i="1"/>
  <c r="A2091" i="1"/>
  <c r="G2091" i="1"/>
  <c r="H2091" i="1"/>
  <c r="J2091" i="1"/>
  <c r="A2092" i="1"/>
  <c r="G2092" i="1"/>
  <c r="H2092" i="1"/>
  <c r="J2092" i="1"/>
  <c r="A2093" i="1"/>
  <c r="G2093" i="1"/>
  <c r="H2093" i="1"/>
  <c r="J2093" i="1"/>
  <c r="A2094" i="1"/>
  <c r="G2094" i="1"/>
  <c r="H2094" i="1"/>
  <c r="J2094" i="1"/>
  <c r="A2095" i="1"/>
  <c r="G2095" i="1"/>
  <c r="H2095" i="1"/>
  <c r="J2095" i="1"/>
  <c r="A2096" i="1"/>
  <c r="G2096" i="1"/>
  <c r="H2096" i="1"/>
  <c r="J2096" i="1"/>
  <c r="A2097" i="1"/>
  <c r="G2097" i="1"/>
  <c r="H2097" i="1"/>
  <c r="J2097" i="1"/>
  <c r="A2098" i="1"/>
  <c r="G2098" i="1"/>
  <c r="H2098" i="1"/>
  <c r="J2098" i="1"/>
  <c r="A2099" i="1"/>
  <c r="G2099" i="1"/>
  <c r="H2099" i="1"/>
  <c r="J2099" i="1"/>
  <c r="A2100" i="1"/>
  <c r="G2100" i="1"/>
  <c r="H2100" i="1"/>
  <c r="J2100" i="1"/>
  <c r="A2101" i="1"/>
  <c r="G2101" i="1"/>
  <c r="H2101" i="1"/>
  <c r="J2101" i="1"/>
  <c r="A2102" i="1"/>
  <c r="G2102" i="1"/>
  <c r="H2102" i="1"/>
  <c r="J2102" i="1"/>
  <c r="A2103" i="1"/>
  <c r="G2103" i="1"/>
  <c r="H2103" i="1"/>
  <c r="J2103" i="1"/>
  <c r="A2104" i="1"/>
  <c r="G2104" i="1"/>
  <c r="H2104" i="1"/>
  <c r="J2104" i="1"/>
  <c r="A2105" i="1"/>
  <c r="G2105" i="1"/>
  <c r="H2105" i="1"/>
  <c r="J2105" i="1"/>
  <c r="A2106" i="1"/>
  <c r="G2106" i="1"/>
  <c r="H2106" i="1"/>
  <c r="J2106" i="1"/>
  <c r="A2107" i="1"/>
  <c r="G2107" i="1"/>
  <c r="H2107" i="1"/>
  <c r="J2107" i="1"/>
  <c r="A2108" i="1"/>
  <c r="G2108" i="1"/>
  <c r="H2108" i="1"/>
  <c r="J2108" i="1"/>
  <c r="A2109" i="1"/>
  <c r="G2109" i="1"/>
  <c r="H2109" i="1"/>
  <c r="J2109" i="1"/>
  <c r="A2110" i="1"/>
  <c r="G2110" i="1"/>
  <c r="H2110" i="1"/>
  <c r="J2110" i="1"/>
  <c r="A2111" i="1"/>
  <c r="G2111" i="1"/>
  <c r="H2111" i="1"/>
  <c r="J2111" i="1"/>
  <c r="A2112" i="1"/>
  <c r="G2112" i="1"/>
  <c r="H2112" i="1"/>
  <c r="J2112" i="1"/>
  <c r="A2113" i="1"/>
  <c r="G2113" i="1"/>
  <c r="H2113" i="1"/>
  <c r="J2113" i="1"/>
  <c r="A2114" i="1"/>
  <c r="G2114" i="1"/>
  <c r="H2114" i="1"/>
  <c r="J2114" i="1"/>
  <c r="A2115" i="1"/>
  <c r="G2115" i="1"/>
  <c r="H2115" i="1"/>
  <c r="J2115" i="1"/>
  <c r="A2116" i="1"/>
  <c r="G2116" i="1"/>
  <c r="H2116" i="1"/>
  <c r="J2116" i="1"/>
  <c r="A2117" i="1"/>
  <c r="G2117" i="1"/>
  <c r="H2117" i="1"/>
  <c r="J2117" i="1"/>
  <c r="A2118" i="1"/>
  <c r="G2118" i="1"/>
  <c r="H2118" i="1"/>
  <c r="J2118" i="1"/>
  <c r="A2119" i="1"/>
  <c r="G2119" i="1"/>
  <c r="H2119" i="1"/>
  <c r="J2119" i="1"/>
  <c r="A2120" i="1"/>
  <c r="G2120" i="1"/>
  <c r="H2120" i="1"/>
  <c r="J2120" i="1"/>
  <c r="A2121" i="1"/>
  <c r="G2121" i="1"/>
  <c r="H2121" i="1"/>
  <c r="J2121" i="1"/>
  <c r="A2122" i="1"/>
  <c r="G2122" i="1"/>
  <c r="H2122" i="1"/>
  <c r="J2122" i="1"/>
  <c r="A2123" i="1"/>
  <c r="G2123" i="1"/>
  <c r="H2123" i="1"/>
  <c r="J2123" i="1"/>
  <c r="A2124" i="1"/>
  <c r="G2124" i="1"/>
  <c r="H2124" i="1"/>
  <c r="J2124" i="1"/>
  <c r="A2125" i="1"/>
  <c r="G2125" i="1"/>
  <c r="H2125" i="1"/>
  <c r="J2125" i="1"/>
  <c r="A2126" i="1"/>
  <c r="G2126" i="1"/>
  <c r="H2126" i="1"/>
  <c r="J2126" i="1"/>
  <c r="A2127" i="1"/>
  <c r="G2127" i="1"/>
  <c r="H2127" i="1"/>
  <c r="J2127" i="1"/>
  <c r="A2128" i="1"/>
  <c r="G2128" i="1"/>
  <c r="H2128" i="1"/>
  <c r="J2128" i="1"/>
  <c r="A2129" i="1"/>
  <c r="G2129" i="1"/>
  <c r="H2129" i="1"/>
  <c r="J2129" i="1"/>
  <c r="A2130" i="1"/>
  <c r="G2130" i="1"/>
  <c r="H2130" i="1"/>
  <c r="J2130" i="1"/>
  <c r="A2131" i="1"/>
  <c r="G2131" i="1"/>
  <c r="H2131" i="1"/>
  <c r="J2131" i="1"/>
  <c r="A2132" i="1"/>
  <c r="G2132" i="1"/>
  <c r="H2132" i="1"/>
  <c r="J2132" i="1"/>
  <c r="A2133" i="1"/>
  <c r="G2133" i="1"/>
  <c r="H2133" i="1"/>
  <c r="J2133" i="1"/>
  <c r="A2134" i="1"/>
  <c r="G2134" i="1"/>
  <c r="H2134" i="1"/>
  <c r="J2134" i="1"/>
  <c r="A2135" i="1"/>
  <c r="G2135" i="1"/>
  <c r="H2135" i="1"/>
  <c r="J2135" i="1"/>
  <c r="A2136" i="1"/>
  <c r="G2136" i="1"/>
  <c r="H2136" i="1"/>
  <c r="J2136" i="1"/>
  <c r="A2137" i="1"/>
  <c r="G2137" i="1"/>
  <c r="H2137" i="1"/>
  <c r="J2137" i="1"/>
  <c r="A2138" i="1"/>
  <c r="G2138" i="1"/>
  <c r="H2138" i="1"/>
  <c r="J2138" i="1"/>
  <c r="A2139" i="1"/>
  <c r="G2139" i="1"/>
  <c r="H2139" i="1"/>
  <c r="J2139" i="1"/>
  <c r="A2140" i="1"/>
  <c r="G2140" i="1"/>
  <c r="H2140" i="1"/>
  <c r="J2140" i="1"/>
  <c r="A2141" i="1"/>
  <c r="G2141" i="1"/>
  <c r="H2141" i="1"/>
  <c r="J2141" i="1"/>
  <c r="A2142" i="1"/>
  <c r="G2142" i="1"/>
  <c r="H2142" i="1"/>
  <c r="J2142" i="1"/>
  <c r="A2143" i="1"/>
  <c r="G2143" i="1"/>
  <c r="H2143" i="1"/>
  <c r="J2143" i="1"/>
  <c r="A2144" i="1"/>
  <c r="G2144" i="1"/>
  <c r="H2144" i="1"/>
  <c r="J2144" i="1"/>
  <c r="A2145" i="1"/>
  <c r="G2145" i="1"/>
  <c r="H2145" i="1"/>
  <c r="J2145" i="1"/>
  <c r="A2146" i="1"/>
  <c r="G2146" i="1"/>
  <c r="H2146" i="1"/>
  <c r="J2146" i="1"/>
  <c r="A2147" i="1"/>
  <c r="G2147" i="1"/>
  <c r="H2147" i="1"/>
  <c r="J2147" i="1"/>
  <c r="A2148" i="1"/>
  <c r="G2148" i="1"/>
  <c r="H2148" i="1"/>
  <c r="J2148" i="1"/>
  <c r="A2149" i="1"/>
  <c r="G2149" i="1"/>
  <c r="H2149" i="1"/>
  <c r="J2149" i="1"/>
  <c r="A2150" i="1"/>
  <c r="G2150" i="1"/>
  <c r="H2150" i="1"/>
  <c r="J2150" i="1"/>
  <c r="A2151" i="1"/>
  <c r="G2151" i="1"/>
  <c r="H2151" i="1"/>
  <c r="J2151" i="1"/>
  <c r="A2152" i="1"/>
  <c r="G2152" i="1"/>
  <c r="H2152" i="1"/>
  <c r="J2152" i="1"/>
  <c r="A2153" i="1"/>
  <c r="G2153" i="1"/>
  <c r="H2153" i="1"/>
  <c r="J2153" i="1"/>
  <c r="A2154" i="1"/>
  <c r="G2154" i="1"/>
  <c r="H2154" i="1"/>
  <c r="J2154" i="1"/>
  <c r="A2155" i="1"/>
  <c r="G2155" i="1"/>
  <c r="H2155" i="1"/>
  <c r="J2155" i="1"/>
  <c r="A2156" i="1"/>
  <c r="G2156" i="1"/>
  <c r="H2156" i="1"/>
  <c r="J2156" i="1"/>
  <c r="A2157" i="1"/>
  <c r="G2157" i="1"/>
  <c r="H2157" i="1"/>
  <c r="J2157" i="1"/>
  <c r="A2158" i="1"/>
  <c r="G2158" i="1"/>
  <c r="H2158" i="1"/>
  <c r="J2158" i="1"/>
  <c r="A2159" i="1"/>
  <c r="G2159" i="1"/>
  <c r="H2159" i="1"/>
  <c r="J2159" i="1"/>
  <c r="A2160" i="1"/>
  <c r="G2160" i="1"/>
  <c r="H2160" i="1"/>
  <c r="J2160" i="1"/>
  <c r="A2161" i="1"/>
  <c r="G2161" i="1"/>
  <c r="H2161" i="1"/>
  <c r="J2161" i="1"/>
  <c r="A2162" i="1"/>
  <c r="G2162" i="1"/>
  <c r="H2162" i="1"/>
  <c r="J2162" i="1"/>
  <c r="A2163" i="1"/>
  <c r="G2163" i="1"/>
  <c r="H2163" i="1"/>
  <c r="J2163" i="1"/>
  <c r="A2164" i="1"/>
  <c r="G2164" i="1"/>
  <c r="H2164" i="1"/>
  <c r="J2164" i="1"/>
  <c r="A2165" i="1"/>
  <c r="G2165" i="1"/>
  <c r="H2165" i="1"/>
  <c r="J2165" i="1"/>
  <c r="A2166" i="1"/>
  <c r="G2166" i="1"/>
  <c r="H2166" i="1"/>
  <c r="J2166" i="1"/>
  <c r="A2167" i="1"/>
  <c r="G2167" i="1"/>
  <c r="H2167" i="1"/>
  <c r="J2167" i="1"/>
  <c r="A2168" i="1"/>
  <c r="G2168" i="1"/>
  <c r="H2168" i="1"/>
  <c r="J2168" i="1"/>
  <c r="A2169" i="1"/>
  <c r="G2169" i="1"/>
  <c r="H2169" i="1"/>
  <c r="J2169" i="1"/>
  <c r="A2170" i="1"/>
  <c r="G2170" i="1"/>
  <c r="H2170" i="1"/>
  <c r="J2170" i="1"/>
  <c r="A2171" i="1"/>
  <c r="G2171" i="1"/>
  <c r="H2171" i="1"/>
  <c r="J2171" i="1"/>
  <c r="A2172" i="1"/>
  <c r="G2172" i="1"/>
  <c r="H2172" i="1"/>
  <c r="J2172" i="1"/>
  <c r="A2173" i="1"/>
  <c r="G2173" i="1"/>
  <c r="H2173" i="1"/>
  <c r="J2173" i="1"/>
  <c r="A2174" i="1"/>
  <c r="G2174" i="1"/>
  <c r="H2174" i="1"/>
  <c r="J2174" i="1"/>
  <c r="A2175" i="1"/>
  <c r="G2175" i="1"/>
  <c r="H2175" i="1"/>
  <c r="J2175" i="1"/>
  <c r="A2176" i="1"/>
  <c r="G2176" i="1"/>
  <c r="H2176" i="1"/>
  <c r="J2176" i="1"/>
  <c r="A2177" i="1"/>
  <c r="G2177" i="1"/>
  <c r="H2177" i="1"/>
  <c r="J2177" i="1"/>
  <c r="A2178" i="1"/>
  <c r="G2178" i="1"/>
  <c r="H2178" i="1"/>
  <c r="J2178" i="1"/>
  <c r="A2179" i="1"/>
  <c r="G2179" i="1"/>
  <c r="H2179" i="1"/>
  <c r="J2179" i="1"/>
  <c r="A2180" i="1"/>
  <c r="G2180" i="1"/>
  <c r="H2180" i="1"/>
  <c r="J2180" i="1"/>
  <c r="A2181" i="1"/>
  <c r="G2181" i="1"/>
  <c r="H2181" i="1"/>
  <c r="J2181" i="1"/>
  <c r="A2182" i="1"/>
  <c r="G2182" i="1"/>
  <c r="H2182" i="1"/>
  <c r="J2182" i="1"/>
  <c r="A2183" i="1"/>
  <c r="G2183" i="1"/>
  <c r="H2183" i="1"/>
  <c r="J2183" i="1"/>
  <c r="A2184" i="1"/>
  <c r="G2184" i="1"/>
  <c r="H2184" i="1"/>
  <c r="J2184" i="1"/>
  <c r="A2185" i="1"/>
  <c r="G2185" i="1"/>
  <c r="H2185" i="1"/>
  <c r="J2185" i="1"/>
  <c r="A2186" i="1"/>
  <c r="G2186" i="1"/>
  <c r="H2186" i="1"/>
  <c r="J2186" i="1"/>
  <c r="A2187" i="1"/>
  <c r="G2187" i="1"/>
  <c r="H2187" i="1"/>
  <c r="J2187" i="1"/>
  <c r="A2188" i="1"/>
  <c r="G2188" i="1"/>
  <c r="H2188" i="1"/>
  <c r="J2188" i="1"/>
  <c r="A2189" i="1"/>
  <c r="G2189" i="1"/>
  <c r="H2189" i="1"/>
  <c r="J2189" i="1"/>
  <c r="A2190" i="1"/>
  <c r="G2190" i="1"/>
  <c r="H2190" i="1"/>
  <c r="J2190" i="1"/>
  <c r="A2191" i="1"/>
  <c r="G2191" i="1"/>
  <c r="H2191" i="1"/>
  <c r="J2191" i="1"/>
  <c r="A2192" i="1"/>
  <c r="G2192" i="1"/>
  <c r="H2192" i="1"/>
  <c r="J2192" i="1"/>
  <c r="A2193" i="1"/>
  <c r="G2193" i="1"/>
  <c r="H2193" i="1"/>
  <c r="J2193" i="1"/>
  <c r="A2194" i="1"/>
  <c r="G2194" i="1"/>
  <c r="H2194" i="1"/>
  <c r="J2194" i="1"/>
  <c r="A2195" i="1"/>
  <c r="G2195" i="1"/>
  <c r="H2195" i="1"/>
  <c r="J2195" i="1"/>
  <c r="A2196" i="1"/>
  <c r="G2196" i="1"/>
  <c r="H2196" i="1"/>
  <c r="J2196" i="1"/>
  <c r="A2197" i="1"/>
  <c r="G2197" i="1"/>
  <c r="H2197" i="1"/>
  <c r="J2197" i="1"/>
  <c r="A2198" i="1"/>
  <c r="G2198" i="1"/>
  <c r="H2198" i="1"/>
  <c r="J2198" i="1"/>
  <c r="A2199" i="1"/>
  <c r="G2199" i="1"/>
  <c r="H2199" i="1"/>
  <c r="J2199" i="1"/>
  <c r="A2200" i="1"/>
  <c r="G2200" i="1"/>
  <c r="H2200" i="1"/>
  <c r="J2200" i="1"/>
  <c r="A2201" i="1"/>
  <c r="G2201" i="1"/>
  <c r="H2201" i="1"/>
  <c r="J2201" i="1"/>
  <c r="A2202" i="1"/>
  <c r="G2202" i="1"/>
  <c r="H2202" i="1"/>
  <c r="J2202" i="1"/>
  <c r="A2203" i="1"/>
  <c r="G2203" i="1"/>
  <c r="H2203" i="1"/>
  <c r="J2203" i="1"/>
  <c r="A2204" i="1"/>
  <c r="G2204" i="1"/>
  <c r="H2204" i="1"/>
  <c r="J2204" i="1"/>
  <c r="A2205" i="1"/>
  <c r="G2205" i="1"/>
  <c r="H2205" i="1"/>
  <c r="J2205" i="1"/>
  <c r="A2206" i="1"/>
  <c r="G2206" i="1"/>
  <c r="H2206" i="1"/>
  <c r="J2206" i="1"/>
  <c r="A2207" i="1"/>
  <c r="G2207" i="1"/>
  <c r="H2207" i="1"/>
  <c r="J2207" i="1"/>
  <c r="A2208" i="1"/>
  <c r="G2208" i="1"/>
  <c r="H2208" i="1"/>
  <c r="J2208" i="1"/>
  <c r="A2209" i="1"/>
  <c r="G2209" i="1"/>
  <c r="H2209" i="1"/>
  <c r="J2209" i="1"/>
  <c r="A2210" i="1"/>
  <c r="G2210" i="1"/>
  <c r="H2210" i="1"/>
  <c r="J2210" i="1"/>
  <c r="A2211" i="1"/>
  <c r="G2211" i="1"/>
  <c r="H2211" i="1"/>
  <c r="J2211" i="1"/>
  <c r="A2212" i="1"/>
  <c r="G2212" i="1"/>
  <c r="H2212" i="1"/>
  <c r="J2212" i="1"/>
  <c r="A2213" i="1"/>
  <c r="G2213" i="1"/>
  <c r="H2213" i="1"/>
  <c r="J2213" i="1"/>
  <c r="A2214" i="1"/>
  <c r="G2214" i="1"/>
  <c r="H2214" i="1"/>
  <c r="J2214" i="1"/>
  <c r="A2215" i="1"/>
  <c r="G2215" i="1"/>
  <c r="H2215" i="1"/>
  <c r="J2215" i="1"/>
  <c r="A2216" i="1"/>
  <c r="G2216" i="1"/>
  <c r="H2216" i="1"/>
  <c r="J2216" i="1"/>
  <c r="A2217" i="1"/>
  <c r="G2217" i="1"/>
  <c r="H2217" i="1"/>
  <c r="J2217" i="1"/>
  <c r="A2218" i="1"/>
  <c r="G2218" i="1"/>
  <c r="H2218" i="1"/>
  <c r="J2218" i="1"/>
  <c r="A2219" i="1"/>
  <c r="G2219" i="1"/>
  <c r="H2219" i="1"/>
  <c r="J2219" i="1"/>
  <c r="A2220" i="1"/>
  <c r="G2220" i="1"/>
  <c r="H2220" i="1"/>
  <c r="J2220" i="1"/>
  <c r="A2221" i="1"/>
  <c r="G2221" i="1"/>
  <c r="H2221" i="1"/>
  <c r="J2221" i="1"/>
  <c r="A2222" i="1"/>
  <c r="G2222" i="1"/>
  <c r="H2222" i="1"/>
  <c r="J2222" i="1"/>
  <c r="A2223" i="1"/>
  <c r="G2223" i="1"/>
  <c r="H2223" i="1"/>
  <c r="J2223" i="1"/>
  <c r="A2224" i="1"/>
  <c r="G2224" i="1"/>
  <c r="H2224" i="1"/>
  <c r="J2224" i="1"/>
  <c r="A2225" i="1"/>
  <c r="G2225" i="1"/>
  <c r="H2225" i="1"/>
  <c r="J2225" i="1"/>
  <c r="A2226" i="1"/>
  <c r="G2226" i="1"/>
  <c r="H2226" i="1"/>
  <c r="J2226" i="1"/>
  <c r="A2227" i="1"/>
  <c r="G2227" i="1"/>
  <c r="H2227" i="1"/>
  <c r="J2227" i="1"/>
  <c r="A2228" i="1"/>
  <c r="G2228" i="1"/>
  <c r="H2228" i="1"/>
  <c r="J2228" i="1"/>
  <c r="A2229" i="1"/>
  <c r="G2229" i="1"/>
  <c r="H2229" i="1"/>
  <c r="J2229" i="1"/>
  <c r="A2230" i="1"/>
  <c r="G2230" i="1"/>
  <c r="H2230" i="1"/>
  <c r="J2230" i="1"/>
  <c r="A2231" i="1"/>
  <c r="G2231" i="1"/>
  <c r="H2231" i="1"/>
  <c r="J2231" i="1"/>
  <c r="A2232" i="1"/>
  <c r="G2232" i="1"/>
  <c r="H2232" i="1"/>
  <c r="J2232" i="1"/>
  <c r="A2233" i="1"/>
  <c r="G2233" i="1"/>
  <c r="H2233" i="1"/>
  <c r="J2233" i="1"/>
  <c r="A2234" i="1"/>
  <c r="G2234" i="1"/>
  <c r="H2234" i="1"/>
  <c r="J2234" i="1"/>
  <c r="A2235" i="1"/>
  <c r="G2235" i="1"/>
  <c r="H2235" i="1"/>
  <c r="J2235" i="1"/>
  <c r="A2236" i="1"/>
  <c r="G2236" i="1"/>
  <c r="H2236" i="1"/>
  <c r="J2236" i="1"/>
  <c r="A2237" i="1"/>
  <c r="G2237" i="1"/>
  <c r="H2237" i="1"/>
  <c r="J2237" i="1"/>
  <c r="A2238" i="1"/>
  <c r="G2238" i="1"/>
  <c r="H2238" i="1"/>
  <c r="J2238" i="1"/>
  <c r="A2239" i="1"/>
  <c r="G2239" i="1"/>
  <c r="H2239" i="1"/>
  <c r="J2239" i="1"/>
  <c r="A2240" i="1"/>
  <c r="G2240" i="1"/>
  <c r="H2240" i="1"/>
  <c r="J2240" i="1"/>
  <c r="A2241" i="1"/>
  <c r="G2241" i="1"/>
  <c r="H2241" i="1"/>
  <c r="J2241" i="1"/>
  <c r="A2242" i="1"/>
  <c r="G2242" i="1"/>
  <c r="H2242" i="1"/>
  <c r="J2242" i="1"/>
  <c r="A2243" i="1"/>
  <c r="G2243" i="1"/>
  <c r="H2243" i="1"/>
  <c r="J2243" i="1"/>
  <c r="A2244" i="1"/>
  <c r="G2244" i="1"/>
  <c r="H2244" i="1"/>
  <c r="J2244" i="1"/>
  <c r="A2245" i="1"/>
  <c r="G2245" i="1"/>
  <c r="H2245" i="1"/>
  <c r="J2245" i="1"/>
  <c r="A2246" i="1"/>
  <c r="G2246" i="1"/>
  <c r="H2246" i="1"/>
  <c r="J2246" i="1"/>
  <c r="A2247" i="1"/>
  <c r="G2247" i="1"/>
  <c r="H2247" i="1"/>
  <c r="J2247" i="1"/>
  <c r="A2248" i="1"/>
  <c r="G2248" i="1"/>
  <c r="H2248" i="1"/>
  <c r="J2248" i="1"/>
  <c r="A2249" i="1"/>
  <c r="G2249" i="1"/>
  <c r="H2249" i="1"/>
  <c r="J2249" i="1"/>
  <c r="A2250" i="1"/>
  <c r="G2250" i="1"/>
  <c r="H2250" i="1"/>
  <c r="J2250" i="1"/>
  <c r="A2251" i="1"/>
  <c r="G2251" i="1"/>
  <c r="H2251" i="1"/>
  <c r="J2251" i="1"/>
  <c r="A2252" i="1"/>
  <c r="G2252" i="1"/>
  <c r="H2252" i="1"/>
  <c r="J2252" i="1"/>
  <c r="A2253" i="1"/>
  <c r="G2253" i="1"/>
  <c r="H2253" i="1"/>
  <c r="J2253" i="1"/>
  <c r="A2254" i="1"/>
  <c r="G2254" i="1"/>
  <c r="H2254" i="1"/>
  <c r="J2254" i="1"/>
  <c r="A2255" i="1"/>
  <c r="G2255" i="1"/>
  <c r="H2255" i="1"/>
  <c r="J2255" i="1"/>
  <c r="A2256" i="1"/>
  <c r="G2256" i="1"/>
  <c r="H2256" i="1"/>
  <c r="J2256" i="1"/>
  <c r="A2257" i="1"/>
  <c r="G2257" i="1"/>
  <c r="H2257" i="1"/>
  <c r="J2257" i="1"/>
  <c r="A2258" i="1"/>
  <c r="G2258" i="1"/>
  <c r="H2258" i="1"/>
  <c r="J2258" i="1"/>
  <c r="A2259" i="1"/>
  <c r="G2259" i="1"/>
  <c r="H2259" i="1"/>
  <c r="J2259" i="1"/>
  <c r="A2260" i="1"/>
  <c r="G2260" i="1"/>
  <c r="H2260" i="1"/>
  <c r="J2260" i="1"/>
  <c r="A2261" i="1"/>
  <c r="G2261" i="1"/>
  <c r="H2261" i="1"/>
  <c r="J2261" i="1"/>
  <c r="A2262" i="1"/>
  <c r="G2262" i="1"/>
  <c r="H2262" i="1"/>
  <c r="J2262" i="1"/>
  <c r="A2263" i="1"/>
  <c r="G2263" i="1"/>
  <c r="H2263" i="1"/>
  <c r="J2263" i="1"/>
  <c r="A2264" i="1"/>
  <c r="G2264" i="1"/>
  <c r="H2264" i="1"/>
  <c r="J2264" i="1"/>
  <c r="A2265" i="1"/>
  <c r="G2265" i="1"/>
  <c r="H2265" i="1"/>
  <c r="J2265" i="1"/>
  <c r="A2266" i="1"/>
  <c r="G2266" i="1"/>
  <c r="H2266" i="1"/>
  <c r="J2266" i="1"/>
  <c r="A2267" i="1"/>
  <c r="G2267" i="1"/>
  <c r="H2267" i="1"/>
  <c r="J2267" i="1"/>
  <c r="A2268" i="1"/>
  <c r="G2268" i="1"/>
  <c r="H2268" i="1"/>
  <c r="J2268" i="1"/>
  <c r="A2269" i="1"/>
  <c r="G2269" i="1"/>
  <c r="H2269" i="1"/>
  <c r="J2269" i="1"/>
  <c r="A2270" i="1"/>
  <c r="G2270" i="1"/>
  <c r="H2270" i="1"/>
  <c r="J2270" i="1"/>
  <c r="A2271" i="1"/>
  <c r="G2271" i="1"/>
  <c r="H2271" i="1"/>
  <c r="J2271" i="1"/>
  <c r="A2272" i="1"/>
  <c r="G2272" i="1"/>
  <c r="H2272" i="1"/>
  <c r="J2272" i="1"/>
  <c r="A2273" i="1"/>
  <c r="G2273" i="1"/>
  <c r="H2273" i="1"/>
  <c r="J2273" i="1"/>
  <c r="A2274" i="1"/>
  <c r="G2274" i="1"/>
  <c r="H2274" i="1"/>
  <c r="J2274" i="1"/>
  <c r="A2275" i="1"/>
  <c r="G2275" i="1"/>
  <c r="H2275" i="1"/>
  <c r="J2275" i="1"/>
  <c r="A2276" i="1"/>
  <c r="G2276" i="1"/>
  <c r="H2276" i="1"/>
  <c r="J2276" i="1"/>
  <c r="A2277" i="1"/>
  <c r="G2277" i="1"/>
  <c r="H2277" i="1"/>
  <c r="J2277" i="1"/>
  <c r="A2278" i="1"/>
  <c r="G2278" i="1"/>
  <c r="H2278" i="1"/>
  <c r="J2278" i="1"/>
  <c r="A2279" i="1"/>
  <c r="G2279" i="1"/>
  <c r="H2279" i="1"/>
  <c r="J2279" i="1"/>
  <c r="A2280" i="1"/>
  <c r="G2280" i="1"/>
  <c r="H2280" i="1"/>
  <c r="J2280" i="1"/>
  <c r="A2281" i="1"/>
  <c r="G2281" i="1"/>
  <c r="H2281" i="1"/>
  <c r="J2281" i="1"/>
  <c r="A2282" i="1"/>
  <c r="G2282" i="1"/>
  <c r="H2282" i="1"/>
  <c r="J2282" i="1"/>
  <c r="A2283" i="1"/>
  <c r="G2283" i="1"/>
  <c r="H2283" i="1"/>
  <c r="J2283" i="1"/>
  <c r="A2284" i="1"/>
  <c r="G2284" i="1"/>
  <c r="H2284" i="1"/>
  <c r="J2284" i="1"/>
  <c r="A2285" i="1"/>
  <c r="G2285" i="1"/>
  <c r="H2285" i="1"/>
  <c r="J2285" i="1"/>
  <c r="A2286" i="1"/>
  <c r="G2286" i="1"/>
  <c r="H2286" i="1"/>
  <c r="J2286" i="1"/>
  <c r="A2287" i="1"/>
  <c r="G2287" i="1"/>
  <c r="H2287" i="1"/>
  <c r="J2287" i="1"/>
  <c r="A2288" i="1"/>
  <c r="G2288" i="1"/>
  <c r="H2288" i="1"/>
  <c r="J2288" i="1"/>
  <c r="A2289" i="1"/>
  <c r="G2289" i="1"/>
  <c r="H2289" i="1"/>
  <c r="J2289" i="1"/>
  <c r="A2290" i="1"/>
  <c r="G2290" i="1"/>
  <c r="H2290" i="1"/>
  <c r="J2290" i="1"/>
  <c r="A2291" i="1"/>
  <c r="G2291" i="1"/>
  <c r="H2291" i="1"/>
  <c r="J2291" i="1"/>
  <c r="A2292" i="1"/>
  <c r="G2292" i="1"/>
  <c r="H2292" i="1"/>
  <c r="J2292" i="1"/>
  <c r="A2293" i="1"/>
  <c r="G2293" i="1"/>
  <c r="H2293" i="1"/>
  <c r="J2293" i="1"/>
  <c r="A2294" i="1"/>
  <c r="G2294" i="1"/>
  <c r="H2294" i="1"/>
  <c r="J2294" i="1"/>
  <c r="A2295" i="1"/>
  <c r="G2295" i="1"/>
  <c r="H2295" i="1"/>
  <c r="J2295" i="1"/>
  <c r="A2296" i="1"/>
  <c r="G2296" i="1"/>
  <c r="H2296" i="1"/>
  <c r="J2296" i="1"/>
  <c r="A2297" i="1"/>
  <c r="G2297" i="1"/>
  <c r="H2297" i="1"/>
  <c r="J2297" i="1"/>
  <c r="A2298" i="1"/>
  <c r="G2298" i="1"/>
  <c r="H2298" i="1"/>
  <c r="J2298" i="1"/>
  <c r="A2299" i="1"/>
  <c r="G2299" i="1"/>
  <c r="H2299" i="1"/>
  <c r="J2299" i="1"/>
  <c r="A2300" i="1"/>
  <c r="G2300" i="1"/>
  <c r="H2300" i="1"/>
  <c r="J2300" i="1"/>
  <c r="A2301" i="1"/>
  <c r="G2301" i="1"/>
  <c r="H2301" i="1"/>
  <c r="J2301" i="1"/>
  <c r="A2302" i="1"/>
  <c r="G2302" i="1"/>
  <c r="H2302" i="1"/>
  <c r="J2302" i="1"/>
  <c r="A2303" i="1"/>
  <c r="G2303" i="1"/>
  <c r="H2303" i="1"/>
  <c r="J2303" i="1"/>
  <c r="A2304" i="1"/>
  <c r="G2304" i="1"/>
  <c r="H2304" i="1"/>
  <c r="J2304" i="1"/>
  <c r="A2305" i="1"/>
  <c r="G2305" i="1"/>
  <c r="H2305" i="1"/>
  <c r="J2305" i="1"/>
  <c r="A2306" i="1"/>
  <c r="G2306" i="1"/>
  <c r="H2306" i="1"/>
  <c r="J2306" i="1"/>
  <c r="A2307" i="1"/>
  <c r="G2307" i="1"/>
  <c r="H2307" i="1"/>
  <c r="J2307" i="1"/>
  <c r="A2308" i="1"/>
  <c r="G2308" i="1"/>
  <c r="H2308" i="1"/>
  <c r="J2308" i="1"/>
  <c r="A2309" i="1"/>
  <c r="G2309" i="1"/>
  <c r="H2309" i="1"/>
  <c r="J2309" i="1"/>
  <c r="A2310" i="1"/>
  <c r="G2310" i="1"/>
  <c r="H2310" i="1"/>
  <c r="J2310" i="1"/>
  <c r="A2311" i="1"/>
  <c r="G2311" i="1"/>
  <c r="H2311" i="1"/>
  <c r="J2311" i="1"/>
  <c r="A2312" i="1"/>
  <c r="G2312" i="1"/>
  <c r="H2312" i="1"/>
  <c r="J2312" i="1"/>
  <c r="A2313" i="1"/>
  <c r="G2313" i="1"/>
  <c r="H2313" i="1"/>
  <c r="J2313" i="1"/>
  <c r="A2314" i="1"/>
  <c r="G2314" i="1"/>
  <c r="H2314" i="1"/>
  <c r="J2314" i="1"/>
  <c r="A2315" i="1"/>
  <c r="G2315" i="1"/>
  <c r="H2315" i="1"/>
  <c r="J2315" i="1"/>
  <c r="A2316" i="1"/>
  <c r="G2316" i="1"/>
  <c r="H2316" i="1"/>
  <c r="J2316" i="1"/>
  <c r="A2317" i="1"/>
  <c r="G2317" i="1"/>
  <c r="H2317" i="1"/>
  <c r="J2317" i="1"/>
  <c r="A2318" i="1"/>
  <c r="G2318" i="1"/>
  <c r="H2318" i="1"/>
  <c r="J2318" i="1"/>
  <c r="A2319" i="1"/>
  <c r="G2319" i="1"/>
  <c r="H2319" i="1"/>
  <c r="J2319" i="1"/>
  <c r="A2320" i="1"/>
  <c r="G2320" i="1"/>
  <c r="H2320" i="1"/>
  <c r="J2320" i="1"/>
  <c r="A2321" i="1"/>
  <c r="G2321" i="1"/>
  <c r="H2321" i="1"/>
  <c r="J2321" i="1"/>
  <c r="A2322" i="1"/>
  <c r="G2322" i="1"/>
  <c r="H2322" i="1"/>
  <c r="J2322" i="1"/>
  <c r="A2323" i="1"/>
  <c r="G2323" i="1"/>
  <c r="H2323" i="1"/>
  <c r="J2323" i="1"/>
  <c r="A2324" i="1"/>
  <c r="G2324" i="1"/>
  <c r="H2324" i="1"/>
  <c r="J2324" i="1"/>
  <c r="A2325" i="1"/>
  <c r="G2325" i="1"/>
  <c r="H2325" i="1"/>
  <c r="J2325" i="1"/>
  <c r="A2326" i="1"/>
  <c r="G2326" i="1"/>
  <c r="H2326" i="1"/>
  <c r="J2326" i="1"/>
  <c r="A2327" i="1"/>
  <c r="G2327" i="1"/>
  <c r="H2327" i="1"/>
  <c r="J2327" i="1"/>
  <c r="A2328" i="1"/>
  <c r="G2328" i="1"/>
  <c r="H2328" i="1"/>
  <c r="J2328" i="1"/>
  <c r="A2329" i="1"/>
  <c r="G2329" i="1"/>
  <c r="H2329" i="1"/>
  <c r="J2329" i="1"/>
  <c r="A2330" i="1"/>
  <c r="G2330" i="1"/>
  <c r="H2330" i="1"/>
  <c r="J2330" i="1"/>
  <c r="A2331" i="1"/>
  <c r="G2331" i="1"/>
  <c r="H2331" i="1"/>
  <c r="J2331" i="1"/>
  <c r="A2332" i="1"/>
  <c r="G2332" i="1"/>
  <c r="H2332" i="1"/>
  <c r="J2332" i="1"/>
  <c r="A2333" i="1"/>
  <c r="G2333" i="1"/>
  <c r="H2333" i="1"/>
  <c r="J2333" i="1"/>
  <c r="A2334" i="1"/>
  <c r="G2334" i="1"/>
  <c r="H2334" i="1"/>
  <c r="J2334" i="1"/>
  <c r="A2335" i="1"/>
  <c r="G2335" i="1"/>
  <c r="H2335" i="1"/>
  <c r="J2335" i="1"/>
  <c r="A2336" i="1"/>
  <c r="G2336" i="1"/>
  <c r="H2336" i="1"/>
  <c r="J2336" i="1"/>
  <c r="A2337" i="1"/>
  <c r="G2337" i="1"/>
  <c r="H2337" i="1"/>
  <c r="J2337" i="1"/>
  <c r="A2338" i="1"/>
  <c r="G2338" i="1"/>
  <c r="H2338" i="1"/>
  <c r="J2338" i="1"/>
  <c r="A2339" i="1"/>
  <c r="G2339" i="1"/>
  <c r="H2339" i="1"/>
  <c r="J2339" i="1"/>
  <c r="A2340" i="1"/>
  <c r="G2340" i="1"/>
  <c r="H2340" i="1"/>
  <c r="J2340" i="1"/>
  <c r="A2341" i="1"/>
  <c r="G2341" i="1"/>
  <c r="H2341" i="1"/>
  <c r="J2341" i="1"/>
  <c r="A2342" i="1"/>
  <c r="G2342" i="1"/>
  <c r="H2342" i="1"/>
  <c r="J2342" i="1"/>
  <c r="A2343" i="1"/>
  <c r="G2343" i="1"/>
  <c r="H2343" i="1"/>
  <c r="J2343" i="1"/>
  <c r="A2344" i="1"/>
  <c r="G2344" i="1"/>
  <c r="H2344" i="1"/>
  <c r="J2344" i="1"/>
  <c r="A2345" i="1"/>
  <c r="G2345" i="1"/>
  <c r="H2345" i="1"/>
  <c r="J2345" i="1"/>
  <c r="A2346" i="1"/>
  <c r="G2346" i="1"/>
  <c r="H2346" i="1"/>
  <c r="J2346" i="1"/>
  <c r="A2347" i="1"/>
  <c r="G2347" i="1"/>
  <c r="H2347" i="1"/>
  <c r="J2347" i="1"/>
  <c r="A2348" i="1"/>
  <c r="G2348" i="1"/>
  <c r="H2348" i="1"/>
  <c r="J2348" i="1"/>
  <c r="A2349" i="1"/>
  <c r="G2349" i="1"/>
  <c r="H2349" i="1"/>
  <c r="J2349" i="1"/>
  <c r="A2350" i="1"/>
  <c r="G2350" i="1"/>
  <c r="H2350" i="1"/>
  <c r="J2350" i="1"/>
  <c r="A2351" i="1"/>
  <c r="G2351" i="1"/>
  <c r="H2351" i="1"/>
  <c r="J2351" i="1"/>
  <c r="A2352" i="1"/>
  <c r="G2352" i="1"/>
  <c r="H2352" i="1"/>
  <c r="J2352" i="1"/>
  <c r="A2353" i="1"/>
  <c r="G2353" i="1"/>
  <c r="H2353" i="1"/>
  <c r="J2353" i="1"/>
  <c r="A2354" i="1"/>
  <c r="G2354" i="1"/>
  <c r="H2354" i="1"/>
  <c r="J2354" i="1"/>
  <c r="A2355" i="1"/>
  <c r="G2355" i="1"/>
  <c r="H2355" i="1"/>
  <c r="J2355" i="1"/>
  <c r="A2356" i="1"/>
  <c r="G2356" i="1"/>
  <c r="H2356" i="1"/>
  <c r="J2356" i="1"/>
  <c r="A2357" i="1"/>
  <c r="G2357" i="1"/>
  <c r="H2357" i="1"/>
  <c r="J2357" i="1"/>
  <c r="A2358" i="1"/>
  <c r="G2358" i="1"/>
  <c r="H2358" i="1"/>
  <c r="J2358" i="1"/>
  <c r="A2359" i="1"/>
  <c r="G2359" i="1"/>
  <c r="H2359" i="1"/>
  <c r="J2359" i="1"/>
  <c r="A2360" i="1"/>
  <c r="G2360" i="1"/>
  <c r="H2360" i="1"/>
  <c r="J2360" i="1"/>
  <c r="A2361" i="1"/>
  <c r="G2361" i="1"/>
  <c r="H2361" i="1"/>
  <c r="J2361" i="1"/>
  <c r="A2362" i="1"/>
  <c r="G2362" i="1"/>
  <c r="H2362" i="1"/>
  <c r="J2362" i="1"/>
  <c r="A2363" i="1"/>
  <c r="G2363" i="1"/>
  <c r="H2363" i="1"/>
  <c r="J2363" i="1"/>
  <c r="A2364" i="1"/>
  <c r="G2364" i="1"/>
  <c r="H2364" i="1"/>
  <c r="J2364" i="1"/>
  <c r="A2365" i="1"/>
  <c r="G2365" i="1"/>
  <c r="H2365" i="1"/>
  <c r="J2365" i="1"/>
  <c r="A2366" i="1"/>
  <c r="G2366" i="1"/>
  <c r="H2366" i="1"/>
  <c r="J2366" i="1"/>
  <c r="A2367" i="1"/>
  <c r="G2367" i="1"/>
  <c r="H2367" i="1"/>
  <c r="J2367" i="1"/>
  <c r="A2368" i="1"/>
  <c r="G2368" i="1"/>
  <c r="H2368" i="1"/>
  <c r="J2368" i="1"/>
  <c r="A2369" i="1"/>
  <c r="G2369" i="1"/>
  <c r="H2369" i="1"/>
  <c r="J2369" i="1"/>
  <c r="A2370" i="1"/>
  <c r="G2370" i="1"/>
  <c r="H2370" i="1"/>
  <c r="J2370" i="1"/>
  <c r="A2371" i="1"/>
  <c r="G2371" i="1"/>
  <c r="H2371" i="1"/>
  <c r="J2371" i="1"/>
  <c r="A2372" i="1"/>
  <c r="G2372" i="1"/>
  <c r="H2372" i="1"/>
  <c r="J2372" i="1"/>
  <c r="A2373" i="1"/>
  <c r="G2373" i="1"/>
  <c r="H2373" i="1"/>
  <c r="J2373" i="1"/>
  <c r="A2374" i="1"/>
  <c r="G2374" i="1"/>
  <c r="H2374" i="1"/>
  <c r="J2374" i="1"/>
  <c r="A2375" i="1"/>
  <c r="G2375" i="1"/>
  <c r="H2375" i="1"/>
  <c r="J2375" i="1"/>
  <c r="A2376" i="1"/>
  <c r="G2376" i="1"/>
  <c r="H2376" i="1"/>
  <c r="J2376" i="1"/>
  <c r="A2377" i="1"/>
  <c r="G2377" i="1"/>
  <c r="H2377" i="1"/>
  <c r="J2377" i="1"/>
  <c r="A2378" i="1"/>
  <c r="G2378" i="1"/>
  <c r="H2378" i="1"/>
  <c r="J2378" i="1"/>
  <c r="A2379" i="1"/>
  <c r="G2379" i="1"/>
  <c r="H2379" i="1"/>
  <c r="J2379" i="1"/>
  <c r="A2380" i="1"/>
  <c r="G2380" i="1"/>
  <c r="H2380" i="1"/>
  <c r="J2380" i="1"/>
  <c r="A2381" i="1"/>
  <c r="G2381" i="1"/>
  <c r="H2381" i="1"/>
  <c r="J2381" i="1"/>
  <c r="A2382" i="1"/>
  <c r="G2382" i="1"/>
  <c r="H2382" i="1"/>
  <c r="J2382" i="1"/>
  <c r="A2383" i="1"/>
  <c r="G2383" i="1"/>
  <c r="H2383" i="1"/>
  <c r="J2383" i="1"/>
  <c r="A2384" i="1"/>
  <c r="G2384" i="1"/>
  <c r="H2384" i="1"/>
  <c r="J2384" i="1"/>
  <c r="A2385" i="1"/>
  <c r="G2385" i="1"/>
  <c r="H2385" i="1"/>
  <c r="J2385" i="1"/>
  <c r="A2386" i="1"/>
  <c r="G2386" i="1"/>
  <c r="H2386" i="1"/>
  <c r="J2386" i="1"/>
  <c r="A2387" i="1"/>
  <c r="G2387" i="1"/>
  <c r="H2387" i="1"/>
  <c r="J2387" i="1"/>
  <c r="A2388" i="1"/>
  <c r="G2388" i="1"/>
  <c r="H2388" i="1"/>
  <c r="J2388" i="1"/>
  <c r="A2389" i="1"/>
  <c r="G2389" i="1"/>
  <c r="H2389" i="1"/>
  <c r="J2389" i="1"/>
  <c r="A2390" i="1"/>
  <c r="G2390" i="1"/>
  <c r="H2390" i="1"/>
  <c r="J2390" i="1"/>
  <c r="A2391" i="1"/>
  <c r="G2391" i="1"/>
  <c r="H2391" i="1"/>
  <c r="J2391" i="1"/>
  <c r="A2392" i="1"/>
  <c r="G2392" i="1"/>
  <c r="H2392" i="1"/>
  <c r="J2392" i="1"/>
  <c r="A2393" i="1"/>
  <c r="G2393" i="1"/>
  <c r="H2393" i="1"/>
  <c r="J2393" i="1"/>
  <c r="A2394" i="1"/>
  <c r="G2394" i="1"/>
  <c r="H2394" i="1"/>
  <c r="J2394" i="1"/>
  <c r="A2395" i="1"/>
  <c r="G2395" i="1"/>
  <c r="H2395" i="1"/>
  <c r="J2395" i="1"/>
  <c r="A2396" i="1"/>
  <c r="G2396" i="1"/>
  <c r="H2396" i="1"/>
  <c r="J2396" i="1"/>
  <c r="A2397" i="1"/>
  <c r="G2397" i="1"/>
  <c r="H2397" i="1"/>
  <c r="J2397" i="1"/>
  <c r="A2398" i="1"/>
  <c r="G2398" i="1"/>
  <c r="H2398" i="1"/>
  <c r="J2398" i="1"/>
  <c r="A2399" i="1"/>
  <c r="G2399" i="1"/>
  <c r="H2399" i="1"/>
  <c r="J2399" i="1"/>
  <c r="A2400" i="1"/>
  <c r="G2400" i="1"/>
  <c r="H2400" i="1"/>
  <c r="J2400" i="1"/>
  <c r="A2401" i="1"/>
  <c r="G2401" i="1"/>
  <c r="H2401" i="1"/>
  <c r="J2401" i="1"/>
  <c r="A2402" i="1"/>
  <c r="G2402" i="1"/>
  <c r="H2402" i="1"/>
  <c r="J2402" i="1"/>
  <c r="A2403" i="1"/>
  <c r="G2403" i="1"/>
  <c r="H2403" i="1"/>
  <c r="J2403" i="1"/>
  <c r="A2404" i="1"/>
  <c r="G2404" i="1"/>
  <c r="H2404" i="1"/>
  <c r="J2404" i="1"/>
  <c r="A2405" i="1"/>
  <c r="G2405" i="1"/>
  <c r="H2405" i="1"/>
  <c r="J2405" i="1"/>
  <c r="A2406" i="1"/>
  <c r="G2406" i="1"/>
  <c r="H2406" i="1"/>
  <c r="J2406" i="1"/>
  <c r="A2407" i="1"/>
  <c r="G2407" i="1"/>
  <c r="H2407" i="1"/>
  <c r="J2407" i="1"/>
  <c r="A2408" i="1"/>
  <c r="G2408" i="1"/>
  <c r="H2408" i="1"/>
  <c r="J2408" i="1"/>
  <c r="A2409" i="1"/>
  <c r="G2409" i="1"/>
  <c r="H2409" i="1"/>
  <c r="J2409" i="1"/>
  <c r="A2410" i="1"/>
  <c r="G2410" i="1"/>
  <c r="H2410" i="1"/>
  <c r="J2410" i="1"/>
  <c r="A2411" i="1"/>
  <c r="G2411" i="1"/>
  <c r="H2411" i="1"/>
  <c r="J2411" i="1"/>
  <c r="A2412" i="1"/>
  <c r="G2412" i="1"/>
  <c r="H2412" i="1"/>
  <c r="J2412" i="1"/>
  <c r="A2413" i="1"/>
  <c r="G2413" i="1"/>
  <c r="H2413" i="1"/>
  <c r="J2413" i="1"/>
  <c r="A2414" i="1"/>
  <c r="G2414" i="1"/>
  <c r="H2414" i="1"/>
  <c r="J2414" i="1"/>
  <c r="A2415" i="1"/>
  <c r="G2415" i="1"/>
  <c r="H2415" i="1"/>
  <c r="J2415" i="1"/>
  <c r="A2416" i="1"/>
  <c r="G2416" i="1"/>
  <c r="H2416" i="1"/>
  <c r="J2416" i="1"/>
  <c r="A2417" i="1"/>
  <c r="G2417" i="1"/>
  <c r="H2417" i="1"/>
  <c r="J2417" i="1"/>
  <c r="A2418" i="1"/>
  <c r="G2418" i="1"/>
  <c r="H2418" i="1"/>
  <c r="J2418" i="1"/>
  <c r="A2419" i="1"/>
  <c r="G2419" i="1"/>
  <c r="H2419" i="1"/>
  <c r="J2419" i="1"/>
  <c r="A2420" i="1"/>
  <c r="G2420" i="1"/>
  <c r="H2420" i="1"/>
  <c r="J2420" i="1"/>
  <c r="A2421" i="1"/>
  <c r="G2421" i="1"/>
  <c r="H2421" i="1"/>
  <c r="J2421" i="1"/>
  <c r="A2422" i="1"/>
  <c r="G2422" i="1"/>
  <c r="H2422" i="1"/>
  <c r="J2422" i="1"/>
  <c r="A2423" i="1"/>
  <c r="G2423" i="1"/>
  <c r="H2423" i="1"/>
  <c r="J2423" i="1"/>
  <c r="A2424" i="1"/>
  <c r="G2424" i="1"/>
  <c r="H2424" i="1"/>
  <c r="J2424" i="1"/>
  <c r="A2425" i="1"/>
  <c r="G2425" i="1"/>
  <c r="H2425" i="1"/>
  <c r="J2425" i="1"/>
  <c r="A2426" i="1"/>
  <c r="G2426" i="1"/>
  <c r="H2426" i="1"/>
  <c r="J2426" i="1"/>
  <c r="A2427" i="1"/>
  <c r="G2427" i="1"/>
  <c r="H2427" i="1"/>
  <c r="J2427" i="1"/>
  <c r="A2428" i="1"/>
  <c r="G2428" i="1"/>
  <c r="H2428" i="1"/>
  <c r="J2428" i="1"/>
  <c r="A2429" i="1"/>
  <c r="G2429" i="1"/>
  <c r="H2429" i="1"/>
  <c r="J2429" i="1"/>
  <c r="A2430" i="1"/>
  <c r="G2430" i="1"/>
  <c r="H2430" i="1"/>
  <c r="J2430" i="1"/>
  <c r="A2431" i="1"/>
  <c r="G2431" i="1"/>
  <c r="H2431" i="1"/>
  <c r="J2431" i="1"/>
  <c r="A2432" i="1"/>
  <c r="G2432" i="1"/>
  <c r="H2432" i="1"/>
  <c r="J2432" i="1"/>
  <c r="A2433" i="1"/>
  <c r="G2433" i="1"/>
  <c r="H2433" i="1"/>
  <c r="J2433" i="1"/>
  <c r="A2434" i="1"/>
  <c r="G2434" i="1"/>
  <c r="H2434" i="1"/>
  <c r="J2434" i="1"/>
  <c r="A2435" i="1"/>
  <c r="G2435" i="1"/>
  <c r="H2435" i="1"/>
  <c r="J2435" i="1"/>
  <c r="A2436" i="1"/>
  <c r="G2436" i="1"/>
  <c r="H2436" i="1"/>
  <c r="J2436" i="1"/>
  <c r="A2437" i="1"/>
  <c r="G2437" i="1"/>
  <c r="H2437" i="1"/>
  <c r="J2437" i="1"/>
  <c r="A2438" i="1"/>
  <c r="G2438" i="1"/>
  <c r="H2438" i="1"/>
  <c r="J2438" i="1"/>
  <c r="A2439" i="1"/>
  <c r="G2439" i="1"/>
  <c r="H2439" i="1"/>
  <c r="J2439" i="1"/>
  <c r="A2440" i="1"/>
  <c r="G2440" i="1"/>
  <c r="H2440" i="1"/>
  <c r="J2440" i="1"/>
  <c r="A2441" i="1"/>
  <c r="G2441" i="1"/>
  <c r="H2441" i="1"/>
  <c r="J2441" i="1"/>
  <c r="A2442" i="1"/>
  <c r="G2442" i="1"/>
  <c r="H2442" i="1"/>
  <c r="J2442" i="1"/>
  <c r="A2443" i="1"/>
  <c r="G2443" i="1"/>
  <c r="H2443" i="1"/>
  <c r="J2443" i="1"/>
  <c r="A2444" i="1"/>
  <c r="G2444" i="1"/>
  <c r="H2444" i="1"/>
  <c r="J2444" i="1"/>
  <c r="A2445" i="1"/>
  <c r="G2445" i="1"/>
  <c r="H2445" i="1"/>
  <c r="J2445" i="1"/>
  <c r="A2446" i="1"/>
  <c r="G2446" i="1"/>
  <c r="H2446" i="1"/>
  <c r="J2446" i="1"/>
  <c r="A2447" i="1"/>
  <c r="G2447" i="1"/>
  <c r="H2447" i="1"/>
  <c r="J2447" i="1"/>
  <c r="A2448" i="1"/>
  <c r="G2448" i="1"/>
  <c r="H2448" i="1"/>
  <c r="J2448" i="1"/>
  <c r="A2449" i="1"/>
  <c r="G2449" i="1"/>
  <c r="H2449" i="1"/>
  <c r="J2449" i="1"/>
  <c r="A2450" i="1"/>
  <c r="G2450" i="1"/>
  <c r="H2450" i="1"/>
  <c r="J2450" i="1"/>
  <c r="A2451" i="1"/>
  <c r="G2451" i="1"/>
  <c r="H2451" i="1"/>
  <c r="J2451" i="1"/>
  <c r="A2452" i="1"/>
  <c r="G2452" i="1"/>
  <c r="H2452" i="1"/>
  <c r="J2452" i="1"/>
  <c r="A2453" i="1"/>
  <c r="G2453" i="1"/>
  <c r="H2453" i="1"/>
  <c r="J2453" i="1"/>
  <c r="A2454" i="1"/>
  <c r="G2454" i="1"/>
  <c r="H2454" i="1"/>
  <c r="J2454" i="1"/>
  <c r="A2455" i="1"/>
  <c r="G2455" i="1"/>
  <c r="H2455" i="1"/>
  <c r="J2455" i="1"/>
  <c r="A2456" i="1"/>
  <c r="G2456" i="1"/>
  <c r="H2456" i="1"/>
  <c r="J2456" i="1"/>
  <c r="A2457" i="1"/>
  <c r="G2457" i="1"/>
  <c r="H2457" i="1"/>
  <c r="J2457" i="1"/>
  <c r="A2458" i="1"/>
  <c r="G2458" i="1"/>
  <c r="H2458" i="1"/>
  <c r="J2458" i="1"/>
  <c r="A2459" i="1"/>
  <c r="G2459" i="1"/>
  <c r="H2459" i="1"/>
  <c r="J2459" i="1"/>
  <c r="A2460" i="1"/>
  <c r="G2460" i="1"/>
  <c r="H2460" i="1"/>
  <c r="J2460" i="1"/>
  <c r="A2461" i="1"/>
  <c r="G2461" i="1"/>
  <c r="H2461" i="1"/>
  <c r="J2461" i="1"/>
  <c r="A2462" i="1"/>
  <c r="G2462" i="1"/>
  <c r="H2462" i="1"/>
  <c r="J2462" i="1"/>
  <c r="A2463" i="1"/>
  <c r="G2463" i="1"/>
  <c r="H2463" i="1"/>
  <c r="J2463" i="1"/>
  <c r="A2464" i="1"/>
  <c r="G2464" i="1"/>
  <c r="H2464" i="1"/>
  <c r="J2464" i="1"/>
  <c r="A2465" i="1"/>
  <c r="G2465" i="1"/>
  <c r="H2465" i="1"/>
  <c r="J2465" i="1"/>
  <c r="A2466" i="1"/>
  <c r="G2466" i="1"/>
  <c r="H2466" i="1"/>
  <c r="J2466" i="1"/>
  <c r="A2467" i="1"/>
  <c r="G2467" i="1"/>
  <c r="H2467" i="1"/>
  <c r="J2467" i="1"/>
  <c r="A2468" i="1"/>
  <c r="G2468" i="1"/>
  <c r="H2468" i="1"/>
  <c r="J2468" i="1"/>
  <c r="A2469" i="1"/>
  <c r="G2469" i="1"/>
  <c r="H2469" i="1"/>
  <c r="J2469" i="1"/>
  <c r="A2470" i="1"/>
  <c r="G2470" i="1"/>
  <c r="H2470" i="1"/>
  <c r="J2470" i="1"/>
  <c r="A2471" i="1"/>
  <c r="G2471" i="1"/>
  <c r="H2471" i="1"/>
  <c r="J2471" i="1"/>
  <c r="A2472" i="1"/>
  <c r="G2472" i="1"/>
  <c r="H2472" i="1"/>
  <c r="J2472" i="1"/>
  <c r="A2473" i="1"/>
  <c r="G2473" i="1"/>
  <c r="H2473" i="1"/>
  <c r="J2473" i="1"/>
  <c r="A2474" i="1"/>
  <c r="G2474" i="1"/>
  <c r="H2474" i="1"/>
  <c r="J2474" i="1"/>
  <c r="A2475" i="1"/>
  <c r="G2475" i="1"/>
  <c r="H2475" i="1"/>
  <c r="J2475" i="1"/>
  <c r="A2476" i="1"/>
  <c r="G2476" i="1"/>
  <c r="H2476" i="1"/>
  <c r="J2476" i="1"/>
  <c r="A2477" i="1"/>
  <c r="G2477" i="1"/>
  <c r="H2477" i="1"/>
  <c r="J2477" i="1"/>
  <c r="A2478" i="1"/>
  <c r="G2478" i="1"/>
  <c r="H2478" i="1"/>
  <c r="J2478" i="1"/>
  <c r="A2479" i="1"/>
  <c r="G2479" i="1"/>
  <c r="H2479" i="1"/>
  <c r="J2479" i="1"/>
  <c r="A2480" i="1"/>
  <c r="G2480" i="1"/>
  <c r="H2480" i="1"/>
  <c r="J2480" i="1"/>
  <c r="A2481" i="1"/>
  <c r="G2481" i="1"/>
  <c r="H2481" i="1"/>
  <c r="J2481" i="1"/>
  <c r="A2482" i="1"/>
  <c r="G2482" i="1"/>
  <c r="H2482" i="1"/>
  <c r="J2482" i="1"/>
  <c r="A2483" i="1"/>
  <c r="G2483" i="1"/>
  <c r="H2483" i="1"/>
  <c r="J2483" i="1"/>
  <c r="A2484" i="1"/>
  <c r="G2484" i="1"/>
  <c r="H2484" i="1"/>
  <c r="J2484" i="1"/>
  <c r="A2485" i="1"/>
  <c r="G2485" i="1"/>
  <c r="H2485" i="1"/>
  <c r="J2485" i="1"/>
  <c r="A2486" i="1"/>
  <c r="G2486" i="1"/>
  <c r="H2486" i="1"/>
  <c r="J2486" i="1"/>
  <c r="A2487" i="1"/>
  <c r="G2487" i="1"/>
  <c r="H2487" i="1"/>
  <c r="J2487" i="1"/>
  <c r="A2488" i="1"/>
  <c r="G2488" i="1"/>
  <c r="H2488" i="1"/>
  <c r="J2488" i="1"/>
  <c r="A2489" i="1"/>
  <c r="G2489" i="1"/>
  <c r="H2489" i="1"/>
  <c r="J2489" i="1"/>
  <c r="A2490" i="1"/>
  <c r="G2490" i="1"/>
  <c r="H2490" i="1"/>
  <c r="J2490" i="1"/>
  <c r="A2491" i="1"/>
  <c r="G2491" i="1"/>
  <c r="H2491" i="1"/>
  <c r="J2491" i="1"/>
  <c r="A2492" i="1"/>
  <c r="G2492" i="1"/>
  <c r="H2492" i="1"/>
  <c r="J2492" i="1"/>
  <c r="A2493" i="1"/>
  <c r="G2493" i="1"/>
  <c r="H2493" i="1"/>
  <c r="J2493" i="1"/>
  <c r="A2494" i="1"/>
  <c r="G2494" i="1"/>
  <c r="H2494" i="1"/>
  <c r="J2494" i="1"/>
  <c r="A2495" i="1"/>
  <c r="G2495" i="1"/>
  <c r="H2495" i="1"/>
  <c r="J2495" i="1"/>
  <c r="A2496" i="1"/>
  <c r="G2496" i="1"/>
  <c r="H2496" i="1"/>
  <c r="J2496" i="1"/>
  <c r="A2497" i="1"/>
  <c r="G2497" i="1"/>
  <c r="H2497" i="1"/>
  <c r="J2497" i="1"/>
  <c r="A2498" i="1"/>
  <c r="G2498" i="1"/>
  <c r="H2498" i="1"/>
  <c r="J2498" i="1"/>
  <c r="A2499" i="1"/>
  <c r="G2499" i="1"/>
  <c r="H2499" i="1"/>
  <c r="J2499" i="1"/>
  <c r="A2500" i="1"/>
  <c r="G2500" i="1"/>
  <c r="H2500" i="1"/>
  <c r="J2500" i="1"/>
  <c r="A2501" i="1"/>
  <c r="G2501" i="1"/>
  <c r="H2501" i="1"/>
  <c r="J2501" i="1"/>
  <c r="A2502" i="1"/>
  <c r="G2502" i="1"/>
  <c r="H2502" i="1"/>
  <c r="J2502" i="1"/>
  <c r="A2503" i="1"/>
  <c r="G2503" i="1"/>
  <c r="H2503" i="1"/>
  <c r="J2503" i="1"/>
  <c r="A2504" i="1"/>
  <c r="G2504" i="1"/>
  <c r="H2504" i="1"/>
  <c r="J2504" i="1"/>
  <c r="A2505" i="1"/>
  <c r="G2505" i="1"/>
  <c r="H2505" i="1"/>
  <c r="J2505" i="1"/>
  <c r="A2506" i="1"/>
  <c r="G2506" i="1"/>
  <c r="H2506" i="1"/>
  <c r="J2506" i="1"/>
  <c r="A2507" i="1"/>
  <c r="G2507" i="1"/>
  <c r="H2507" i="1"/>
  <c r="J2507" i="1"/>
  <c r="A2508" i="1"/>
  <c r="G2508" i="1"/>
  <c r="H2508" i="1"/>
  <c r="J2508" i="1"/>
  <c r="A2509" i="1"/>
  <c r="G2509" i="1"/>
  <c r="H2509" i="1"/>
  <c r="J2509" i="1"/>
  <c r="A2510" i="1"/>
  <c r="G2510" i="1"/>
  <c r="H2510" i="1"/>
  <c r="J2510" i="1"/>
  <c r="A2511" i="1"/>
  <c r="G2511" i="1"/>
  <c r="H2511" i="1"/>
  <c r="J2511" i="1"/>
  <c r="A2512" i="1"/>
  <c r="G2512" i="1"/>
  <c r="H2512" i="1"/>
  <c r="J2512" i="1"/>
  <c r="A2513" i="1"/>
  <c r="G2513" i="1"/>
  <c r="H2513" i="1"/>
  <c r="J2513" i="1"/>
  <c r="A2514" i="1"/>
  <c r="G2514" i="1"/>
  <c r="H2514" i="1"/>
  <c r="J2514" i="1"/>
  <c r="A2515" i="1"/>
  <c r="G2515" i="1"/>
  <c r="H2515" i="1"/>
  <c r="J2515" i="1"/>
  <c r="A2516" i="1"/>
  <c r="G2516" i="1"/>
  <c r="H2516" i="1"/>
  <c r="J2516" i="1"/>
  <c r="A2517" i="1"/>
  <c r="G2517" i="1"/>
  <c r="H2517" i="1"/>
  <c r="J2517" i="1"/>
  <c r="A2518" i="1"/>
  <c r="G2518" i="1"/>
  <c r="H2518" i="1"/>
  <c r="J2518" i="1"/>
  <c r="A2519" i="1"/>
  <c r="G2519" i="1"/>
  <c r="H2519" i="1"/>
  <c r="J2519" i="1"/>
  <c r="A2520" i="1"/>
  <c r="G2520" i="1"/>
  <c r="H2520" i="1"/>
  <c r="J2520" i="1"/>
  <c r="A2521" i="1"/>
  <c r="G2521" i="1"/>
  <c r="H2521" i="1"/>
  <c r="J2521" i="1"/>
  <c r="A2522" i="1"/>
  <c r="G2522" i="1"/>
  <c r="H2522" i="1"/>
  <c r="J2522" i="1"/>
  <c r="A2523" i="1"/>
  <c r="G2523" i="1"/>
  <c r="H2523" i="1"/>
  <c r="J2523" i="1"/>
  <c r="A2524" i="1"/>
  <c r="G2524" i="1"/>
  <c r="H2524" i="1"/>
  <c r="J2524" i="1"/>
  <c r="A2525" i="1"/>
  <c r="G2525" i="1"/>
  <c r="H2525" i="1"/>
  <c r="J2525" i="1"/>
  <c r="A2526" i="1"/>
  <c r="G2526" i="1"/>
  <c r="H2526" i="1"/>
  <c r="J2526" i="1"/>
  <c r="A2527" i="1"/>
  <c r="G2527" i="1"/>
  <c r="H2527" i="1"/>
  <c r="J2527" i="1"/>
  <c r="A2528" i="1"/>
  <c r="G2528" i="1"/>
  <c r="H2528" i="1"/>
  <c r="J2528" i="1"/>
  <c r="A2529" i="1"/>
  <c r="G2529" i="1"/>
  <c r="H2529" i="1"/>
  <c r="J2529" i="1"/>
  <c r="A2530" i="1"/>
  <c r="G2530" i="1"/>
  <c r="H2530" i="1"/>
  <c r="J2530" i="1"/>
  <c r="A2531" i="1"/>
  <c r="G2531" i="1"/>
  <c r="H2531" i="1"/>
  <c r="J2531" i="1"/>
  <c r="A2532" i="1"/>
  <c r="G2532" i="1"/>
  <c r="H2532" i="1"/>
  <c r="J2532" i="1"/>
  <c r="A2533" i="1"/>
  <c r="G2533" i="1"/>
  <c r="H2533" i="1"/>
  <c r="J2533" i="1"/>
  <c r="A2534" i="1"/>
  <c r="G2534" i="1"/>
  <c r="H2534" i="1"/>
  <c r="J2534" i="1"/>
  <c r="A2535" i="1"/>
  <c r="G2535" i="1"/>
  <c r="H2535" i="1"/>
  <c r="J2535" i="1"/>
  <c r="A2536" i="1"/>
  <c r="G2536" i="1"/>
  <c r="H2536" i="1"/>
  <c r="J2536" i="1"/>
  <c r="A2537" i="1"/>
  <c r="G2537" i="1"/>
  <c r="H2537" i="1"/>
  <c r="J2537" i="1"/>
  <c r="A2538" i="1"/>
  <c r="G2538" i="1"/>
  <c r="H2538" i="1"/>
  <c r="J2538" i="1"/>
  <c r="A2539" i="1"/>
  <c r="G2539" i="1"/>
  <c r="H2539" i="1"/>
  <c r="J2539" i="1"/>
  <c r="A2540" i="1"/>
  <c r="G2540" i="1"/>
  <c r="H2540" i="1"/>
  <c r="J2540" i="1"/>
  <c r="A2541" i="1"/>
  <c r="G2541" i="1"/>
  <c r="H2541" i="1"/>
  <c r="J2541" i="1"/>
  <c r="A2542" i="1"/>
  <c r="G2542" i="1"/>
  <c r="H2542" i="1"/>
  <c r="J2542" i="1"/>
  <c r="A2543" i="1"/>
  <c r="G2543" i="1"/>
  <c r="H2543" i="1"/>
  <c r="J2543" i="1"/>
  <c r="A2544" i="1"/>
  <c r="G2544" i="1"/>
  <c r="H2544" i="1"/>
  <c r="J2544" i="1"/>
  <c r="A2545" i="1"/>
  <c r="G2545" i="1"/>
  <c r="H2545" i="1"/>
  <c r="J2545" i="1"/>
  <c r="A2546" i="1"/>
  <c r="G2546" i="1"/>
  <c r="H2546" i="1"/>
  <c r="J2546" i="1"/>
  <c r="A2547" i="1"/>
  <c r="G2547" i="1"/>
  <c r="H2547" i="1"/>
  <c r="J2547" i="1"/>
  <c r="A2548" i="1"/>
  <c r="G2548" i="1"/>
  <c r="H2548" i="1"/>
  <c r="J2548" i="1"/>
  <c r="A2549" i="1"/>
  <c r="G2549" i="1"/>
  <c r="H2549" i="1"/>
  <c r="J2549" i="1"/>
  <c r="A2550" i="1"/>
  <c r="G2550" i="1"/>
  <c r="H2550" i="1"/>
  <c r="J2550" i="1"/>
  <c r="A2551" i="1"/>
  <c r="G2551" i="1"/>
  <c r="H2551" i="1"/>
  <c r="J2551" i="1"/>
  <c r="A2552" i="1"/>
  <c r="G2552" i="1"/>
  <c r="H2552" i="1"/>
  <c r="J2552" i="1"/>
  <c r="A2553" i="1"/>
  <c r="G2553" i="1"/>
  <c r="H2553" i="1"/>
  <c r="J2553" i="1"/>
  <c r="A2554" i="1"/>
  <c r="G2554" i="1"/>
  <c r="H2554" i="1"/>
  <c r="J2554" i="1"/>
  <c r="A2555" i="1"/>
  <c r="G2555" i="1"/>
  <c r="H2555" i="1"/>
  <c r="J2555" i="1"/>
  <c r="A2556" i="1"/>
  <c r="G2556" i="1"/>
  <c r="H2556" i="1"/>
  <c r="J2556" i="1"/>
  <c r="A2557" i="1"/>
  <c r="G2557" i="1"/>
  <c r="H2557" i="1"/>
  <c r="J2557" i="1"/>
  <c r="A2558" i="1"/>
  <c r="G2558" i="1"/>
  <c r="H2558" i="1"/>
  <c r="J2558" i="1"/>
  <c r="A2559" i="1"/>
  <c r="G2559" i="1"/>
  <c r="H2559" i="1"/>
  <c r="J2559" i="1"/>
  <c r="A2560" i="1"/>
  <c r="G2560" i="1"/>
  <c r="H2560" i="1"/>
  <c r="J2560" i="1"/>
  <c r="A2561" i="1"/>
  <c r="G2561" i="1"/>
  <c r="H2561" i="1"/>
  <c r="J2561" i="1"/>
  <c r="A2562" i="1"/>
  <c r="G2562" i="1"/>
  <c r="H2562" i="1"/>
  <c r="J2562" i="1"/>
  <c r="A2563" i="1"/>
  <c r="G2563" i="1"/>
  <c r="H2563" i="1"/>
  <c r="J2563" i="1"/>
  <c r="A2564" i="1"/>
  <c r="G2564" i="1"/>
  <c r="H2564" i="1"/>
  <c r="J2564" i="1"/>
  <c r="A2565" i="1"/>
  <c r="G2565" i="1"/>
  <c r="H2565" i="1"/>
  <c r="J2565" i="1"/>
  <c r="A2566" i="1"/>
  <c r="G2566" i="1"/>
  <c r="H2566" i="1"/>
  <c r="J2566" i="1"/>
  <c r="A2567" i="1"/>
  <c r="G2567" i="1"/>
  <c r="H2567" i="1"/>
  <c r="J2567" i="1"/>
  <c r="A2568" i="1"/>
  <c r="G2568" i="1"/>
  <c r="H2568" i="1"/>
  <c r="J2568" i="1"/>
  <c r="A2569" i="1"/>
  <c r="G2569" i="1"/>
  <c r="H2569" i="1"/>
  <c r="J2569" i="1"/>
  <c r="A2570" i="1"/>
  <c r="G2570" i="1"/>
  <c r="H2570" i="1"/>
  <c r="J2570" i="1"/>
  <c r="A2571" i="1"/>
  <c r="G2571" i="1"/>
  <c r="H2571" i="1"/>
  <c r="J2571" i="1"/>
  <c r="A2572" i="1"/>
  <c r="G2572" i="1"/>
  <c r="H2572" i="1"/>
  <c r="J2572" i="1"/>
  <c r="A2573" i="1"/>
  <c r="G2573" i="1"/>
  <c r="H2573" i="1"/>
  <c r="J2573" i="1"/>
  <c r="A2574" i="1"/>
  <c r="G2574" i="1"/>
  <c r="H2574" i="1"/>
  <c r="J2574" i="1"/>
  <c r="A2575" i="1"/>
  <c r="G2575" i="1"/>
  <c r="H2575" i="1"/>
  <c r="J2575" i="1"/>
  <c r="A2576" i="1"/>
  <c r="G2576" i="1"/>
  <c r="H2576" i="1"/>
  <c r="J2576" i="1"/>
  <c r="A2577" i="1"/>
  <c r="G2577" i="1"/>
  <c r="H2577" i="1"/>
  <c r="J2577" i="1"/>
  <c r="A2578" i="1"/>
  <c r="G2578" i="1"/>
  <c r="H2578" i="1"/>
  <c r="J2578" i="1"/>
  <c r="A2579" i="1"/>
  <c r="G2579" i="1"/>
  <c r="H2579" i="1"/>
  <c r="J2579" i="1"/>
  <c r="A2580" i="1"/>
  <c r="G2580" i="1"/>
  <c r="H2580" i="1"/>
  <c r="J2580" i="1"/>
  <c r="A2581" i="1"/>
  <c r="G2581" i="1"/>
  <c r="H2581" i="1"/>
  <c r="J2581" i="1"/>
  <c r="A2582" i="1"/>
  <c r="G2582" i="1"/>
  <c r="H2582" i="1"/>
  <c r="J2582" i="1"/>
  <c r="A2583" i="1"/>
  <c r="G2583" i="1"/>
  <c r="H2583" i="1"/>
  <c r="J2583" i="1"/>
  <c r="A2584" i="1"/>
  <c r="G2584" i="1"/>
  <c r="H2584" i="1"/>
  <c r="J2584" i="1"/>
  <c r="A2585" i="1"/>
  <c r="G2585" i="1"/>
  <c r="H2585" i="1"/>
  <c r="J2585" i="1"/>
  <c r="A2586" i="1"/>
  <c r="G2586" i="1"/>
  <c r="H2586" i="1"/>
  <c r="J2586" i="1"/>
  <c r="A2587" i="1"/>
  <c r="G2587" i="1"/>
  <c r="H2587" i="1"/>
  <c r="J2587" i="1"/>
  <c r="A2588" i="1"/>
  <c r="G2588" i="1"/>
  <c r="H2588" i="1"/>
  <c r="J2588" i="1"/>
  <c r="A2589" i="1"/>
  <c r="G2589" i="1"/>
  <c r="H2589" i="1"/>
  <c r="J2589" i="1"/>
  <c r="A2590" i="1"/>
  <c r="G2590" i="1"/>
  <c r="H2590" i="1"/>
  <c r="J2590" i="1"/>
  <c r="A2591" i="1"/>
  <c r="G2591" i="1"/>
  <c r="H2591" i="1"/>
  <c r="J2591" i="1"/>
  <c r="A2592" i="1"/>
  <c r="G2592" i="1"/>
  <c r="H2592" i="1"/>
  <c r="J2592" i="1"/>
  <c r="A2593" i="1"/>
  <c r="G2593" i="1"/>
  <c r="H2593" i="1"/>
  <c r="J2593" i="1"/>
  <c r="A2594" i="1"/>
  <c r="G2594" i="1"/>
  <c r="H2594" i="1"/>
  <c r="J2594" i="1"/>
  <c r="A2595" i="1"/>
  <c r="G2595" i="1"/>
  <c r="H2595" i="1"/>
  <c r="J2595" i="1"/>
  <c r="A2596" i="1"/>
  <c r="G2596" i="1"/>
  <c r="H2596" i="1"/>
  <c r="J2596" i="1"/>
  <c r="A2597" i="1"/>
  <c r="G2597" i="1"/>
  <c r="H2597" i="1"/>
  <c r="J2597" i="1"/>
  <c r="A2598" i="1"/>
  <c r="G2598" i="1"/>
  <c r="H2598" i="1"/>
  <c r="J2598" i="1"/>
  <c r="A2599" i="1"/>
  <c r="G2599" i="1"/>
  <c r="H2599" i="1"/>
  <c r="J2599" i="1"/>
  <c r="A2600" i="1"/>
  <c r="G2600" i="1"/>
  <c r="H2600" i="1"/>
  <c r="J2600" i="1"/>
  <c r="A2601" i="1"/>
  <c r="G2601" i="1"/>
  <c r="H2601" i="1"/>
  <c r="J2601" i="1"/>
  <c r="A2602" i="1"/>
  <c r="G2602" i="1"/>
  <c r="H2602" i="1"/>
  <c r="J2602" i="1"/>
  <c r="A2603" i="1"/>
  <c r="G2603" i="1"/>
  <c r="H2603" i="1"/>
  <c r="J2603" i="1"/>
  <c r="A2604" i="1"/>
  <c r="G2604" i="1"/>
  <c r="H2604" i="1"/>
  <c r="J2604" i="1"/>
  <c r="A2605" i="1"/>
  <c r="G2605" i="1"/>
  <c r="H2605" i="1"/>
  <c r="J2605" i="1"/>
  <c r="A2606" i="1"/>
  <c r="G2606" i="1"/>
  <c r="H2606" i="1"/>
  <c r="J2606" i="1"/>
  <c r="A2607" i="1"/>
  <c r="G2607" i="1"/>
  <c r="H2607" i="1"/>
  <c r="J2607" i="1"/>
  <c r="A2608" i="1"/>
  <c r="G2608" i="1"/>
  <c r="H2608" i="1"/>
  <c r="J2608" i="1"/>
  <c r="A2609" i="1"/>
  <c r="G2609" i="1"/>
  <c r="H2609" i="1"/>
  <c r="J2609" i="1"/>
  <c r="A2610" i="1"/>
  <c r="G2610" i="1"/>
  <c r="H2610" i="1"/>
  <c r="J2610" i="1"/>
  <c r="A2611" i="1"/>
  <c r="G2611" i="1"/>
  <c r="H2611" i="1"/>
  <c r="J2611" i="1"/>
  <c r="A2612" i="1"/>
  <c r="G2612" i="1"/>
  <c r="H2612" i="1"/>
  <c r="J2612" i="1"/>
  <c r="A2613" i="1"/>
  <c r="G2613" i="1"/>
  <c r="H2613" i="1"/>
  <c r="J2613" i="1"/>
  <c r="A2614" i="1"/>
  <c r="G2614" i="1"/>
  <c r="H2614" i="1"/>
  <c r="J2614" i="1"/>
  <c r="A2615" i="1"/>
  <c r="G2615" i="1"/>
  <c r="H2615" i="1"/>
  <c r="J2615" i="1"/>
  <c r="A2616" i="1"/>
  <c r="G2616" i="1"/>
  <c r="H2616" i="1"/>
  <c r="J2616" i="1"/>
  <c r="A2617" i="1"/>
  <c r="G2617" i="1"/>
  <c r="H2617" i="1"/>
  <c r="J2617" i="1"/>
  <c r="A2618" i="1"/>
  <c r="G2618" i="1"/>
  <c r="H2618" i="1"/>
  <c r="J2618" i="1"/>
  <c r="A2619" i="1"/>
  <c r="G2619" i="1"/>
  <c r="H2619" i="1"/>
  <c r="J2619" i="1"/>
  <c r="A2620" i="1"/>
  <c r="G2620" i="1"/>
  <c r="H2620" i="1"/>
  <c r="J2620" i="1"/>
  <c r="A2621" i="1"/>
  <c r="G2621" i="1"/>
  <c r="H2621" i="1"/>
  <c r="J2621" i="1"/>
  <c r="A2622" i="1"/>
  <c r="G2622" i="1"/>
  <c r="H2622" i="1"/>
  <c r="J2622" i="1"/>
  <c r="A2623" i="1"/>
  <c r="G2623" i="1"/>
  <c r="H2623" i="1"/>
  <c r="J2623" i="1"/>
  <c r="A2624" i="1"/>
  <c r="G2624" i="1"/>
  <c r="H2624" i="1"/>
  <c r="J2624" i="1"/>
  <c r="A2625" i="1"/>
  <c r="G2625" i="1"/>
  <c r="H2625" i="1"/>
  <c r="J2625" i="1"/>
  <c r="A2626" i="1"/>
  <c r="G2626" i="1"/>
  <c r="H2626" i="1"/>
  <c r="J2626" i="1"/>
  <c r="A2627" i="1"/>
  <c r="G2627" i="1"/>
  <c r="H2627" i="1"/>
  <c r="J2627" i="1"/>
  <c r="A2628" i="1"/>
  <c r="G2628" i="1"/>
  <c r="H2628" i="1"/>
  <c r="J2628" i="1"/>
  <c r="A2629" i="1"/>
  <c r="G2629" i="1"/>
  <c r="H2629" i="1"/>
  <c r="J2629" i="1"/>
  <c r="A2630" i="1"/>
  <c r="G2630" i="1"/>
  <c r="H2630" i="1"/>
  <c r="J2630" i="1"/>
  <c r="A2631" i="1"/>
  <c r="G2631" i="1"/>
  <c r="H2631" i="1"/>
  <c r="J2631" i="1"/>
  <c r="A2632" i="1"/>
  <c r="G2632" i="1"/>
  <c r="H2632" i="1"/>
  <c r="J2632" i="1"/>
  <c r="A2633" i="1"/>
  <c r="G2633" i="1"/>
  <c r="H2633" i="1"/>
  <c r="J2633" i="1"/>
  <c r="A2634" i="1"/>
  <c r="G2634" i="1"/>
  <c r="H2634" i="1"/>
  <c r="J2634" i="1"/>
  <c r="A2635" i="1"/>
  <c r="G2635" i="1"/>
  <c r="H2635" i="1"/>
  <c r="J2635" i="1"/>
  <c r="A2636" i="1"/>
  <c r="G2636" i="1"/>
  <c r="H2636" i="1"/>
  <c r="J2636" i="1"/>
  <c r="A2637" i="1"/>
  <c r="G2637" i="1"/>
  <c r="H2637" i="1"/>
  <c r="J2637" i="1"/>
  <c r="A2638" i="1"/>
  <c r="G2638" i="1"/>
  <c r="H2638" i="1"/>
  <c r="J2638" i="1"/>
  <c r="A2639" i="1"/>
  <c r="G2639" i="1"/>
  <c r="H2639" i="1"/>
  <c r="J2639" i="1"/>
  <c r="A2640" i="1"/>
  <c r="G2640" i="1"/>
  <c r="H2640" i="1"/>
  <c r="J2640" i="1"/>
  <c r="A2641" i="1"/>
  <c r="G2641" i="1"/>
  <c r="H2641" i="1"/>
  <c r="J2641" i="1"/>
  <c r="A2642" i="1"/>
  <c r="G2642" i="1"/>
  <c r="H2642" i="1"/>
  <c r="J2642" i="1"/>
  <c r="A2643" i="1"/>
  <c r="G2643" i="1"/>
  <c r="H2643" i="1"/>
  <c r="J2643" i="1"/>
  <c r="A2644" i="1"/>
  <c r="G2644" i="1"/>
  <c r="H2644" i="1"/>
  <c r="J2644" i="1"/>
  <c r="A2645" i="1"/>
  <c r="G2645" i="1"/>
  <c r="H2645" i="1"/>
  <c r="J2645" i="1"/>
  <c r="A2646" i="1"/>
  <c r="G2646" i="1"/>
  <c r="H2646" i="1"/>
  <c r="J2646" i="1"/>
  <c r="A2647" i="1"/>
  <c r="G2647" i="1"/>
  <c r="H2647" i="1"/>
  <c r="J2647" i="1"/>
  <c r="A2648" i="1"/>
  <c r="G2648" i="1"/>
  <c r="H2648" i="1"/>
  <c r="J2648" i="1"/>
  <c r="A2649" i="1"/>
  <c r="G2649" i="1"/>
  <c r="H2649" i="1"/>
  <c r="J2649" i="1"/>
  <c r="A2650" i="1"/>
  <c r="G2650" i="1"/>
  <c r="H2650" i="1"/>
  <c r="J2650" i="1"/>
  <c r="A2651" i="1"/>
  <c r="G2651" i="1"/>
  <c r="H2651" i="1"/>
  <c r="J2651" i="1"/>
  <c r="A2652" i="1"/>
  <c r="G2652" i="1"/>
  <c r="H2652" i="1"/>
  <c r="J2652" i="1"/>
  <c r="A2653" i="1"/>
  <c r="G2653" i="1"/>
  <c r="H2653" i="1"/>
  <c r="J2653" i="1"/>
  <c r="A2654" i="1"/>
  <c r="G2654" i="1"/>
  <c r="H2654" i="1"/>
  <c r="J2654" i="1"/>
  <c r="A2655" i="1"/>
  <c r="G2655" i="1"/>
  <c r="H2655" i="1"/>
  <c r="J2655" i="1"/>
  <c r="A2656" i="1"/>
  <c r="G2656" i="1"/>
  <c r="H2656" i="1"/>
  <c r="J2656" i="1"/>
  <c r="A2657" i="1"/>
  <c r="G2657" i="1"/>
  <c r="H2657" i="1"/>
  <c r="J2657" i="1"/>
  <c r="A2658" i="1"/>
  <c r="G2658" i="1"/>
  <c r="H2658" i="1"/>
  <c r="J2658" i="1"/>
  <c r="A2659" i="1"/>
  <c r="G2659" i="1"/>
  <c r="H2659" i="1"/>
  <c r="J2659" i="1"/>
  <c r="A2660" i="1"/>
  <c r="G2660" i="1"/>
  <c r="H2660" i="1"/>
  <c r="J2660" i="1"/>
  <c r="A2661" i="1"/>
  <c r="G2661" i="1"/>
  <c r="H2661" i="1"/>
  <c r="J2661" i="1"/>
  <c r="A2662" i="1"/>
  <c r="G2662" i="1"/>
  <c r="H2662" i="1"/>
  <c r="J2662" i="1"/>
  <c r="A2663" i="1"/>
  <c r="G2663" i="1"/>
  <c r="H2663" i="1"/>
  <c r="J2663" i="1"/>
  <c r="A2664" i="1"/>
  <c r="G2664" i="1"/>
  <c r="H2664" i="1"/>
  <c r="J2664" i="1"/>
  <c r="A2665" i="1"/>
  <c r="G2665" i="1"/>
  <c r="H2665" i="1"/>
  <c r="J2665" i="1"/>
  <c r="A2666" i="1"/>
  <c r="G2666" i="1"/>
  <c r="H2666" i="1"/>
  <c r="J2666" i="1"/>
  <c r="A2667" i="1"/>
  <c r="G2667" i="1"/>
  <c r="H2667" i="1"/>
  <c r="J2667" i="1"/>
  <c r="A2668" i="1"/>
  <c r="G2668" i="1"/>
  <c r="H2668" i="1"/>
  <c r="J2668" i="1"/>
  <c r="A2669" i="1"/>
  <c r="G2669" i="1"/>
  <c r="H2669" i="1"/>
  <c r="J2669" i="1"/>
  <c r="A2670" i="1"/>
  <c r="G2670" i="1"/>
  <c r="H2670" i="1"/>
  <c r="J2670" i="1"/>
  <c r="A2671" i="1"/>
  <c r="G2671" i="1"/>
  <c r="H2671" i="1"/>
  <c r="J2671" i="1"/>
  <c r="A2672" i="1"/>
  <c r="G2672" i="1"/>
  <c r="H2672" i="1"/>
  <c r="J2672" i="1"/>
  <c r="A2673" i="1"/>
  <c r="G2673" i="1"/>
  <c r="H2673" i="1"/>
  <c r="J2673" i="1"/>
  <c r="A2674" i="1"/>
  <c r="G2674" i="1"/>
  <c r="H2674" i="1"/>
  <c r="J2674" i="1"/>
  <c r="A2675" i="1"/>
  <c r="G2675" i="1"/>
  <c r="H2675" i="1"/>
  <c r="J2675" i="1"/>
  <c r="A2676" i="1"/>
  <c r="G2676" i="1"/>
  <c r="H2676" i="1"/>
  <c r="J2676" i="1"/>
  <c r="A2677" i="1"/>
  <c r="G2677" i="1"/>
  <c r="H2677" i="1"/>
  <c r="J2677" i="1"/>
  <c r="A2678" i="1"/>
  <c r="G2678" i="1"/>
  <c r="H2678" i="1"/>
  <c r="J2678" i="1"/>
  <c r="A2679" i="1"/>
  <c r="G2679" i="1"/>
  <c r="H2679" i="1"/>
  <c r="J2679" i="1"/>
  <c r="A2680" i="1"/>
  <c r="G2680" i="1"/>
  <c r="H2680" i="1"/>
  <c r="J2680" i="1"/>
  <c r="A2681" i="1"/>
  <c r="G2681" i="1"/>
  <c r="H2681" i="1"/>
  <c r="J2681" i="1"/>
  <c r="A2682" i="1"/>
  <c r="G2682" i="1"/>
  <c r="H2682" i="1"/>
  <c r="J2682" i="1"/>
  <c r="A2683" i="1"/>
  <c r="G2683" i="1"/>
  <c r="H2683" i="1"/>
  <c r="J2683" i="1"/>
  <c r="A2684" i="1"/>
  <c r="G2684" i="1"/>
  <c r="H2684" i="1"/>
  <c r="J2684" i="1"/>
  <c r="A2685" i="1"/>
  <c r="G2685" i="1"/>
  <c r="H2685" i="1"/>
  <c r="J2685" i="1"/>
  <c r="A2686" i="1"/>
  <c r="G2686" i="1"/>
  <c r="H2686" i="1"/>
  <c r="J2686" i="1"/>
  <c r="A2687" i="1"/>
  <c r="G2687" i="1"/>
  <c r="H2687" i="1"/>
  <c r="J2687" i="1"/>
  <c r="A2688" i="1"/>
  <c r="G2688" i="1"/>
  <c r="H2688" i="1"/>
  <c r="J2688" i="1"/>
  <c r="A2689" i="1"/>
  <c r="G2689" i="1"/>
  <c r="H2689" i="1"/>
  <c r="J2689" i="1"/>
  <c r="A2690" i="1"/>
  <c r="G2690" i="1"/>
  <c r="H2690" i="1"/>
  <c r="J2690" i="1"/>
  <c r="A2691" i="1"/>
  <c r="G2691" i="1"/>
  <c r="H2691" i="1"/>
  <c r="J2691" i="1"/>
  <c r="A2692" i="1"/>
  <c r="G2692" i="1"/>
  <c r="H2692" i="1"/>
  <c r="J2692" i="1"/>
  <c r="A2693" i="1"/>
  <c r="G2693" i="1"/>
  <c r="H2693" i="1"/>
  <c r="J2693" i="1"/>
  <c r="A2694" i="1"/>
  <c r="G2694" i="1"/>
  <c r="H2694" i="1"/>
  <c r="J2694" i="1"/>
  <c r="A2695" i="1"/>
  <c r="G2695" i="1"/>
  <c r="H2695" i="1"/>
  <c r="J2695" i="1"/>
  <c r="A2696" i="1"/>
  <c r="G2696" i="1"/>
  <c r="H2696" i="1"/>
  <c r="J2696" i="1"/>
  <c r="A2697" i="1"/>
  <c r="G2697" i="1"/>
  <c r="H2697" i="1"/>
  <c r="J2697" i="1"/>
  <c r="A2698" i="1"/>
  <c r="G2698" i="1"/>
  <c r="H2698" i="1"/>
  <c r="J2698" i="1"/>
  <c r="A2699" i="1"/>
  <c r="G2699" i="1"/>
  <c r="H2699" i="1"/>
  <c r="J2699" i="1"/>
  <c r="A2700" i="1"/>
  <c r="G2700" i="1"/>
  <c r="H2700" i="1"/>
  <c r="J2700" i="1"/>
  <c r="A2701" i="1"/>
  <c r="G2701" i="1"/>
  <c r="H2701" i="1"/>
  <c r="J2701" i="1"/>
  <c r="A2702" i="1"/>
  <c r="G2702" i="1"/>
  <c r="H2702" i="1"/>
  <c r="J2702" i="1"/>
  <c r="A2703" i="1"/>
  <c r="G2703" i="1"/>
  <c r="H2703" i="1"/>
  <c r="J2703" i="1"/>
  <c r="A2704" i="1"/>
  <c r="G2704" i="1"/>
  <c r="H2704" i="1"/>
  <c r="J2704" i="1"/>
  <c r="A2705" i="1"/>
  <c r="G2705" i="1"/>
  <c r="H2705" i="1"/>
  <c r="J2705" i="1"/>
  <c r="A2706" i="1"/>
  <c r="G2706" i="1"/>
  <c r="H2706" i="1"/>
  <c r="J2706" i="1"/>
  <c r="A2707" i="1"/>
  <c r="G2707" i="1"/>
  <c r="H2707" i="1"/>
  <c r="J2707" i="1"/>
  <c r="A2708" i="1"/>
  <c r="G2708" i="1"/>
  <c r="H2708" i="1"/>
  <c r="J2708" i="1"/>
  <c r="A2709" i="1"/>
  <c r="G2709" i="1"/>
  <c r="H2709" i="1"/>
  <c r="J2709" i="1"/>
  <c r="A2710" i="1"/>
  <c r="G2710" i="1"/>
  <c r="H2710" i="1"/>
  <c r="J2710" i="1"/>
  <c r="A2711" i="1"/>
  <c r="G2711" i="1"/>
  <c r="H2711" i="1"/>
  <c r="J2711" i="1"/>
  <c r="A2712" i="1"/>
  <c r="G2712" i="1"/>
  <c r="H2712" i="1"/>
  <c r="J2712" i="1"/>
  <c r="A2713" i="1"/>
  <c r="G2713" i="1"/>
  <c r="H2713" i="1"/>
  <c r="J2713" i="1"/>
  <c r="A2714" i="1"/>
  <c r="G2714" i="1"/>
  <c r="H2714" i="1"/>
  <c r="J2714" i="1"/>
  <c r="A2715" i="1"/>
  <c r="G2715" i="1"/>
  <c r="H2715" i="1"/>
  <c r="J2715" i="1"/>
  <c r="A2716" i="1"/>
  <c r="G2716" i="1"/>
  <c r="H2716" i="1"/>
  <c r="J2716" i="1"/>
  <c r="A2717" i="1"/>
  <c r="G2717" i="1"/>
  <c r="H2717" i="1"/>
  <c r="J2717" i="1"/>
  <c r="A2718" i="1"/>
  <c r="G2718" i="1"/>
  <c r="H2718" i="1"/>
  <c r="J2718" i="1"/>
  <c r="A2719" i="1"/>
  <c r="G2719" i="1"/>
  <c r="H2719" i="1"/>
  <c r="J2719" i="1"/>
  <c r="A2720" i="1"/>
  <c r="G2720" i="1"/>
  <c r="H2720" i="1"/>
  <c r="J2720" i="1"/>
  <c r="A2721" i="1"/>
  <c r="G2721" i="1"/>
  <c r="H2721" i="1"/>
  <c r="J2721" i="1"/>
  <c r="A2722" i="1"/>
  <c r="G2722" i="1"/>
  <c r="H2722" i="1"/>
  <c r="J2722" i="1"/>
  <c r="A2723" i="1"/>
  <c r="G2723" i="1"/>
  <c r="H2723" i="1"/>
  <c r="J2723" i="1"/>
  <c r="A2724" i="1"/>
  <c r="G2724" i="1"/>
  <c r="H2724" i="1"/>
  <c r="J2724" i="1"/>
  <c r="A2725" i="1"/>
  <c r="G2725" i="1"/>
  <c r="H2725" i="1"/>
  <c r="J2725" i="1"/>
  <c r="A2726" i="1"/>
  <c r="G2726" i="1"/>
  <c r="H2726" i="1"/>
  <c r="J2726" i="1"/>
  <c r="A2727" i="1"/>
  <c r="G2727" i="1"/>
  <c r="H2727" i="1"/>
  <c r="J2727" i="1"/>
  <c r="A2728" i="1"/>
  <c r="G2728" i="1"/>
  <c r="H2728" i="1"/>
  <c r="J2728" i="1"/>
  <c r="A2729" i="1"/>
  <c r="G2729" i="1"/>
  <c r="H2729" i="1"/>
  <c r="J2729" i="1"/>
  <c r="A2730" i="1"/>
  <c r="G2730" i="1"/>
  <c r="H2730" i="1"/>
  <c r="J2730" i="1"/>
  <c r="A2731" i="1"/>
  <c r="G2731" i="1"/>
  <c r="H2731" i="1"/>
  <c r="J2731" i="1"/>
  <c r="A2732" i="1"/>
  <c r="G2732" i="1"/>
  <c r="H2732" i="1"/>
  <c r="J2732" i="1"/>
  <c r="A2733" i="1"/>
  <c r="G2733" i="1"/>
  <c r="H2733" i="1"/>
  <c r="J2733" i="1"/>
  <c r="A2734" i="1"/>
  <c r="G2734" i="1"/>
  <c r="H2734" i="1"/>
  <c r="J2734" i="1"/>
  <c r="A2735" i="1"/>
  <c r="G2735" i="1"/>
  <c r="H2735" i="1"/>
  <c r="J2735" i="1"/>
  <c r="A2736" i="1"/>
  <c r="G2736" i="1"/>
  <c r="H2736" i="1"/>
  <c r="J2736" i="1"/>
  <c r="A2737" i="1"/>
  <c r="G2737" i="1"/>
  <c r="H2737" i="1"/>
  <c r="J2737" i="1"/>
  <c r="A2738" i="1"/>
  <c r="G2738" i="1"/>
  <c r="H2738" i="1"/>
  <c r="J2738" i="1"/>
  <c r="A2739" i="1"/>
  <c r="G2739" i="1"/>
  <c r="H2739" i="1"/>
  <c r="J2739" i="1"/>
  <c r="A2740" i="1"/>
  <c r="G2740" i="1"/>
  <c r="H2740" i="1"/>
  <c r="J2740" i="1"/>
  <c r="A2741" i="1"/>
  <c r="G2741" i="1"/>
  <c r="H2741" i="1"/>
  <c r="J2741" i="1"/>
  <c r="A2742" i="1"/>
  <c r="G2742" i="1"/>
  <c r="H2742" i="1"/>
  <c r="J2742" i="1"/>
  <c r="A2743" i="1"/>
  <c r="G2743" i="1"/>
  <c r="H2743" i="1"/>
  <c r="J2743" i="1"/>
  <c r="A2744" i="1"/>
  <c r="G2744" i="1"/>
  <c r="H2744" i="1"/>
  <c r="J2744" i="1"/>
  <c r="A2745" i="1"/>
  <c r="G2745" i="1"/>
  <c r="H2745" i="1"/>
  <c r="J2745" i="1"/>
  <c r="A2746" i="1"/>
  <c r="G2746" i="1"/>
  <c r="H2746" i="1"/>
  <c r="J2746" i="1"/>
  <c r="A2747" i="1"/>
  <c r="G2747" i="1"/>
  <c r="H2747" i="1"/>
  <c r="J2747" i="1"/>
  <c r="A2748" i="1"/>
  <c r="G2748" i="1"/>
  <c r="H2748" i="1"/>
  <c r="J2748" i="1"/>
  <c r="A2749" i="1"/>
  <c r="G2749" i="1"/>
  <c r="H2749" i="1"/>
  <c r="J2749" i="1"/>
  <c r="A2750" i="1"/>
  <c r="G2750" i="1"/>
  <c r="H2750" i="1"/>
  <c r="J2750" i="1"/>
  <c r="A2751" i="1"/>
  <c r="G2751" i="1"/>
  <c r="H2751" i="1"/>
  <c r="J2751" i="1"/>
  <c r="A2752" i="1"/>
  <c r="G2752" i="1"/>
  <c r="H2752" i="1"/>
  <c r="J2752" i="1"/>
  <c r="A2753" i="1"/>
  <c r="G2753" i="1"/>
  <c r="H2753" i="1"/>
  <c r="J2753" i="1"/>
  <c r="A2754" i="1"/>
  <c r="G2754" i="1"/>
  <c r="H2754" i="1"/>
  <c r="J2754" i="1"/>
  <c r="A2755" i="1"/>
  <c r="G2755" i="1"/>
  <c r="H2755" i="1"/>
  <c r="J2755" i="1"/>
  <c r="A2756" i="1"/>
  <c r="G2756" i="1"/>
  <c r="H2756" i="1"/>
  <c r="J2756" i="1"/>
  <c r="A2757" i="1"/>
  <c r="G2757" i="1"/>
  <c r="H2757" i="1"/>
  <c r="J2757" i="1"/>
  <c r="A2758" i="1"/>
  <c r="G2758" i="1"/>
  <c r="H2758" i="1"/>
  <c r="J2758" i="1"/>
  <c r="A2759" i="1"/>
  <c r="G2759" i="1"/>
  <c r="H2759" i="1"/>
  <c r="J2759" i="1"/>
  <c r="A2760" i="1"/>
  <c r="G2760" i="1"/>
  <c r="H2760" i="1"/>
  <c r="J2760" i="1"/>
  <c r="A2761" i="1"/>
  <c r="G2761" i="1"/>
  <c r="H2761" i="1"/>
  <c r="J2761" i="1"/>
  <c r="A2762" i="1"/>
  <c r="G2762" i="1"/>
  <c r="H2762" i="1"/>
  <c r="J2762" i="1"/>
  <c r="A2763" i="1"/>
  <c r="G2763" i="1"/>
  <c r="H2763" i="1"/>
  <c r="J2763" i="1"/>
  <c r="A2764" i="1"/>
  <c r="G2764" i="1"/>
  <c r="H2764" i="1"/>
  <c r="J2764" i="1"/>
  <c r="A2765" i="1"/>
  <c r="G2765" i="1"/>
  <c r="H2765" i="1"/>
  <c r="J2765" i="1"/>
  <c r="A2766" i="1"/>
  <c r="G2766" i="1"/>
  <c r="H2766" i="1"/>
  <c r="J2766" i="1"/>
  <c r="A2767" i="1"/>
  <c r="G2767" i="1"/>
  <c r="H2767" i="1"/>
  <c r="J2767" i="1"/>
  <c r="A2768" i="1"/>
  <c r="G2768" i="1"/>
  <c r="H2768" i="1"/>
  <c r="J2768" i="1"/>
  <c r="A2769" i="1"/>
  <c r="G2769" i="1"/>
  <c r="H2769" i="1"/>
  <c r="J2769" i="1"/>
  <c r="A2770" i="1"/>
  <c r="G2770" i="1"/>
  <c r="H2770" i="1"/>
  <c r="J2770" i="1"/>
  <c r="A2771" i="1"/>
  <c r="G2771" i="1"/>
  <c r="H2771" i="1"/>
  <c r="J2771" i="1"/>
  <c r="A2772" i="1"/>
  <c r="G2772" i="1"/>
  <c r="H2772" i="1"/>
  <c r="J2772" i="1"/>
  <c r="A2773" i="1"/>
  <c r="G2773" i="1"/>
  <c r="H2773" i="1"/>
  <c r="J2773" i="1"/>
  <c r="A2774" i="1"/>
  <c r="G2774" i="1"/>
  <c r="H2774" i="1"/>
  <c r="J2774" i="1"/>
  <c r="A2775" i="1"/>
  <c r="G2775" i="1"/>
  <c r="H2775" i="1"/>
  <c r="J2775" i="1"/>
  <c r="A2776" i="1"/>
  <c r="G2776" i="1"/>
  <c r="H2776" i="1"/>
  <c r="J2776" i="1"/>
  <c r="A2777" i="1"/>
  <c r="G2777" i="1"/>
  <c r="H2777" i="1"/>
  <c r="J2777" i="1"/>
  <c r="A2778" i="1"/>
  <c r="G2778" i="1"/>
  <c r="H2778" i="1"/>
  <c r="J2778" i="1"/>
  <c r="A2779" i="1"/>
  <c r="G2779" i="1"/>
  <c r="H2779" i="1"/>
  <c r="J2779" i="1"/>
  <c r="A2780" i="1"/>
  <c r="G2780" i="1"/>
  <c r="H2780" i="1"/>
  <c r="J2780" i="1"/>
  <c r="A2781" i="1"/>
  <c r="G2781" i="1"/>
  <c r="H2781" i="1"/>
  <c r="J2781" i="1"/>
  <c r="A2782" i="1"/>
  <c r="G2782" i="1"/>
  <c r="H2782" i="1"/>
  <c r="J2782" i="1"/>
  <c r="A2783" i="1"/>
  <c r="G2783" i="1"/>
  <c r="H2783" i="1"/>
  <c r="J2783" i="1"/>
  <c r="A2784" i="1"/>
  <c r="G2784" i="1"/>
  <c r="H2784" i="1"/>
  <c r="J2784" i="1"/>
  <c r="A2785" i="1"/>
  <c r="G2785" i="1"/>
  <c r="H2785" i="1"/>
  <c r="J2785" i="1"/>
  <c r="A2786" i="1"/>
  <c r="G2786" i="1"/>
  <c r="H2786" i="1"/>
  <c r="J2786" i="1"/>
  <c r="A2787" i="1"/>
  <c r="G2787" i="1"/>
  <c r="H2787" i="1"/>
  <c r="J2787" i="1"/>
  <c r="A2788" i="1"/>
  <c r="G2788" i="1"/>
  <c r="H2788" i="1"/>
  <c r="J2788" i="1"/>
  <c r="A2789" i="1"/>
  <c r="G2789" i="1"/>
  <c r="H2789" i="1"/>
  <c r="J2789" i="1"/>
  <c r="A2790" i="1"/>
  <c r="G2790" i="1"/>
  <c r="H2790" i="1"/>
  <c r="J2790" i="1"/>
  <c r="A2791" i="1"/>
  <c r="G2791" i="1"/>
  <c r="H2791" i="1"/>
  <c r="J2791" i="1"/>
  <c r="A2792" i="1"/>
  <c r="G2792" i="1"/>
  <c r="H2792" i="1"/>
  <c r="J2792" i="1"/>
  <c r="A2793" i="1"/>
  <c r="G2793" i="1"/>
  <c r="H2793" i="1"/>
  <c r="J2793" i="1"/>
  <c r="A2794" i="1"/>
  <c r="G2794" i="1"/>
  <c r="H2794" i="1"/>
  <c r="J2794" i="1"/>
  <c r="A2795" i="1"/>
  <c r="G2795" i="1"/>
  <c r="H2795" i="1"/>
  <c r="J2795" i="1"/>
  <c r="A2796" i="1"/>
  <c r="G2796" i="1"/>
  <c r="H2796" i="1"/>
  <c r="J2796" i="1"/>
  <c r="A2797" i="1"/>
  <c r="G2797" i="1"/>
  <c r="H2797" i="1"/>
  <c r="J2797" i="1"/>
  <c r="A2798" i="1"/>
  <c r="G2798" i="1"/>
  <c r="H2798" i="1"/>
  <c r="J2798" i="1"/>
  <c r="A2799" i="1"/>
  <c r="G2799" i="1"/>
  <c r="H2799" i="1"/>
  <c r="J2799" i="1"/>
  <c r="A2800" i="1"/>
  <c r="G2800" i="1"/>
  <c r="H2800" i="1"/>
  <c r="J2800" i="1"/>
  <c r="A2801" i="1"/>
  <c r="G2801" i="1"/>
  <c r="H2801" i="1"/>
  <c r="J2801" i="1"/>
  <c r="A2802" i="1"/>
  <c r="G2802" i="1"/>
  <c r="H2802" i="1"/>
  <c r="J2802" i="1"/>
  <c r="A2803" i="1"/>
  <c r="G2803" i="1"/>
  <c r="H2803" i="1"/>
  <c r="J2803" i="1"/>
  <c r="A2804" i="1"/>
  <c r="G2804" i="1"/>
  <c r="H2804" i="1"/>
  <c r="J2804" i="1"/>
  <c r="A2805" i="1"/>
  <c r="G2805" i="1"/>
  <c r="H2805" i="1"/>
  <c r="J2805" i="1"/>
  <c r="A2806" i="1"/>
  <c r="G2806" i="1"/>
  <c r="H2806" i="1"/>
  <c r="J2806" i="1"/>
  <c r="A2807" i="1"/>
  <c r="G2807" i="1"/>
  <c r="H2807" i="1"/>
  <c r="J2807" i="1"/>
  <c r="A2808" i="1"/>
  <c r="G2808" i="1"/>
  <c r="H2808" i="1"/>
  <c r="J2808" i="1"/>
  <c r="A2809" i="1"/>
  <c r="G2809" i="1"/>
  <c r="H2809" i="1"/>
  <c r="J2809" i="1"/>
  <c r="A2810" i="1"/>
  <c r="G2810" i="1"/>
  <c r="H2810" i="1"/>
  <c r="J2810" i="1"/>
  <c r="A2811" i="1"/>
  <c r="G2811" i="1"/>
  <c r="H2811" i="1"/>
  <c r="J2811" i="1"/>
  <c r="A2812" i="1"/>
  <c r="G2812" i="1"/>
  <c r="H2812" i="1"/>
  <c r="J2812" i="1"/>
  <c r="A2813" i="1"/>
  <c r="G2813" i="1"/>
  <c r="H2813" i="1"/>
  <c r="J2813" i="1"/>
  <c r="A2814" i="1"/>
  <c r="G2814" i="1"/>
  <c r="H2814" i="1"/>
  <c r="J2814" i="1"/>
  <c r="A2815" i="1"/>
  <c r="G2815" i="1"/>
  <c r="H2815" i="1"/>
  <c r="J2815" i="1"/>
  <c r="A2816" i="1"/>
  <c r="G2816" i="1"/>
  <c r="H2816" i="1"/>
  <c r="J2816" i="1"/>
  <c r="A2817" i="1"/>
  <c r="G2817" i="1"/>
  <c r="H2817" i="1"/>
  <c r="J2817" i="1"/>
  <c r="A2818" i="1"/>
  <c r="G2818" i="1"/>
  <c r="H2818" i="1"/>
  <c r="J2818" i="1"/>
  <c r="A2819" i="1"/>
  <c r="G2819" i="1"/>
  <c r="H2819" i="1"/>
  <c r="J2819" i="1"/>
  <c r="A2820" i="1"/>
  <c r="G2820" i="1"/>
  <c r="H2820" i="1"/>
  <c r="J2820" i="1"/>
  <c r="A2821" i="1"/>
  <c r="G2821" i="1"/>
  <c r="H2821" i="1"/>
  <c r="J2821" i="1"/>
  <c r="A2822" i="1"/>
  <c r="G2822" i="1"/>
  <c r="H2822" i="1"/>
  <c r="J2822" i="1"/>
  <c r="A2823" i="1"/>
  <c r="G2823" i="1"/>
  <c r="H2823" i="1"/>
  <c r="J2823" i="1"/>
  <c r="A2824" i="1"/>
  <c r="G2824" i="1"/>
  <c r="H2824" i="1"/>
  <c r="J2824" i="1"/>
  <c r="A2825" i="1"/>
  <c r="G2825" i="1"/>
  <c r="H2825" i="1"/>
  <c r="J2825" i="1"/>
  <c r="A2826" i="1"/>
  <c r="G2826" i="1"/>
  <c r="H2826" i="1"/>
  <c r="J2826" i="1"/>
  <c r="A2827" i="1"/>
  <c r="G2827" i="1"/>
  <c r="H2827" i="1"/>
  <c r="J2827" i="1"/>
  <c r="A2828" i="1"/>
  <c r="G2828" i="1"/>
  <c r="H2828" i="1"/>
  <c r="J2828" i="1"/>
  <c r="A2829" i="1"/>
  <c r="G2829" i="1"/>
  <c r="H2829" i="1"/>
  <c r="J2829" i="1"/>
  <c r="A2830" i="1"/>
  <c r="G2830" i="1"/>
  <c r="H2830" i="1"/>
  <c r="J2830" i="1"/>
  <c r="A2831" i="1"/>
  <c r="G2831" i="1"/>
  <c r="H2831" i="1"/>
  <c r="J2831" i="1"/>
  <c r="A2832" i="1"/>
  <c r="G2832" i="1"/>
  <c r="H2832" i="1"/>
  <c r="J2832" i="1"/>
  <c r="A2833" i="1"/>
  <c r="G2833" i="1"/>
  <c r="H2833" i="1"/>
  <c r="J2833" i="1"/>
  <c r="A2834" i="1"/>
  <c r="G2834" i="1"/>
  <c r="H2834" i="1"/>
  <c r="J2834" i="1"/>
  <c r="A2835" i="1"/>
  <c r="G2835" i="1"/>
  <c r="H2835" i="1"/>
  <c r="J2835" i="1"/>
  <c r="A2836" i="1"/>
  <c r="G2836" i="1"/>
  <c r="H2836" i="1"/>
  <c r="J2836" i="1"/>
  <c r="A2837" i="1"/>
  <c r="G2837" i="1"/>
  <c r="H2837" i="1"/>
  <c r="J2837" i="1"/>
  <c r="A2838" i="1"/>
  <c r="G2838" i="1"/>
  <c r="H2838" i="1"/>
  <c r="J2838" i="1"/>
  <c r="A2839" i="1"/>
  <c r="G2839" i="1"/>
  <c r="H2839" i="1"/>
  <c r="J2839" i="1"/>
  <c r="A2840" i="1"/>
  <c r="G2840" i="1"/>
  <c r="H2840" i="1"/>
  <c r="J2840" i="1"/>
  <c r="A2841" i="1"/>
  <c r="G2841" i="1"/>
  <c r="H2841" i="1"/>
  <c r="J2841" i="1"/>
  <c r="A2842" i="1"/>
  <c r="G2842" i="1"/>
  <c r="H2842" i="1"/>
  <c r="J2842" i="1"/>
  <c r="A2843" i="1"/>
  <c r="G2843" i="1"/>
  <c r="H2843" i="1"/>
  <c r="J2843" i="1"/>
  <c r="A2844" i="1"/>
  <c r="G2844" i="1"/>
  <c r="H2844" i="1"/>
  <c r="J2844" i="1"/>
  <c r="A2845" i="1"/>
  <c r="G2845" i="1"/>
  <c r="H2845" i="1"/>
  <c r="J2845" i="1"/>
  <c r="A2846" i="1"/>
  <c r="G2846" i="1"/>
  <c r="H2846" i="1"/>
  <c r="J2846" i="1"/>
  <c r="A2847" i="1"/>
  <c r="G2847" i="1"/>
  <c r="H2847" i="1"/>
  <c r="J2847" i="1"/>
  <c r="A2848" i="1"/>
  <c r="G2848" i="1"/>
  <c r="H2848" i="1"/>
  <c r="J2848" i="1"/>
  <c r="A2849" i="1"/>
  <c r="G2849" i="1"/>
  <c r="H2849" i="1"/>
  <c r="J2849" i="1"/>
  <c r="A2850" i="1"/>
  <c r="G2850" i="1"/>
  <c r="H2850" i="1"/>
  <c r="J2850" i="1"/>
  <c r="A2851" i="1"/>
  <c r="G2851" i="1"/>
  <c r="H2851" i="1"/>
  <c r="J2851" i="1"/>
  <c r="A2852" i="1"/>
  <c r="G2852" i="1"/>
  <c r="H2852" i="1"/>
  <c r="J2852" i="1"/>
  <c r="A2853" i="1"/>
  <c r="G2853" i="1"/>
  <c r="H2853" i="1"/>
  <c r="J2853" i="1"/>
  <c r="A2854" i="1"/>
  <c r="G2854" i="1"/>
  <c r="H2854" i="1"/>
  <c r="J2854" i="1"/>
  <c r="A2855" i="1"/>
  <c r="G2855" i="1"/>
  <c r="H2855" i="1"/>
  <c r="J2855" i="1"/>
  <c r="A2856" i="1"/>
  <c r="G2856" i="1"/>
  <c r="H2856" i="1"/>
  <c r="J2856" i="1"/>
  <c r="A2857" i="1"/>
  <c r="G2857" i="1"/>
  <c r="H2857" i="1"/>
  <c r="J2857" i="1"/>
  <c r="A2858" i="1"/>
  <c r="G2858" i="1"/>
  <c r="H2858" i="1"/>
  <c r="J2858" i="1"/>
  <c r="A2859" i="1"/>
  <c r="G2859" i="1"/>
  <c r="H2859" i="1"/>
  <c r="J2859" i="1"/>
  <c r="A2860" i="1"/>
  <c r="G2860" i="1"/>
  <c r="H2860" i="1"/>
  <c r="J2860" i="1"/>
  <c r="A2861" i="1"/>
  <c r="G2861" i="1"/>
  <c r="H2861" i="1"/>
  <c r="J2861" i="1"/>
  <c r="A2862" i="1"/>
  <c r="G2862" i="1"/>
  <c r="H2862" i="1"/>
  <c r="J2862" i="1"/>
  <c r="A2863" i="1"/>
  <c r="G2863" i="1"/>
  <c r="H2863" i="1"/>
  <c r="J2863" i="1"/>
  <c r="A2864" i="1"/>
  <c r="G2864" i="1"/>
  <c r="H2864" i="1"/>
  <c r="J2864" i="1"/>
  <c r="A2865" i="1"/>
  <c r="G2865" i="1"/>
  <c r="H2865" i="1"/>
  <c r="J2865" i="1"/>
  <c r="A2866" i="1"/>
  <c r="G2866" i="1"/>
  <c r="H2866" i="1"/>
  <c r="J2866" i="1"/>
  <c r="A2867" i="1"/>
  <c r="G2867" i="1"/>
  <c r="H2867" i="1"/>
  <c r="J2867" i="1"/>
  <c r="A2868" i="1"/>
  <c r="G2868" i="1"/>
  <c r="H2868" i="1"/>
  <c r="J2868" i="1"/>
  <c r="A2869" i="1"/>
  <c r="G2869" i="1"/>
  <c r="H2869" i="1"/>
  <c r="J2869" i="1"/>
  <c r="A2870" i="1"/>
  <c r="G2870" i="1"/>
  <c r="H2870" i="1"/>
  <c r="J2870" i="1"/>
  <c r="A2871" i="1"/>
  <c r="G2871" i="1"/>
  <c r="H2871" i="1"/>
  <c r="J2871" i="1"/>
  <c r="A2872" i="1"/>
  <c r="G2872" i="1"/>
  <c r="H2872" i="1"/>
  <c r="J2872" i="1"/>
  <c r="A2873" i="1"/>
  <c r="G2873" i="1"/>
  <c r="H2873" i="1"/>
  <c r="J2873" i="1"/>
  <c r="A2874" i="1"/>
  <c r="G2874" i="1"/>
  <c r="H2874" i="1"/>
  <c r="J2874" i="1"/>
  <c r="A2875" i="1"/>
  <c r="G2875" i="1"/>
  <c r="H2875" i="1"/>
  <c r="J2875" i="1"/>
  <c r="A2876" i="1"/>
  <c r="G2876" i="1"/>
  <c r="H2876" i="1"/>
  <c r="J2876" i="1"/>
  <c r="A2877" i="1"/>
  <c r="G2877" i="1"/>
  <c r="H2877" i="1"/>
  <c r="J2877" i="1"/>
  <c r="A2878" i="1"/>
  <c r="G2878" i="1"/>
  <c r="H2878" i="1"/>
  <c r="J2878" i="1"/>
  <c r="A2879" i="1"/>
  <c r="G2879" i="1"/>
  <c r="H2879" i="1"/>
  <c r="J2879" i="1"/>
  <c r="A2880" i="1"/>
  <c r="G2880" i="1"/>
  <c r="H2880" i="1"/>
  <c r="J2880" i="1"/>
  <c r="A2881" i="1"/>
  <c r="G2881" i="1"/>
  <c r="H2881" i="1"/>
  <c r="J2881" i="1"/>
  <c r="A2882" i="1"/>
  <c r="G2882" i="1"/>
  <c r="H2882" i="1"/>
  <c r="J2882" i="1"/>
  <c r="A2883" i="1"/>
  <c r="G2883" i="1"/>
  <c r="H2883" i="1"/>
  <c r="J2883" i="1"/>
  <c r="A2884" i="1"/>
  <c r="G2884" i="1"/>
  <c r="H2884" i="1"/>
  <c r="J2884" i="1"/>
  <c r="A2885" i="1"/>
  <c r="G2885" i="1"/>
  <c r="H2885" i="1"/>
  <c r="J2885" i="1"/>
  <c r="A2886" i="1"/>
  <c r="G2886" i="1"/>
  <c r="H2886" i="1"/>
  <c r="J2886" i="1"/>
  <c r="A2887" i="1"/>
  <c r="G2887" i="1"/>
  <c r="H2887" i="1"/>
  <c r="J2887" i="1"/>
  <c r="A2888" i="1"/>
  <c r="G2888" i="1"/>
  <c r="H2888" i="1"/>
  <c r="J2888" i="1"/>
  <c r="A2889" i="1"/>
  <c r="G2889" i="1"/>
  <c r="H2889" i="1"/>
  <c r="J2889" i="1"/>
  <c r="A2890" i="1"/>
  <c r="G2890" i="1"/>
  <c r="H2890" i="1"/>
  <c r="J2890" i="1"/>
  <c r="A2891" i="1"/>
  <c r="G2891" i="1"/>
  <c r="H2891" i="1"/>
  <c r="J2891" i="1"/>
  <c r="A2892" i="1"/>
  <c r="G2892" i="1"/>
  <c r="H2892" i="1"/>
  <c r="J2892" i="1"/>
  <c r="A2893" i="1"/>
  <c r="G2893" i="1"/>
  <c r="H2893" i="1"/>
  <c r="J2893" i="1"/>
  <c r="A2894" i="1"/>
  <c r="G2894" i="1"/>
  <c r="H2894" i="1"/>
  <c r="J2894" i="1"/>
  <c r="A2895" i="1"/>
  <c r="G2895" i="1"/>
  <c r="H2895" i="1"/>
  <c r="J2895" i="1"/>
  <c r="A2896" i="1"/>
  <c r="G2896" i="1"/>
  <c r="H2896" i="1"/>
  <c r="J2896" i="1"/>
  <c r="A2897" i="1"/>
  <c r="G2897" i="1"/>
  <c r="H2897" i="1"/>
  <c r="J2897" i="1"/>
  <c r="A2898" i="1"/>
  <c r="G2898" i="1"/>
  <c r="H2898" i="1"/>
  <c r="J2898" i="1"/>
  <c r="A2899" i="1"/>
  <c r="G2899" i="1"/>
  <c r="H2899" i="1"/>
  <c r="J2899" i="1"/>
  <c r="A2900" i="1"/>
  <c r="G2900" i="1"/>
  <c r="H2900" i="1"/>
  <c r="J2900" i="1"/>
  <c r="A2901" i="1"/>
  <c r="G2901" i="1"/>
  <c r="H2901" i="1"/>
  <c r="J2901" i="1"/>
  <c r="A2902" i="1"/>
  <c r="G2902" i="1"/>
  <c r="H2902" i="1"/>
  <c r="J2902" i="1"/>
  <c r="A2903" i="1"/>
  <c r="G2903" i="1"/>
  <c r="H2903" i="1"/>
  <c r="J2903" i="1"/>
  <c r="A2904" i="1"/>
  <c r="G2904" i="1"/>
  <c r="H2904" i="1"/>
  <c r="J2904" i="1"/>
  <c r="A2905" i="1"/>
  <c r="G2905" i="1"/>
  <c r="H2905" i="1"/>
  <c r="J2905" i="1"/>
  <c r="A2906" i="1"/>
  <c r="G2906" i="1"/>
  <c r="H2906" i="1"/>
  <c r="J2906" i="1"/>
  <c r="A2907" i="1"/>
  <c r="G2907" i="1"/>
  <c r="H2907" i="1"/>
  <c r="J2907" i="1"/>
  <c r="A2908" i="1"/>
  <c r="G2908" i="1"/>
  <c r="H2908" i="1"/>
  <c r="J2908" i="1"/>
  <c r="A2909" i="1"/>
  <c r="G2909" i="1"/>
  <c r="H2909" i="1"/>
  <c r="J2909" i="1"/>
  <c r="A2910" i="1"/>
  <c r="G2910" i="1"/>
  <c r="H2910" i="1"/>
  <c r="J2910" i="1"/>
  <c r="A2911" i="1"/>
  <c r="G2911" i="1"/>
  <c r="H2911" i="1"/>
  <c r="J2911" i="1"/>
  <c r="A2912" i="1"/>
  <c r="G2912" i="1"/>
  <c r="H2912" i="1"/>
  <c r="J2912" i="1"/>
  <c r="A2913" i="1"/>
  <c r="G2913" i="1"/>
  <c r="H2913" i="1"/>
  <c r="J2913" i="1"/>
  <c r="A2914" i="1"/>
  <c r="G2914" i="1"/>
  <c r="H2914" i="1"/>
  <c r="J2914" i="1"/>
  <c r="A2915" i="1"/>
  <c r="G2915" i="1"/>
  <c r="H2915" i="1"/>
  <c r="J2915" i="1"/>
  <c r="A2916" i="1"/>
  <c r="G2916" i="1"/>
  <c r="H2916" i="1"/>
  <c r="J2916" i="1"/>
  <c r="A2917" i="1"/>
  <c r="G2917" i="1"/>
  <c r="H2917" i="1"/>
  <c r="J2917" i="1"/>
  <c r="A2918" i="1"/>
  <c r="G2918" i="1"/>
  <c r="H2918" i="1"/>
  <c r="J2918" i="1"/>
  <c r="A2919" i="1"/>
  <c r="G2919" i="1"/>
  <c r="H2919" i="1"/>
  <c r="J2919" i="1"/>
  <c r="A2920" i="1"/>
  <c r="G2920" i="1"/>
  <c r="H2920" i="1"/>
  <c r="J2920" i="1"/>
  <c r="A2921" i="1"/>
  <c r="G2921" i="1"/>
  <c r="H2921" i="1"/>
  <c r="J2921" i="1"/>
  <c r="A2922" i="1"/>
  <c r="G2922" i="1"/>
  <c r="H2922" i="1"/>
  <c r="J2922" i="1"/>
  <c r="A2923" i="1"/>
  <c r="G2923" i="1"/>
  <c r="H2923" i="1"/>
  <c r="J2923" i="1"/>
  <c r="A2924" i="1"/>
  <c r="G2924" i="1"/>
  <c r="H2924" i="1"/>
  <c r="J2924" i="1"/>
  <c r="A2925" i="1"/>
  <c r="G2925" i="1"/>
  <c r="H2925" i="1"/>
  <c r="J2925" i="1"/>
  <c r="A2926" i="1"/>
  <c r="G2926" i="1"/>
  <c r="H2926" i="1"/>
  <c r="J2926" i="1"/>
  <c r="A2927" i="1"/>
  <c r="G2927" i="1"/>
  <c r="H2927" i="1"/>
  <c r="J2927" i="1"/>
  <c r="A2928" i="1"/>
  <c r="G2928" i="1"/>
  <c r="H2928" i="1"/>
  <c r="J2928" i="1"/>
  <c r="A2929" i="1"/>
  <c r="G2929" i="1"/>
  <c r="H2929" i="1"/>
  <c r="J2929" i="1"/>
  <c r="A2930" i="1"/>
  <c r="G2930" i="1"/>
  <c r="H2930" i="1"/>
  <c r="J2930" i="1"/>
  <c r="A2931" i="1"/>
  <c r="G2931" i="1"/>
  <c r="H2931" i="1"/>
  <c r="J2931" i="1"/>
  <c r="A2932" i="1"/>
  <c r="G2932" i="1"/>
  <c r="H2932" i="1"/>
  <c r="J2932" i="1"/>
  <c r="A2933" i="1"/>
  <c r="G2933" i="1"/>
  <c r="H2933" i="1"/>
  <c r="J2933" i="1"/>
  <c r="A2934" i="1"/>
  <c r="G2934" i="1"/>
  <c r="H2934" i="1"/>
  <c r="J2934" i="1"/>
  <c r="A2935" i="1"/>
  <c r="G2935" i="1"/>
  <c r="H2935" i="1"/>
  <c r="J2935" i="1"/>
  <c r="A2936" i="1"/>
  <c r="G2936" i="1"/>
  <c r="H2936" i="1"/>
  <c r="J2936" i="1"/>
  <c r="A2937" i="1"/>
  <c r="G2937" i="1"/>
  <c r="H2937" i="1"/>
  <c r="J2937" i="1"/>
  <c r="A2938" i="1"/>
  <c r="G2938" i="1"/>
  <c r="H2938" i="1"/>
  <c r="J2938" i="1"/>
  <c r="A2939" i="1"/>
  <c r="G2939" i="1"/>
  <c r="H2939" i="1"/>
  <c r="J2939" i="1"/>
  <c r="A2940" i="1"/>
  <c r="G2940" i="1"/>
  <c r="H2940" i="1"/>
  <c r="J2940" i="1"/>
  <c r="A2941" i="1"/>
  <c r="G2941" i="1"/>
  <c r="H2941" i="1"/>
  <c r="J2941" i="1"/>
  <c r="A2942" i="1"/>
  <c r="G2942" i="1"/>
  <c r="H2942" i="1"/>
  <c r="J2942" i="1"/>
  <c r="A2943" i="1"/>
  <c r="G2943" i="1"/>
  <c r="H2943" i="1"/>
  <c r="J2943" i="1"/>
  <c r="A2944" i="1"/>
  <c r="G2944" i="1"/>
  <c r="H2944" i="1"/>
  <c r="J2944" i="1"/>
  <c r="A2945" i="1"/>
  <c r="G2945" i="1"/>
  <c r="H2945" i="1"/>
  <c r="J2945" i="1"/>
  <c r="A2946" i="1"/>
  <c r="G2946" i="1"/>
  <c r="H2946" i="1"/>
  <c r="J2946" i="1"/>
  <c r="A2947" i="1"/>
  <c r="G2947" i="1"/>
  <c r="H2947" i="1"/>
  <c r="J2947" i="1"/>
  <c r="A2948" i="1"/>
  <c r="G2948" i="1"/>
  <c r="H2948" i="1"/>
  <c r="J2948" i="1"/>
  <c r="A2949" i="1"/>
  <c r="G2949" i="1"/>
  <c r="H2949" i="1"/>
  <c r="J2949" i="1"/>
  <c r="A2950" i="1"/>
  <c r="G2950" i="1"/>
  <c r="H2950" i="1"/>
  <c r="J2950" i="1"/>
  <c r="A2951" i="1"/>
  <c r="G2951" i="1"/>
  <c r="H2951" i="1"/>
  <c r="J2951" i="1"/>
  <c r="A2952" i="1"/>
  <c r="G2952" i="1"/>
  <c r="H2952" i="1"/>
  <c r="J2952" i="1"/>
  <c r="A2953" i="1"/>
  <c r="G2953" i="1"/>
  <c r="H2953" i="1"/>
  <c r="J2953" i="1"/>
  <c r="A2954" i="1"/>
  <c r="G2954" i="1"/>
  <c r="H2954" i="1"/>
  <c r="J2954" i="1"/>
  <c r="A2955" i="1"/>
  <c r="G2955" i="1"/>
  <c r="H2955" i="1"/>
  <c r="J2955" i="1"/>
  <c r="A2956" i="1"/>
  <c r="G2956" i="1"/>
  <c r="H2956" i="1"/>
  <c r="J2956" i="1"/>
  <c r="A2957" i="1"/>
  <c r="G2957" i="1"/>
  <c r="H2957" i="1"/>
  <c r="J2957" i="1"/>
  <c r="A2958" i="1"/>
  <c r="G2958" i="1"/>
  <c r="H2958" i="1"/>
  <c r="J2958" i="1"/>
  <c r="A2959" i="1"/>
  <c r="G2959" i="1"/>
  <c r="H2959" i="1"/>
  <c r="J2959" i="1"/>
  <c r="A2960" i="1"/>
  <c r="G2960" i="1"/>
  <c r="H2960" i="1"/>
  <c r="J2960" i="1"/>
  <c r="A2961" i="1"/>
  <c r="G2961" i="1"/>
  <c r="H2961" i="1"/>
  <c r="J2961" i="1"/>
  <c r="A2962" i="1"/>
  <c r="G2962" i="1"/>
  <c r="H2962" i="1"/>
  <c r="J2962" i="1"/>
  <c r="A2963" i="1"/>
  <c r="G2963" i="1"/>
  <c r="H2963" i="1"/>
  <c r="J2963" i="1"/>
  <c r="A2964" i="1"/>
  <c r="G2964" i="1"/>
  <c r="H2964" i="1"/>
  <c r="J2964" i="1"/>
  <c r="A2965" i="1"/>
  <c r="G2965" i="1"/>
  <c r="H2965" i="1"/>
  <c r="J2965" i="1"/>
  <c r="A2966" i="1"/>
  <c r="G2966" i="1"/>
  <c r="H2966" i="1"/>
  <c r="J2966" i="1"/>
  <c r="A2967" i="1"/>
  <c r="G2967" i="1"/>
  <c r="H2967" i="1"/>
  <c r="J2967" i="1"/>
  <c r="A2968" i="1"/>
  <c r="G2968" i="1"/>
  <c r="H2968" i="1"/>
  <c r="J2968" i="1"/>
  <c r="A2969" i="1"/>
  <c r="G2969" i="1"/>
  <c r="H2969" i="1"/>
  <c r="J2969" i="1"/>
  <c r="A2970" i="1"/>
  <c r="G2970" i="1"/>
  <c r="H2970" i="1"/>
  <c r="J2970" i="1"/>
  <c r="A2971" i="1"/>
  <c r="G2971" i="1"/>
  <c r="H2971" i="1"/>
  <c r="J2971" i="1"/>
  <c r="A2972" i="1"/>
  <c r="G2972" i="1"/>
  <c r="H2972" i="1"/>
  <c r="J2972" i="1"/>
  <c r="A2973" i="1"/>
  <c r="G2973" i="1"/>
  <c r="H2973" i="1"/>
  <c r="J2973" i="1"/>
  <c r="A2974" i="1"/>
  <c r="G2974" i="1"/>
  <c r="H2974" i="1"/>
  <c r="J2974" i="1"/>
  <c r="A2975" i="1"/>
  <c r="G2975" i="1"/>
  <c r="H2975" i="1"/>
  <c r="J2975" i="1"/>
  <c r="A2976" i="1"/>
  <c r="G2976" i="1"/>
  <c r="H2976" i="1"/>
  <c r="J2976" i="1"/>
  <c r="A2977" i="1"/>
  <c r="G2977" i="1"/>
  <c r="H2977" i="1"/>
  <c r="J2977" i="1"/>
  <c r="A2978" i="1"/>
  <c r="G2978" i="1"/>
  <c r="H2978" i="1"/>
  <c r="J2978" i="1"/>
  <c r="A2979" i="1"/>
  <c r="G2979" i="1"/>
  <c r="H2979" i="1"/>
  <c r="J2979" i="1"/>
  <c r="A2980" i="1"/>
  <c r="G2980" i="1"/>
  <c r="H2980" i="1"/>
  <c r="J2980" i="1"/>
  <c r="A2981" i="1"/>
  <c r="G2981" i="1"/>
  <c r="H2981" i="1"/>
  <c r="J2981" i="1"/>
  <c r="A2982" i="1"/>
  <c r="G2982" i="1"/>
  <c r="H2982" i="1"/>
  <c r="J2982" i="1"/>
  <c r="A2983" i="1"/>
  <c r="G2983" i="1"/>
  <c r="H2983" i="1"/>
  <c r="J2983" i="1"/>
  <c r="A2984" i="1"/>
  <c r="G2984" i="1"/>
  <c r="H2984" i="1"/>
  <c r="J2984" i="1"/>
  <c r="A2985" i="1"/>
  <c r="G2985" i="1"/>
  <c r="H2985" i="1"/>
  <c r="J2985" i="1"/>
  <c r="A2986" i="1"/>
  <c r="G2986" i="1"/>
  <c r="H2986" i="1"/>
  <c r="J2986" i="1"/>
  <c r="A2987" i="1"/>
  <c r="G2987" i="1"/>
  <c r="H2987" i="1"/>
  <c r="J2987" i="1"/>
  <c r="A2988" i="1"/>
  <c r="G2988" i="1"/>
  <c r="H2988" i="1"/>
  <c r="J2988" i="1"/>
  <c r="A2989" i="1"/>
  <c r="G2989" i="1"/>
  <c r="H2989" i="1"/>
  <c r="J2989" i="1"/>
  <c r="A2990" i="1"/>
  <c r="G2990" i="1"/>
  <c r="H2990" i="1"/>
  <c r="J2990" i="1"/>
  <c r="A2991" i="1"/>
  <c r="G2991" i="1"/>
  <c r="H2991" i="1"/>
  <c r="J2991" i="1"/>
  <c r="A2992" i="1"/>
  <c r="G2992" i="1"/>
  <c r="H2992" i="1"/>
  <c r="J2992" i="1"/>
  <c r="A2993" i="1"/>
  <c r="G2993" i="1"/>
  <c r="H2993" i="1"/>
  <c r="J2993" i="1"/>
  <c r="A2994" i="1"/>
  <c r="G2994" i="1"/>
  <c r="H2994" i="1"/>
  <c r="J2994" i="1"/>
  <c r="A2995" i="1"/>
  <c r="G2995" i="1"/>
  <c r="H2995" i="1"/>
  <c r="J2995" i="1"/>
  <c r="A2996" i="1"/>
  <c r="G2996" i="1"/>
  <c r="H2996" i="1"/>
  <c r="J2996" i="1"/>
  <c r="A2997" i="1"/>
  <c r="G2997" i="1"/>
  <c r="H2997" i="1"/>
  <c r="J2997" i="1"/>
  <c r="A2998" i="1"/>
  <c r="G2998" i="1"/>
  <c r="H2998" i="1"/>
  <c r="J2998" i="1"/>
  <c r="A2999" i="1"/>
  <c r="G2999" i="1"/>
  <c r="H2999" i="1"/>
  <c r="J2999" i="1"/>
  <c r="A3000" i="1"/>
  <c r="G3000" i="1"/>
  <c r="H3000" i="1"/>
  <c r="J3000" i="1"/>
  <c r="A3001" i="1"/>
  <c r="G3001" i="1"/>
  <c r="H3001" i="1"/>
  <c r="J3001" i="1"/>
  <c r="A3002" i="1"/>
  <c r="G3002" i="1"/>
  <c r="H3002" i="1"/>
  <c r="J3002" i="1"/>
  <c r="A3003" i="1"/>
  <c r="G3003" i="1"/>
  <c r="H3003" i="1"/>
  <c r="J3003" i="1"/>
  <c r="A3004" i="1"/>
  <c r="G3004" i="1"/>
  <c r="H3004" i="1"/>
  <c r="J3004" i="1"/>
  <c r="A3005" i="1"/>
  <c r="G3005" i="1"/>
  <c r="H3005" i="1"/>
  <c r="J3005" i="1"/>
  <c r="A3006" i="1"/>
  <c r="G3006" i="1"/>
  <c r="H3006" i="1"/>
  <c r="J3006" i="1"/>
  <c r="A3007" i="1"/>
  <c r="G3007" i="1"/>
  <c r="H3007" i="1"/>
  <c r="J3007" i="1"/>
  <c r="A3008" i="1"/>
  <c r="G3008" i="1"/>
  <c r="H3008" i="1"/>
  <c r="J3008" i="1"/>
  <c r="A3009" i="1"/>
  <c r="G3009" i="1"/>
  <c r="H3009" i="1"/>
  <c r="J3009" i="1"/>
  <c r="A3010" i="1"/>
  <c r="G3010" i="1"/>
  <c r="H3010" i="1"/>
  <c r="J3010" i="1"/>
  <c r="A3011" i="1"/>
  <c r="G3011" i="1"/>
  <c r="H3011" i="1"/>
  <c r="J3011" i="1"/>
  <c r="A3012" i="1"/>
  <c r="G3012" i="1"/>
  <c r="H3012" i="1"/>
  <c r="J3012" i="1"/>
  <c r="A3013" i="1"/>
  <c r="G3013" i="1"/>
  <c r="H3013" i="1"/>
  <c r="J3013" i="1"/>
  <c r="A3014" i="1"/>
  <c r="G3014" i="1"/>
  <c r="H3014" i="1"/>
  <c r="J3014" i="1"/>
  <c r="A3015" i="1"/>
  <c r="G3015" i="1"/>
  <c r="H3015" i="1"/>
  <c r="J3015" i="1"/>
  <c r="A3016" i="1"/>
  <c r="G3016" i="1"/>
  <c r="H3016" i="1"/>
  <c r="J3016" i="1"/>
  <c r="A3017" i="1"/>
  <c r="G3017" i="1"/>
  <c r="H3017" i="1"/>
  <c r="J3017" i="1"/>
  <c r="A3018" i="1"/>
  <c r="G3018" i="1"/>
  <c r="H3018" i="1"/>
  <c r="J3018" i="1"/>
  <c r="A3019" i="1"/>
  <c r="G3019" i="1"/>
  <c r="H3019" i="1"/>
  <c r="J3019" i="1"/>
  <c r="A3020" i="1"/>
  <c r="G3020" i="1"/>
  <c r="H3020" i="1"/>
  <c r="J3020" i="1"/>
  <c r="A3021" i="1"/>
  <c r="G3021" i="1"/>
  <c r="H3021" i="1"/>
  <c r="J3021" i="1"/>
  <c r="A3022" i="1"/>
  <c r="G3022" i="1"/>
  <c r="H3022" i="1"/>
  <c r="J3022" i="1"/>
  <c r="A3023" i="1"/>
  <c r="G3023" i="1"/>
  <c r="H3023" i="1"/>
  <c r="J3023" i="1"/>
  <c r="A3024" i="1"/>
  <c r="G3024" i="1"/>
  <c r="H3024" i="1"/>
  <c r="J3024" i="1"/>
  <c r="A3025" i="1"/>
  <c r="G3025" i="1"/>
  <c r="H3025" i="1"/>
  <c r="J3025" i="1"/>
  <c r="A3026" i="1"/>
  <c r="G3026" i="1"/>
  <c r="H3026" i="1"/>
  <c r="J3026" i="1"/>
  <c r="A3027" i="1"/>
  <c r="G3027" i="1"/>
  <c r="H3027" i="1"/>
  <c r="J3027" i="1"/>
  <c r="A3028" i="1"/>
  <c r="G3028" i="1"/>
  <c r="H3028" i="1"/>
  <c r="J3028" i="1"/>
  <c r="A3029" i="1"/>
  <c r="G3029" i="1"/>
  <c r="H3029" i="1"/>
  <c r="J3029" i="1"/>
  <c r="A3030" i="1"/>
  <c r="G3030" i="1"/>
  <c r="H3030" i="1"/>
  <c r="J3030" i="1"/>
  <c r="A3031" i="1"/>
  <c r="G3031" i="1"/>
  <c r="H3031" i="1"/>
  <c r="J3031" i="1"/>
  <c r="A3032" i="1"/>
  <c r="G3032" i="1"/>
  <c r="H3032" i="1"/>
  <c r="J3032" i="1"/>
  <c r="A3033" i="1"/>
  <c r="G3033" i="1"/>
  <c r="H3033" i="1"/>
  <c r="J3033" i="1"/>
  <c r="A3034" i="1"/>
  <c r="G3034" i="1"/>
  <c r="H3034" i="1"/>
  <c r="J3034" i="1"/>
  <c r="A3035" i="1"/>
  <c r="G3035" i="1"/>
  <c r="H3035" i="1"/>
  <c r="J3035" i="1"/>
  <c r="A3036" i="1"/>
  <c r="G3036" i="1"/>
  <c r="H3036" i="1"/>
  <c r="J3036" i="1"/>
  <c r="A3037" i="1"/>
  <c r="G3037" i="1"/>
  <c r="H3037" i="1"/>
  <c r="J3037" i="1"/>
  <c r="A3038" i="1"/>
  <c r="G3038" i="1"/>
  <c r="H3038" i="1"/>
  <c r="J3038" i="1"/>
  <c r="A3039" i="1"/>
  <c r="G3039" i="1"/>
  <c r="H3039" i="1"/>
  <c r="J3039" i="1"/>
  <c r="A3040" i="1"/>
  <c r="G3040" i="1"/>
  <c r="H3040" i="1"/>
  <c r="J3040" i="1"/>
  <c r="A3041" i="1"/>
  <c r="G3041" i="1"/>
  <c r="H3041" i="1"/>
  <c r="J3041" i="1"/>
  <c r="A3042" i="1"/>
  <c r="G3042" i="1"/>
  <c r="H3042" i="1"/>
  <c r="J3042" i="1"/>
  <c r="A3043" i="1"/>
  <c r="G3043" i="1"/>
  <c r="H3043" i="1"/>
  <c r="J3043" i="1"/>
  <c r="A3044" i="1"/>
  <c r="G3044" i="1"/>
  <c r="H3044" i="1"/>
  <c r="J3044" i="1"/>
  <c r="A3045" i="1"/>
  <c r="G3045" i="1"/>
  <c r="H3045" i="1"/>
  <c r="J3045" i="1"/>
  <c r="A3046" i="1"/>
  <c r="G3046" i="1"/>
  <c r="H3046" i="1"/>
  <c r="J3046" i="1"/>
  <c r="A3047" i="1"/>
  <c r="G3047" i="1"/>
  <c r="H3047" i="1"/>
  <c r="J3047" i="1"/>
  <c r="A3048" i="1"/>
  <c r="G3048" i="1"/>
  <c r="H3048" i="1"/>
  <c r="J3048" i="1"/>
  <c r="A3049" i="1"/>
  <c r="G3049" i="1"/>
  <c r="H3049" i="1"/>
  <c r="J3049" i="1"/>
  <c r="A3050" i="1"/>
  <c r="G3050" i="1"/>
  <c r="H3050" i="1"/>
  <c r="J3050" i="1"/>
  <c r="A3051" i="1"/>
  <c r="G3051" i="1"/>
  <c r="H3051" i="1"/>
  <c r="J3051" i="1"/>
  <c r="A3052" i="1"/>
  <c r="G3052" i="1"/>
  <c r="H3052" i="1"/>
  <c r="J3052" i="1"/>
  <c r="A3053" i="1"/>
  <c r="G3053" i="1"/>
  <c r="H3053" i="1"/>
  <c r="J3053" i="1"/>
  <c r="A3054" i="1"/>
  <c r="G3054" i="1"/>
  <c r="H3054" i="1"/>
  <c r="J3054" i="1"/>
  <c r="A3055" i="1"/>
  <c r="G3055" i="1"/>
  <c r="H3055" i="1"/>
  <c r="J3055" i="1"/>
  <c r="A3056" i="1"/>
  <c r="G3056" i="1"/>
  <c r="H3056" i="1"/>
  <c r="J3056" i="1"/>
  <c r="A3057" i="1"/>
  <c r="G3057" i="1"/>
  <c r="H3057" i="1"/>
  <c r="J3057" i="1"/>
  <c r="A3058" i="1"/>
  <c r="G3058" i="1"/>
  <c r="H3058" i="1"/>
  <c r="J3058" i="1"/>
  <c r="A3059" i="1"/>
  <c r="G3059" i="1"/>
  <c r="H3059" i="1"/>
  <c r="J3059" i="1"/>
  <c r="A3060" i="1"/>
  <c r="G3060" i="1"/>
  <c r="H3060" i="1"/>
  <c r="J3060" i="1"/>
  <c r="A3061" i="1"/>
  <c r="G3061" i="1"/>
  <c r="H3061" i="1"/>
  <c r="J3061" i="1"/>
  <c r="A3062" i="1"/>
  <c r="G3062" i="1"/>
  <c r="H3062" i="1"/>
  <c r="J3062" i="1"/>
  <c r="A3063" i="1"/>
  <c r="G3063" i="1"/>
  <c r="H3063" i="1"/>
  <c r="J3063" i="1"/>
  <c r="A3064" i="1"/>
  <c r="G3064" i="1"/>
  <c r="H3064" i="1"/>
  <c r="J3064" i="1"/>
  <c r="A3065" i="1"/>
  <c r="G3065" i="1"/>
  <c r="H3065" i="1"/>
  <c r="J3065" i="1"/>
  <c r="A3066" i="1"/>
  <c r="G3066" i="1"/>
  <c r="H3066" i="1"/>
  <c r="J3066" i="1"/>
  <c r="A3067" i="1"/>
  <c r="G3067" i="1"/>
  <c r="H3067" i="1"/>
  <c r="J3067" i="1"/>
  <c r="A3068" i="1"/>
  <c r="G3068" i="1"/>
  <c r="H3068" i="1"/>
  <c r="J3068" i="1"/>
  <c r="A3069" i="1"/>
  <c r="G3069" i="1"/>
  <c r="H3069" i="1"/>
  <c r="J3069" i="1"/>
  <c r="A3070" i="1"/>
  <c r="G3070" i="1"/>
  <c r="H3070" i="1"/>
  <c r="J3070" i="1"/>
  <c r="A3071" i="1"/>
  <c r="G3071" i="1"/>
  <c r="H3071" i="1"/>
  <c r="J3071" i="1"/>
  <c r="A3072" i="1"/>
  <c r="G3072" i="1"/>
  <c r="H3072" i="1"/>
  <c r="J3072" i="1"/>
  <c r="A3073" i="1"/>
  <c r="G3073" i="1"/>
  <c r="H3073" i="1"/>
  <c r="J3073" i="1"/>
  <c r="A3074" i="1"/>
  <c r="G3074" i="1"/>
  <c r="H3074" i="1"/>
  <c r="J3074" i="1"/>
  <c r="A3075" i="1"/>
  <c r="G3075" i="1"/>
  <c r="H3075" i="1"/>
  <c r="J3075" i="1"/>
  <c r="A3076" i="1"/>
  <c r="G3076" i="1"/>
  <c r="H3076" i="1"/>
  <c r="J3076" i="1"/>
  <c r="A3077" i="1"/>
  <c r="G3077" i="1"/>
  <c r="H3077" i="1"/>
  <c r="J3077" i="1"/>
  <c r="A3078" i="1"/>
  <c r="G3078" i="1"/>
  <c r="H3078" i="1"/>
  <c r="J3078" i="1"/>
  <c r="A3079" i="1"/>
  <c r="G3079" i="1"/>
  <c r="H3079" i="1"/>
  <c r="J3079" i="1"/>
  <c r="A3080" i="1"/>
  <c r="G3080" i="1"/>
  <c r="H3080" i="1"/>
  <c r="J3080" i="1"/>
  <c r="A3081" i="1"/>
  <c r="G3081" i="1"/>
  <c r="H3081" i="1"/>
  <c r="J3081" i="1"/>
  <c r="A3082" i="1"/>
  <c r="G3082" i="1"/>
  <c r="H3082" i="1"/>
  <c r="J3082" i="1"/>
  <c r="A3083" i="1"/>
  <c r="G3083" i="1"/>
  <c r="H3083" i="1"/>
  <c r="J3083" i="1"/>
  <c r="A3084" i="1"/>
  <c r="G3084" i="1"/>
  <c r="H3084" i="1"/>
  <c r="J3084" i="1"/>
  <c r="A3085" i="1"/>
  <c r="G3085" i="1"/>
  <c r="H3085" i="1"/>
  <c r="J3085" i="1"/>
  <c r="A3086" i="1"/>
  <c r="G3086" i="1"/>
  <c r="H3086" i="1"/>
  <c r="J3086" i="1"/>
  <c r="A3087" i="1"/>
  <c r="G3087" i="1"/>
  <c r="H3087" i="1"/>
  <c r="J3087" i="1"/>
  <c r="A3088" i="1"/>
  <c r="G3088" i="1"/>
  <c r="H3088" i="1"/>
  <c r="J3088" i="1"/>
  <c r="A3089" i="1"/>
  <c r="G3089" i="1"/>
  <c r="H3089" i="1"/>
  <c r="J3089" i="1"/>
  <c r="A3090" i="1"/>
  <c r="G3090" i="1"/>
  <c r="H3090" i="1"/>
  <c r="J3090" i="1"/>
  <c r="A3091" i="1"/>
  <c r="G3091" i="1"/>
  <c r="H3091" i="1"/>
  <c r="J3091" i="1"/>
  <c r="A3092" i="1"/>
  <c r="G3092" i="1"/>
  <c r="H3092" i="1"/>
  <c r="J3092" i="1"/>
  <c r="A3093" i="1"/>
  <c r="G3093" i="1"/>
  <c r="H3093" i="1"/>
  <c r="J3093" i="1"/>
  <c r="A3094" i="1"/>
  <c r="G3094" i="1"/>
  <c r="H3094" i="1"/>
  <c r="J3094" i="1"/>
  <c r="A3095" i="1"/>
  <c r="G3095" i="1"/>
  <c r="H3095" i="1"/>
  <c r="J3095" i="1"/>
  <c r="A3096" i="1"/>
  <c r="G3096" i="1"/>
  <c r="H3096" i="1"/>
  <c r="J3096" i="1"/>
  <c r="A3097" i="1"/>
  <c r="G3097" i="1"/>
  <c r="H3097" i="1"/>
  <c r="J3097" i="1"/>
  <c r="A3098" i="1"/>
  <c r="G3098" i="1"/>
  <c r="H3098" i="1"/>
  <c r="J3098" i="1"/>
  <c r="A3099" i="1"/>
  <c r="G3099" i="1"/>
  <c r="H3099" i="1"/>
  <c r="J3099" i="1"/>
  <c r="A3100" i="1"/>
  <c r="G3100" i="1"/>
  <c r="H3100" i="1"/>
  <c r="J3100" i="1"/>
  <c r="A3101" i="1"/>
  <c r="G3101" i="1"/>
  <c r="H3101" i="1"/>
  <c r="J3101" i="1"/>
  <c r="A3102" i="1"/>
  <c r="G3102" i="1"/>
  <c r="H3102" i="1"/>
  <c r="J3102" i="1"/>
  <c r="A3103" i="1"/>
  <c r="G3103" i="1"/>
  <c r="H3103" i="1"/>
  <c r="J3103" i="1"/>
  <c r="A3104" i="1"/>
  <c r="G3104" i="1"/>
  <c r="H3104" i="1"/>
  <c r="J3104" i="1"/>
  <c r="A3105" i="1"/>
  <c r="G3105" i="1"/>
  <c r="H3105" i="1"/>
  <c r="J3105" i="1"/>
  <c r="A3106" i="1"/>
  <c r="G3106" i="1"/>
  <c r="H3106" i="1"/>
  <c r="J3106" i="1"/>
  <c r="A3107" i="1"/>
  <c r="G3107" i="1"/>
  <c r="H3107" i="1"/>
  <c r="J3107" i="1"/>
  <c r="A3108" i="1"/>
  <c r="G3108" i="1"/>
  <c r="H3108" i="1"/>
  <c r="J3108" i="1"/>
  <c r="A3109" i="1"/>
  <c r="G3109" i="1"/>
  <c r="H3109" i="1"/>
  <c r="J3109" i="1"/>
  <c r="A3110" i="1"/>
  <c r="G3110" i="1"/>
  <c r="H3110" i="1"/>
  <c r="J3110" i="1"/>
  <c r="A3111" i="1"/>
  <c r="G3111" i="1"/>
  <c r="H3111" i="1"/>
  <c r="J3111" i="1"/>
  <c r="A3112" i="1"/>
  <c r="G3112" i="1"/>
  <c r="H3112" i="1"/>
  <c r="J3112" i="1"/>
  <c r="A3113" i="1"/>
  <c r="G3113" i="1"/>
  <c r="H3113" i="1"/>
  <c r="J3113" i="1"/>
  <c r="A3114" i="1"/>
  <c r="G3114" i="1"/>
  <c r="H3114" i="1"/>
  <c r="J3114" i="1"/>
  <c r="A3115" i="1"/>
  <c r="G3115" i="1"/>
  <c r="H3115" i="1"/>
  <c r="J3115" i="1"/>
  <c r="A3116" i="1"/>
  <c r="G3116" i="1"/>
  <c r="H3116" i="1"/>
  <c r="J3116" i="1"/>
  <c r="A3117" i="1"/>
  <c r="G3117" i="1"/>
  <c r="H3117" i="1"/>
  <c r="J3117" i="1"/>
  <c r="A3118" i="1"/>
  <c r="G3118" i="1"/>
  <c r="H3118" i="1"/>
  <c r="J3118" i="1"/>
  <c r="A3119" i="1"/>
  <c r="G3119" i="1"/>
  <c r="H3119" i="1"/>
  <c r="J3119" i="1"/>
  <c r="A3120" i="1"/>
  <c r="G3120" i="1"/>
  <c r="H3120" i="1"/>
  <c r="J3120" i="1"/>
  <c r="A3121" i="1"/>
  <c r="G3121" i="1"/>
  <c r="H3121" i="1"/>
  <c r="J3121" i="1"/>
  <c r="A3122" i="1"/>
  <c r="G3122" i="1"/>
  <c r="H3122" i="1"/>
  <c r="J3122" i="1"/>
  <c r="A3123" i="1"/>
  <c r="G3123" i="1"/>
  <c r="H3123" i="1"/>
  <c r="J3123" i="1"/>
  <c r="A3124" i="1"/>
  <c r="G3124" i="1"/>
  <c r="H3124" i="1"/>
  <c r="J3124" i="1"/>
  <c r="A3125" i="1"/>
  <c r="G3125" i="1"/>
  <c r="H3125" i="1"/>
  <c r="J3125" i="1"/>
  <c r="A3126" i="1"/>
  <c r="G3126" i="1"/>
  <c r="H3126" i="1"/>
  <c r="J3126" i="1"/>
  <c r="A3127" i="1"/>
  <c r="G3127" i="1"/>
  <c r="H3127" i="1"/>
  <c r="J3127" i="1"/>
  <c r="A3128" i="1"/>
  <c r="G3128" i="1"/>
  <c r="H3128" i="1"/>
  <c r="J3128" i="1"/>
  <c r="A3129" i="1"/>
  <c r="G3129" i="1"/>
  <c r="H3129" i="1"/>
  <c r="J3129" i="1"/>
  <c r="A3130" i="1"/>
  <c r="G3130" i="1"/>
  <c r="H3130" i="1"/>
  <c r="J3130" i="1"/>
  <c r="A3131" i="1"/>
  <c r="G3131" i="1"/>
  <c r="H3131" i="1"/>
  <c r="J3131" i="1"/>
  <c r="A3132" i="1"/>
  <c r="G3132" i="1"/>
  <c r="H3132" i="1"/>
  <c r="J3132" i="1"/>
  <c r="A3133" i="1"/>
  <c r="G3133" i="1"/>
  <c r="H3133" i="1"/>
  <c r="J3133" i="1"/>
  <c r="A3134" i="1"/>
  <c r="G3134" i="1"/>
  <c r="H3134" i="1"/>
  <c r="J3134" i="1"/>
  <c r="A3135" i="1"/>
  <c r="G3135" i="1"/>
  <c r="H3135" i="1"/>
  <c r="J3135" i="1"/>
  <c r="A3136" i="1"/>
  <c r="G3136" i="1"/>
  <c r="H3136" i="1"/>
  <c r="J3136" i="1"/>
  <c r="A3137" i="1"/>
  <c r="G3137" i="1"/>
  <c r="H3137" i="1"/>
  <c r="J3137" i="1"/>
  <c r="A3138" i="1"/>
  <c r="G3138" i="1"/>
  <c r="H3138" i="1"/>
  <c r="J3138" i="1"/>
  <c r="A3139" i="1"/>
  <c r="G3139" i="1"/>
  <c r="H3139" i="1"/>
  <c r="J3139" i="1"/>
  <c r="A3140" i="1"/>
  <c r="G3140" i="1"/>
  <c r="H3140" i="1"/>
  <c r="J3140" i="1"/>
  <c r="A3141" i="1"/>
  <c r="G3141" i="1"/>
  <c r="H3141" i="1"/>
  <c r="J3141" i="1"/>
  <c r="A3142" i="1"/>
  <c r="G3142" i="1"/>
  <c r="H3142" i="1"/>
  <c r="J3142" i="1"/>
  <c r="A3143" i="1"/>
  <c r="G3143" i="1"/>
  <c r="H3143" i="1"/>
  <c r="J3143" i="1"/>
  <c r="A3144" i="1"/>
  <c r="G3144" i="1"/>
  <c r="H3144" i="1"/>
  <c r="J3144" i="1"/>
  <c r="A3145" i="1"/>
  <c r="G3145" i="1"/>
  <c r="H3145" i="1"/>
  <c r="J3145" i="1"/>
  <c r="A3146" i="1"/>
  <c r="G3146" i="1"/>
  <c r="H3146" i="1"/>
  <c r="J3146" i="1"/>
  <c r="A3147" i="1"/>
  <c r="G3147" i="1"/>
  <c r="H3147" i="1"/>
  <c r="J3147" i="1"/>
  <c r="A3148" i="1"/>
  <c r="G3148" i="1"/>
  <c r="H3148" i="1"/>
  <c r="J3148" i="1"/>
  <c r="A3149" i="1"/>
  <c r="G3149" i="1"/>
  <c r="H3149" i="1"/>
  <c r="J3149" i="1"/>
  <c r="A3150" i="1"/>
  <c r="G3150" i="1"/>
  <c r="H3150" i="1"/>
  <c r="J3150" i="1"/>
  <c r="A3151" i="1"/>
  <c r="G3151" i="1"/>
  <c r="H3151" i="1"/>
  <c r="J3151" i="1"/>
  <c r="A3152" i="1"/>
  <c r="G3152" i="1"/>
  <c r="H3152" i="1"/>
  <c r="J3152" i="1"/>
  <c r="A3153" i="1"/>
  <c r="G3153" i="1"/>
  <c r="H3153" i="1"/>
  <c r="J3153" i="1"/>
  <c r="A3154" i="1"/>
  <c r="G3154" i="1"/>
  <c r="H3154" i="1"/>
  <c r="J3154" i="1"/>
  <c r="A3155" i="1"/>
  <c r="G3155" i="1"/>
  <c r="H3155" i="1"/>
  <c r="J3155" i="1"/>
  <c r="A3156" i="1"/>
  <c r="G3156" i="1"/>
  <c r="H3156" i="1"/>
  <c r="J3156" i="1"/>
  <c r="A3157" i="1"/>
  <c r="G3157" i="1"/>
  <c r="H3157" i="1"/>
  <c r="J3157" i="1"/>
  <c r="A3158" i="1"/>
  <c r="G3158" i="1"/>
  <c r="H3158" i="1"/>
  <c r="J3158" i="1"/>
  <c r="A3159" i="1"/>
  <c r="G3159" i="1"/>
  <c r="H3159" i="1"/>
  <c r="J3159" i="1"/>
  <c r="A3160" i="1"/>
  <c r="G3160" i="1"/>
  <c r="H3160" i="1"/>
  <c r="J3160" i="1"/>
  <c r="A3161" i="1"/>
  <c r="G3161" i="1"/>
  <c r="H3161" i="1"/>
  <c r="J3161" i="1"/>
  <c r="A3162" i="1"/>
  <c r="G3162" i="1"/>
  <c r="H3162" i="1"/>
  <c r="J3162" i="1"/>
  <c r="A3163" i="1"/>
  <c r="G3163" i="1"/>
  <c r="H3163" i="1"/>
  <c r="J3163" i="1"/>
  <c r="A3164" i="1"/>
  <c r="G3164" i="1"/>
  <c r="H3164" i="1"/>
  <c r="J3164" i="1"/>
  <c r="A3165" i="1"/>
  <c r="G3165" i="1"/>
  <c r="H3165" i="1"/>
  <c r="J3165" i="1"/>
  <c r="A3166" i="1"/>
  <c r="G3166" i="1"/>
  <c r="H3166" i="1"/>
  <c r="J3166" i="1"/>
  <c r="A3167" i="1"/>
  <c r="G3167" i="1"/>
  <c r="H3167" i="1"/>
  <c r="J3167" i="1"/>
  <c r="A3168" i="1"/>
  <c r="G3168" i="1"/>
  <c r="H3168" i="1"/>
  <c r="J3168" i="1"/>
  <c r="A3169" i="1"/>
  <c r="G3169" i="1"/>
  <c r="H3169" i="1"/>
  <c r="J3169" i="1"/>
  <c r="A3170" i="1"/>
  <c r="G3170" i="1"/>
  <c r="H3170" i="1"/>
  <c r="J3170" i="1"/>
  <c r="A3171" i="1"/>
  <c r="G3171" i="1"/>
  <c r="H3171" i="1"/>
  <c r="J3171" i="1"/>
  <c r="A3172" i="1"/>
  <c r="G3172" i="1"/>
  <c r="H3172" i="1"/>
  <c r="J3172" i="1"/>
  <c r="A3173" i="1"/>
  <c r="G3173" i="1"/>
  <c r="H3173" i="1"/>
  <c r="J3173" i="1"/>
  <c r="A3174" i="1"/>
  <c r="G3174" i="1"/>
  <c r="H3174" i="1"/>
  <c r="J3174" i="1"/>
  <c r="A3175" i="1"/>
  <c r="G3175" i="1"/>
  <c r="H3175" i="1"/>
  <c r="J3175" i="1"/>
  <c r="A3176" i="1"/>
  <c r="G3176" i="1"/>
  <c r="H3176" i="1"/>
  <c r="J3176" i="1"/>
  <c r="A3177" i="1"/>
  <c r="G3177" i="1"/>
  <c r="H3177" i="1"/>
  <c r="J3177" i="1"/>
  <c r="A3178" i="1"/>
  <c r="G3178" i="1"/>
  <c r="H3178" i="1"/>
  <c r="J3178" i="1"/>
  <c r="A3179" i="1"/>
  <c r="G3179" i="1"/>
  <c r="H3179" i="1"/>
  <c r="J3179" i="1"/>
  <c r="A3180" i="1"/>
  <c r="G3180" i="1"/>
  <c r="H3180" i="1"/>
  <c r="J3180" i="1"/>
  <c r="A3181" i="1"/>
  <c r="G3181" i="1"/>
  <c r="H3181" i="1"/>
  <c r="J3181" i="1"/>
  <c r="A3182" i="1"/>
  <c r="G3182" i="1"/>
  <c r="H3182" i="1"/>
  <c r="J3182" i="1"/>
  <c r="A3183" i="1"/>
  <c r="G3183" i="1"/>
  <c r="H3183" i="1"/>
  <c r="J3183" i="1"/>
  <c r="A3184" i="1"/>
  <c r="G3184" i="1"/>
  <c r="H3184" i="1"/>
  <c r="J3184" i="1"/>
  <c r="A3185" i="1"/>
  <c r="G3185" i="1"/>
  <c r="H3185" i="1"/>
  <c r="J3185" i="1"/>
  <c r="A3186" i="1"/>
  <c r="G3186" i="1"/>
  <c r="H3186" i="1"/>
  <c r="J3186" i="1"/>
  <c r="A3187" i="1"/>
  <c r="G3187" i="1"/>
  <c r="H3187" i="1"/>
  <c r="J3187" i="1"/>
  <c r="A3188" i="1"/>
  <c r="G3188" i="1"/>
  <c r="H3188" i="1"/>
  <c r="J3188" i="1"/>
  <c r="A3189" i="1"/>
  <c r="G3189" i="1"/>
  <c r="H3189" i="1"/>
  <c r="J3189" i="1"/>
  <c r="A3190" i="1"/>
  <c r="G3190" i="1"/>
  <c r="H3190" i="1"/>
  <c r="J3190" i="1"/>
  <c r="A3191" i="1"/>
  <c r="G3191" i="1"/>
  <c r="H3191" i="1"/>
  <c r="J3191" i="1"/>
  <c r="A3192" i="1"/>
  <c r="G3192" i="1"/>
  <c r="H3192" i="1"/>
  <c r="J3192" i="1"/>
  <c r="A3193" i="1"/>
  <c r="G3193" i="1"/>
  <c r="H3193" i="1"/>
  <c r="J3193" i="1"/>
  <c r="A3194" i="1"/>
  <c r="G3194" i="1"/>
  <c r="H3194" i="1"/>
  <c r="J3194" i="1"/>
  <c r="A3195" i="1"/>
  <c r="G3195" i="1"/>
  <c r="H3195" i="1"/>
  <c r="J3195" i="1"/>
  <c r="A3196" i="1"/>
  <c r="G3196" i="1"/>
  <c r="H3196" i="1"/>
  <c r="J3196" i="1"/>
  <c r="A3197" i="1"/>
  <c r="G3197" i="1"/>
  <c r="H3197" i="1"/>
  <c r="J3197" i="1"/>
  <c r="A3198" i="1"/>
  <c r="G3198" i="1"/>
  <c r="H3198" i="1"/>
  <c r="J3198" i="1"/>
  <c r="A3199" i="1"/>
  <c r="G3199" i="1"/>
  <c r="H3199" i="1"/>
  <c r="J3199" i="1"/>
  <c r="A3200" i="1"/>
  <c r="G3200" i="1"/>
  <c r="H3200" i="1"/>
  <c r="J3200" i="1"/>
  <c r="A3201" i="1"/>
  <c r="G3201" i="1"/>
  <c r="H3201" i="1"/>
  <c r="J3201" i="1"/>
  <c r="A3202" i="1"/>
  <c r="G3202" i="1"/>
  <c r="H3202" i="1"/>
  <c r="J3202" i="1"/>
  <c r="A3203" i="1"/>
  <c r="G3203" i="1"/>
  <c r="H3203" i="1"/>
  <c r="J3203" i="1"/>
  <c r="A3204" i="1"/>
  <c r="G3204" i="1"/>
  <c r="H3204" i="1"/>
  <c r="J3204" i="1"/>
  <c r="A3205" i="1"/>
  <c r="G3205" i="1"/>
  <c r="H3205" i="1"/>
  <c r="J3205" i="1"/>
  <c r="A3206" i="1"/>
  <c r="G3206" i="1"/>
  <c r="H3206" i="1"/>
  <c r="J3206" i="1"/>
  <c r="A3207" i="1"/>
  <c r="G3207" i="1"/>
  <c r="H3207" i="1"/>
  <c r="J3207" i="1"/>
  <c r="A3208" i="1"/>
  <c r="G3208" i="1"/>
  <c r="H3208" i="1"/>
  <c r="J3208" i="1"/>
  <c r="A3209" i="1"/>
  <c r="G3209" i="1"/>
  <c r="H3209" i="1"/>
  <c r="J3209" i="1"/>
  <c r="A3210" i="1"/>
  <c r="G3210" i="1"/>
  <c r="H3210" i="1"/>
  <c r="J3210" i="1"/>
  <c r="A3211" i="1"/>
  <c r="G3211" i="1"/>
  <c r="H3211" i="1"/>
  <c r="J3211" i="1"/>
  <c r="A3212" i="1"/>
  <c r="G3212" i="1"/>
  <c r="H3212" i="1"/>
  <c r="J3212" i="1"/>
  <c r="A3213" i="1"/>
  <c r="G3213" i="1"/>
  <c r="H3213" i="1"/>
  <c r="J3213" i="1"/>
  <c r="A3214" i="1"/>
  <c r="G3214" i="1"/>
  <c r="H3214" i="1"/>
  <c r="J3214" i="1"/>
  <c r="A3215" i="1"/>
  <c r="G3215" i="1"/>
  <c r="H3215" i="1"/>
  <c r="J3215" i="1"/>
  <c r="A3216" i="1"/>
  <c r="G3216" i="1"/>
  <c r="H3216" i="1"/>
  <c r="J3216" i="1"/>
  <c r="A3217" i="1"/>
  <c r="G3217" i="1"/>
  <c r="H3217" i="1"/>
  <c r="J3217" i="1"/>
  <c r="A3218" i="1"/>
  <c r="G3218" i="1"/>
  <c r="H3218" i="1"/>
  <c r="J3218" i="1"/>
  <c r="A3219" i="1"/>
  <c r="G3219" i="1"/>
  <c r="H3219" i="1"/>
  <c r="J3219" i="1"/>
  <c r="A3220" i="1"/>
  <c r="G3220" i="1"/>
  <c r="H3220" i="1"/>
  <c r="J3220" i="1"/>
  <c r="A3221" i="1"/>
  <c r="G3221" i="1"/>
  <c r="H3221" i="1"/>
  <c r="J3221" i="1"/>
  <c r="A3222" i="1"/>
  <c r="G3222" i="1"/>
  <c r="H3222" i="1"/>
  <c r="J3222" i="1"/>
  <c r="A3223" i="1"/>
  <c r="G3223" i="1"/>
  <c r="H3223" i="1"/>
  <c r="J3223" i="1"/>
  <c r="A3224" i="1"/>
  <c r="G3224" i="1"/>
  <c r="H3224" i="1"/>
  <c r="J3224" i="1"/>
  <c r="A3225" i="1"/>
  <c r="G3225" i="1"/>
  <c r="H3225" i="1"/>
  <c r="J3225" i="1"/>
  <c r="A3226" i="1"/>
  <c r="G3226" i="1"/>
  <c r="H3226" i="1"/>
  <c r="J3226" i="1"/>
  <c r="A3227" i="1"/>
  <c r="G3227" i="1"/>
  <c r="H3227" i="1"/>
  <c r="J3227" i="1"/>
  <c r="A3228" i="1"/>
  <c r="G3228" i="1"/>
  <c r="H3228" i="1"/>
  <c r="J3228" i="1"/>
  <c r="A3229" i="1"/>
  <c r="G3229" i="1"/>
  <c r="H3229" i="1"/>
  <c r="J3229" i="1"/>
  <c r="A3230" i="1"/>
  <c r="G3230" i="1"/>
  <c r="H3230" i="1"/>
  <c r="J3230" i="1"/>
  <c r="A3231" i="1"/>
  <c r="G3231" i="1"/>
  <c r="H3231" i="1"/>
  <c r="J3231" i="1"/>
  <c r="A3232" i="1"/>
  <c r="G3232" i="1"/>
  <c r="H3232" i="1"/>
  <c r="J3232" i="1"/>
  <c r="A3233" i="1"/>
  <c r="G3233" i="1"/>
  <c r="H3233" i="1"/>
  <c r="J3233" i="1"/>
  <c r="A3234" i="1"/>
  <c r="G3234" i="1"/>
  <c r="H3234" i="1"/>
  <c r="J3234" i="1"/>
  <c r="A3235" i="1"/>
  <c r="G3235" i="1"/>
  <c r="H3235" i="1"/>
  <c r="J3235" i="1"/>
  <c r="A3236" i="1"/>
  <c r="G3236" i="1"/>
  <c r="H3236" i="1"/>
  <c r="J3236" i="1"/>
  <c r="A3237" i="1"/>
  <c r="G3237" i="1"/>
  <c r="H3237" i="1"/>
  <c r="J3237" i="1"/>
  <c r="A3238" i="1"/>
  <c r="G3238" i="1"/>
  <c r="H3238" i="1"/>
  <c r="J3238" i="1"/>
  <c r="A3239" i="1"/>
  <c r="G3239" i="1"/>
  <c r="H3239" i="1"/>
  <c r="J3239" i="1"/>
  <c r="A3240" i="1"/>
  <c r="G3240" i="1"/>
  <c r="H3240" i="1"/>
  <c r="J3240" i="1"/>
  <c r="A3241" i="1"/>
  <c r="G3241" i="1"/>
  <c r="H3241" i="1"/>
  <c r="J3241" i="1"/>
  <c r="A3242" i="1"/>
  <c r="G3242" i="1"/>
  <c r="H3242" i="1"/>
  <c r="J3242" i="1"/>
  <c r="A3243" i="1"/>
  <c r="G3243" i="1"/>
  <c r="H3243" i="1"/>
  <c r="J3243" i="1"/>
  <c r="A3244" i="1"/>
  <c r="G3244" i="1"/>
  <c r="H3244" i="1"/>
  <c r="J3244" i="1"/>
  <c r="A3245" i="1"/>
  <c r="G3245" i="1"/>
  <c r="H3245" i="1"/>
  <c r="J3245" i="1"/>
  <c r="A3246" i="1"/>
  <c r="G3246" i="1"/>
  <c r="H3246" i="1"/>
  <c r="J3246" i="1"/>
  <c r="A3247" i="1"/>
  <c r="G3247" i="1"/>
  <c r="H3247" i="1"/>
  <c r="J3247" i="1"/>
  <c r="A3248" i="1"/>
  <c r="G3248" i="1"/>
  <c r="H3248" i="1"/>
  <c r="J3248" i="1"/>
  <c r="A3249" i="1"/>
  <c r="G3249" i="1"/>
  <c r="H3249" i="1"/>
  <c r="J3249" i="1"/>
  <c r="A3250" i="1"/>
  <c r="G3250" i="1"/>
  <c r="H3250" i="1"/>
  <c r="J3250" i="1"/>
  <c r="A3251" i="1"/>
  <c r="G3251" i="1"/>
  <c r="H3251" i="1"/>
  <c r="J3251" i="1"/>
  <c r="A3252" i="1"/>
  <c r="G3252" i="1"/>
  <c r="H3252" i="1"/>
  <c r="J3252" i="1"/>
  <c r="A3253" i="1"/>
  <c r="G3253" i="1"/>
  <c r="H3253" i="1"/>
  <c r="J3253" i="1"/>
  <c r="A3254" i="1"/>
  <c r="G3254" i="1"/>
  <c r="H3254" i="1"/>
  <c r="J3254" i="1"/>
  <c r="A3255" i="1"/>
  <c r="G3255" i="1"/>
  <c r="H3255" i="1"/>
  <c r="J3255" i="1"/>
  <c r="A3256" i="1"/>
  <c r="G3256" i="1"/>
  <c r="H3256" i="1"/>
  <c r="J3256" i="1"/>
  <c r="A3257" i="1"/>
  <c r="G3257" i="1"/>
  <c r="H3257" i="1"/>
  <c r="J3257" i="1"/>
  <c r="A3258" i="1"/>
  <c r="G3258" i="1"/>
  <c r="H3258" i="1"/>
  <c r="J3258" i="1"/>
  <c r="A3259" i="1"/>
  <c r="G3259" i="1"/>
  <c r="H3259" i="1"/>
  <c r="J3259" i="1"/>
  <c r="A3260" i="1"/>
  <c r="G3260" i="1"/>
  <c r="H3260" i="1"/>
  <c r="J3260" i="1"/>
  <c r="A3261" i="1"/>
  <c r="G3261" i="1"/>
  <c r="H3261" i="1"/>
  <c r="J3261" i="1"/>
  <c r="A3262" i="1"/>
  <c r="G3262" i="1"/>
  <c r="H3262" i="1"/>
  <c r="J3262" i="1"/>
  <c r="A3263" i="1"/>
  <c r="G3263" i="1"/>
  <c r="H3263" i="1"/>
  <c r="J3263" i="1"/>
  <c r="A3264" i="1"/>
  <c r="G3264" i="1"/>
  <c r="H3264" i="1"/>
  <c r="J3264" i="1"/>
  <c r="A3265" i="1"/>
  <c r="G3265" i="1"/>
  <c r="H3265" i="1"/>
  <c r="J3265" i="1"/>
  <c r="A3266" i="1"/>
  <c r="G3266" i="1"/>
  <c r="H3266" i="1"/>
  <c r="J3266" i="1"/>
  <c r="A3267" i="1"/>
  <c r="G3267" i="1"/>
  <c r="H3267" i="1"/>
  <c r="J3267" i="1"/>
  <c r="A3268" i="1"/>
  <c r="G3268" i="1"/>
  <c r="H3268" i="1"/>
  <c r="J3268" i="1"/>
  <c r="A3269" i="1"/>
  <c r="G3269" i="1"/>
  <c r="H3269" i="1"/>
  <c r="J3269" i="1"/>
  <c r="A3270" i="1"/>
  <c r="G3270" i="1"/>
  <c r="H3270" i="1"/>
  <c r="J3270" i="1"/>
  <c r="A3271" i="1"/>
  <c r="G3271" i="1"/>
  <c r="H3271" i="1"/>
  <c r="J3271" i="1"/>
  <c r="A3272" i="1"/>
  <c r="G3272" i="1"/>
  <c r="H3272" i="1"/>
  <c r="J3272" i="1"/>
  <c r="A3273" i="1"/>
  <c r="G3273" i="1"/>
  <c r="H3273" i="1"/>
  <c r="J3273" i="1"/>
  <c r="A3274" i="1"/>
  <c r="G3274" i="1"/>
  <c r="H3274" i="1"/>
  <c r="J3274" i="1"/>
  <c r="A3275" i="1"/>
  <c r="G3275" i="1"/>
  <c r="H3275" i="1"/>
  <c r="J3275" i="1"/>
  <c r="A3276" i="1"/>
  <c r="G3276" i="1"/>
  <c r="H3276" i="1"/>
  <c r="J3276" i="1"/>
  <c r="A3277" i="1"/>
  <c r="G3277" i="1"/>
  <c r="H3277" i="1"/>
  <c r="J3277" i="1"/>
  <c r="A3278" i="1"/>
  <c r="G3278" i="1"/>
  <c r="H3278" i="1"/>
  <c r="J3278" i="1"/>
  <c r="A3279" i="1"/>
  <c r="G3279" i="1"/>
  <c r="H3279" i="1"/>
  <c r="J3279" i="1"/>
  <c r="A3280" i="1"/>
  <c r="G3280" i="1"/>
  <c r="H3280" i="1"/>
  <c r="J3280" i="1"/>
  <c r="A3281" i="1"/>
  <c r="G3281" i="1"/>
  <c r="H3281" i="1"/>
  <c r="J3281" i="1"/>
  <c r="A3282" i="1"/>
  <c r="G3282" i="1"/>
  <c r="H3282" i="1"/>
  <c r="J3282" i="1"/>
  <c r="A3283" i="1"/>
  <c r="G3283" i="1"/>
  <c r="H3283" i="1"/>
  <c r="J3283" i="1"/>
  <c r="A3284" i="1"/>
  <c r="G3284" i="1"/>
  <c r="H3284" i="1"/>
  <c r="J3284" i="1"/>
  <c r="A3285" i="1"/>
  <c r="G3285" i="1"/>
  <c r="H3285" i="1"/>
  <c r="J3285" i="1"/>
  <c r="A3286" i="1"/>
  <c r="G3286" i="1"/>
  <c r="H3286" i="1"/>
  <c r="J3286" i="1"/>
  <c r="A3287" i="1"/>
  <c r="G3287" i="1"/>
  <c r="H3287" i="1"/>
  <c r="J3287" i="1"/>
  <c r="A3288" i="1"/>
  <c r="G3288" i="1"/>
  <c r="H3288" i="1"/>
  <c r="J3288" i="1"/>
  <c r="A3289" i="1"/>
  <c r="G3289" i="1"/>
  <c r="H3289" i="1"/>
  <c r="J3289" i="1"/>
  <c r="A3290" i="1"/>
  <c r="G3290" i="1"/>
  <c r="H3290" i="1"/>
  <c r="J3290" i="1"/>
  <c r="A3291" i="1"/>
  <c r="G3291" i="1"/>
  <c r="H3291" i="1"/>
  <c r="J3291" i="1"/>
  <c r="A3292" i="1"/>
  <c r="G3292" i="1"/>
  <c r="H3292" i="1"/>
  <c r="J3292" i="1"/>
  <c r="A3293" i="1"/>
  <c r="G3293" i="1"/>
  <c r="H3293" i="1"/>
  <c r="J3293" i="1"/>
  <c r="A3294" i="1"/>
  <c r="G3294" i="1"/>
  <c r="H3294" i="1"/>
  <c r="J3294" i="1"/>
  <c r="A3295" i="1"/>
  <c r="G3295" i="1"/>
  <c r="H3295" i="1"/>
  <c r="J3295" i="1"/>
  <c r="A3296" i="1"/>
  <c r="G3296" i="1"/>
  <c r="H3296" i="1"/>
  <c r="J3296" i="1"/>
  <c r="A3297" i="1"/>
  <c r="G3297" i="1"/>
  <c r="H3297" i="1"/>
  <c r="J3297" i="1"/>
  <c r="A3298" i="1"/>
  <c r="G3298" i="1"/>
  <c r="H3298" i="1"/>
  <c r="J3298" i="1"/>
  <c r="A3299" i="1"/>
  <c r="G3299" i="1"/>
  <c r="H3299" i="1"/>
  <c r="J3299" i="1"/>
  <c r="A3300" i="1"/>
  <c r="G3300" i="1"/>
  <c r="H3300" i="1"/>
  <c r="J3300" i="1"/>
  <c r="A3301" i="1"/>
  <c r="G3301" i="1"/>
  <c r="H3301" i="1"/>
  <c r="J3301" i="1"/>
  <c r="A3302" i="1"/>
  <c r="G3302" i="1"/>
  <c r="H3302" i="1"/>
  <c r="J3302" i="1"/>
  <c r="A3303" i="1"/>
  <c r="G3303" i="1"/>
  <c r="H3303" i="1"/>
  <c r="J3303" i="1"/>
  <c r="A3304" i="1"/>
  <c r="G3304" i="1"/>
  <c r="H3304" i="1"/>
  <c r="J3304" i="1"/>
  <c r="A3305" i="1"/>
  <c r="G3305" i="1"/>
  <c r="H3305" i="1"/>
  <c r="J3305" i="1"/>
  <c r="A3306" i="1"/>
  <c r="G3306" i="1"/>
  <c r="H3306" i="1"/>
  <c r="J3306" i="1"/>
  <c r="A3307" i="1"/>
  <c r="G3307" i="1"/>
  <c r="H3307" i="1"/>
  <c r="J3307" i="1"/>
  <c r="A3308" i="1"/>
  <c r="G3308" i="1"/>
  <c r="H3308" i="1"/>
  <c r="J3308" i="1"/>
  <c r="A3309" i="1"/>
  <c r="G3309" i="1"/>
  <c r="H3309" i="1"/>
  <c r="J3309" i="1"/>
  <c r="A3310" i="1"/>
  <c r="G3310" i="1"/>
  <c r="H3310" i="1"/>
  <c r="J3310" i="1"/>
  <c r="A3311" i="1"/>
  <c r="G3311" i="1"/>
  <c r="H3311" i="1"/>
  <c r="J3311" i="1"/>
  <c r="A3312" i="1"/>
  <c r="G3312" i="1"/>
  <c r="H3312" i="1"/>
  <c r="J3312" i="1"/>
  <c r="A3313" i="1"/>
  <c r="G3313" i="1"/>
  <c r="H3313" i="1"/>
  <c r="J3313" i="1"/>
  <c r="A3314" i="1"/>
  <c r="G3314" i="1"/>
  <c r="H3314" i="1"/>
  <c r="J3314" i="1"/>
  <c r="A3315" i="1"/>
  <c r="G3315" i="1"/>
  <c r="H3315" i="1"/>
  <c r="J3315" i="1"/>
  <c r="A3316" i="1"/>
  <c r="G3316" i="1"/>
  <c r="H3316" i="1"/>
  <c r="J3316" i="1"/>
  <c r="A3317" i="1"/>
  <c r="G3317" i="1"/>
  <c r="H3317" i="1"/>
  <c r="J3317" i="1"/>
  <c r="A3318" i="1"/>
  <c r="G3318" i="1"/>
  <c r="H3318" i="1"/>
  <c r="J3318" i="1"/>
  <c r="A3319" i="1"/>
  <c r="G3319" i="1"/>
  <c r="H3319" i="1"/>
  <c r="J3319" i="1"/>
  <c r="A3320" i="1"/>
  <c r="G3320" i="1"/>
  <c r="H3320" i="1"/>
  <c r="J3320" i="1"/>
  <c r="A3321" i="1"/>
  <c r="G3321" i="1"/>
  <c r="H3321" i="1"/>
  <c r="J3321" i="1"/>
  <c r="A3322" i="1"/>
  <c r="G3322" i="1"/>
  <c r="H3322" i="1"/>
  <c r="J3322" i="1"/>
  <c r="A3323" i="1"/>
  <c r="G3323" i="1"/>
  <c r="H3323" i="1"/>
  <c r="J3323" i="1"/>
  <c r="A3324" i="1"/>
  <c r="G3324" i="1"/>
  <c r="H3324" i="1"/>
  <c r="J3324" i="1"/>
  <c r="A3325" i="1"/>
  <c r="G3325" i="1"/>
  <c r="H3325" i="1"/>
  <c r="J3325" i="1"/>
  <c r="A3326" i="1"/>
  <c r="G3326" i="1"/>
  <c r="H3326" i="1"/>
  <c r="J3326" i="1"/>
  <c r="A3327" i="1"/>
  <c r="G3327" i="1"/>
  <c r="H3327" i="1"/>
  <c r="J3327" i="1"/>
  <c r="A3328" i="1"/>
  <c r="G3328" i="1"/>
  <c r="H3328" i="1"/>
  <c r="J3328" i="1"/>
  <c r="A3329" i="1"/>
  <c r="G3329" i="1"/>
  <c r="H3329" i="1"/>
  <c r="J3329" i="1"/>
  <c r="A3330" i="1"/>
  <c r="G3330" i="1"/>
  <c r="H3330" i="1"/>
  <c r="J3330" i="1"/>
  <c r="A3331" i="1"/>
  <c r="G3331" i="1"/>
  <c r="H3331" i="1"/>
  <c r="J3331" i="1"/>
  <c r="A3332" i="1"/>
  <c r="G3332" i="1"/>
  <c r="H3332" i="1"/>
  <c r="J3332" i="1"/>
  <c r="A3333" i="1"/>
  <c r="G3333" i="1"/>
  <c r="H3333" i="1"/>
  <c r="J3333" i="1"/>
  <c r="A3334" i="1"/>
  <c r="G3334" i="1"/>
  <c r="H3334" i="1"/>
  <c r="J3334" i="1"/>
  <c r="A3335" i="1"/>
  <c r="G3335" i="1"/>
  <c r="H3335" i="1"/>
  <c r="J3335" i="1"/>
  <c r="A3336" i="1"/>
  <c r="G3336" i="1"/>
  <c r="H3336" i="1"/>
  <c r="J3336" i="1"/>
  <c r="A3337" i="1"/>
  <c r="G3337" i="1"/>
  <c r="H3337" i="1"/>
  <c r="J3337" i="1"/>
  <c r="A3338" i="1"/>
  <c r="G3338" i="1"/>
  <c r="H3338" i="1"/>
  <c r="J3338" i="1"/>
  <c r="A3339" i="1"/>
  <c r="G3339" i="1"/>
  <c r="H3339" i="1"/>
  <c r="J3339" i="1"/>
  <c r="A3340" i="1"/>
  <c r="G3340" i="1"/>
  <c r="H3340" i="1"/>
  <c r="J3340" i="1"/>
  <c r="A3341" i="1"/>
  <c r="G3341" i="1"/>
  <c r="H3341" i="1"/>
  <c r="J3341" i="1"/>
  <c r="A3342" i="1"/>
  <c r="G3342" i="1"/>
  <c r="H3342" i="1"/>
  <c r="J3342" i="1"/>
  <c r="A3343" i="1"/>
  <c r="G3343" i="1"/>
  <c r="H3343" i="1"/>
  <c r="J3343" i="1"/>
  <c r="A3344" i="1"/>
  <c r="G3344" i="1"/>
  <c r="H3344" i="1"/>
  <c r="J3344" i="1"/>
  <c r="A3345" i="1"/>
  <c r="G3345" i="1"/>
  <c r="H3345" i="1"/>
  <c r="J3345" i="1"/>
  <c r="A3346" i="1"/>
  <c r="G3346" i="1"/>
  <c r="H3346" i="1"/>
  <c r="J3346" i="1"/>
  <c r="A3347" i="1"/>
  <c r="G3347" i="1"/>
  <c r="H3347" i="1"/>
  <c r="J3347" i="1"/>
  <c r="A3348" i="1"/>
  <c r="G3348" i="1"/>
  <c r="H3348" i="1"/>
  <c r="J3348" i="1"/>
  <c r="A3349" i="1"/>
  <c r="G3349" i="1"/>
  <c r="H3349" i="1"/>
  <c r="J3349" i="1"/>
  <c r="A3350" i="1"/>
  <c r="G3350" i="1"/>
  <c r="H3350" i="1"/>
  <c r="J3350" i="1"/>
  <c r="A3351" i="1"/>
  <c r="G3351" i="1"/>
  <c r="H3351" i="1"/>
  <c r="J3351" i="1"/>
  <c r="A3352" i="1"/>
  <c r="G3352" i="1"/>
  <c r="H3352" i="1"/>
  <c r="J3352" i="1"/>
  <c r="A3353" i="1"/>
  <c r="G3353" i="1"/>
  <c r="H3353" i="1"/>
  <c r="J3353" i="1"/>
  <c r="A3354" i="1"/>
  <c r="G3354" i="1"/>
  <c r="H3354" i="1"/>
  <c r="J3354" i="1"/>
  <c r="A3355" i="1"/>
  <c r="G3355" i="1"/>
  <c r="H3355" i="1"/>
  <c r="J3355" i="1"/>
  <c r="A3356" i="1"/>
  <c r="G3356" i="1"/>
  <c r="H3356" i="1"/>
  <c r="J3356" i="1"/>
  <c r="A3357" i="1"/>
  <c r="G3357" i="1"/>
  <c r="H3357" i="1"/>
  <c r="J3357" i="1"/>
  <c r="A3358" i="1"/>
  <c r="G3358" i="1"/>
  <c r="H3358" i="1"/>
  <c r="J3358" i="1"/>
  <c r="A3359" i="1"/>
  <c r="G3359" i="1"/>
  <c r="H3359" i="1"/>
  <c r="J3359" i="1"/>
  <c r="A3360" i="1"/>
  <c r="G3360" i="1"/>
  <c r="H3360" i="1"/>
  <c r="J3360" i="1"/>
  <c r="A3361" i="1"/>
  <c r="G3361" i="1"/>
  <c r="H3361" i="1"/>
  <c r="J3361" i="1"/>
  <c r="A3362" i="1"/>
  <c r="G3362" i="1"/>
  <c r="H3362" i="1"/>
  <c r="J3362" i="1"/>
  <c r="A3363" i="1"/>
  <c r="G3363" i="1"/>
  <c r="H3363" i="1"/>
  <c r="J3363" i="1"/>
  <c r="A3364" i="1"/>
  <c r="G3364" i="1"/>
  <c r="H3364" i="1"/>
  <c r="J3364" i="1"/>
  <c r="A3365" i="1"/>
  <c r="G3365" i="1"/>
  <c r="H3365" i="1"/>
  <c r="J3365" i="1"/>
  <c r="A3366" i="1"/>
  <c r="G3366" i="1"/>
  <c r="H3366" i="1"/>
  <c r="J3366" i="1"/>
  <c r="A3367" i="1"/>
  <c r="G3367" i="1"/>
  <c r="H3367" i="1"/>
  <c r="J3367" i="1"/>
  <c r="A3368" i="1"/>
  <c r="G3368" i="1"/>
  <c r="H3368" i="1"/>
  <c r="J3368" i="1"/>
  <c r="A3369" i="1"/>
  <c r="G3369" i="1"/>
  <c r="H3369" i="1"/>
  <c r="J3369" i="1"/>
  <c r="A3370" i="1"/>
  <c r="G3370" i="1"/>
  <c r="H3370" i="1"/>
  <c r="J3370" i="1"/>
  <c r="A3371" i="1"/>
  <c r="G3371" i="1"/>
  <c r="H3371" i="1"/>
  <c r="J3371" i="1"/>
  <c r="A3372" i="1"/>
  <c r="G3372" i="1"/>
  <c r="H3372" i="1"/>
  <c r="J3372" i="1"/>
  <c r="A3373" i="1"/>
  <c r="G3373" i="1"/>
  <c r="H3373" i="1"/>
  <c r="J3373" i="1"/>
  <c r="A3374" i="1"/>
  <c r="G3374" i="1"/>
  <c r="H3374" i="1"/>
  <c r="J3374" i="1"/>
  <c r="A3375" i="1"/>
  <c r="G3375" i="1"/>
  <c r="H3375" i="1"/>
  <c r="J3375" i="1"/>
  <c r="A3376" i="1"/>
  <c r="G3376" i="1"/>
  <c r="H3376" i="1"/>
  <c r="J3376" i="1"/>
  <c r="A3377" i="1"/>
  <c r="G3377" i="1"/>
  <c r="H3377" i="1"/>
  <c r="J3377" i="1"/>
  <c r="A3378" i="1"/>
  <c r="G3378" i="1"/>
  <c r="H3378" i="1"/>
  <c r="J3378" i="1"/>
  <c r="A3379" i="1"/>
  <c r="G3379" i="1"/>
  <c r="H3379" i="1"/>
  <c r="J3379" i="1"/>
  <c r="A3380" i="1"/>
  <c r="G3380" i="1"/>
  <c r="H3380" i="1"/>
  <c r="J3380" i="1"/>
  <c r="A3381" i="1"/>
  <c r="G3381" i="1"/>
  <c r="H3381" i="1"/>
  <c r="J3381" i="1"/>
  <c r="A3382" i="1"/>
  <c r="G3382" i="1"/>
  <c r="H3382" i="1"/>
  <c r="J3382" i="1"/>
  <c r="A3383" i="1"/>
  <c r="G3383" i="1"/>
  <c r="H3383" i="1"/>
  <c r="J3383" i="1"/>
  <c r="A3384" i="1"/>
  <c r="G3384" i="1"/>
  <c r="H3384" i="1"/>
  <c r="J3384" i="1"/>
  <c r="A3385" i="1"/>
  <c r="G3385" i="1"/>
  <c r="H3385" i="1"/>
  <c r="J3385" i="1"/>
  <c r="A3386" i="1"/>
  <c r="G3386" i="1"/>
  <c r="H3386" i="1"/>
  <c r="J3386" i="1"/>
  <c r="A3387" i="1"/>
  <c r="G3387" i="1"/>
  <c r="H3387" i="1"/>
  <c r="J3387" i="1"/>
  <c r="A3388" i="1"/>
  <c r="G3388" i="1"/>
  <c r="H3388" i="1"/>
  <c r="J3388" i="1"/>
  <c r="A3389" i="1"/>
  <c r="G3389" i="1"/>
  <c r="H3389" i="1"/>
  <c r="J3389" i="1"/>
  <c r="A3390" i="1"/>
  <c r="G3390" i="1"/>
  <c r="H3390" i="1"/>
  <c r="J3390" i="1"/>
  <c r="A3391" i="1"/>
  <c r="G3391" i="1"/>
  <c r="H3391" i="1"/>
  <c r="J3391" i="1"/>
  <c r="A3392" i="1"/>
  <c r="G3392" i="1"/>
  <c r="H3392" i="1"/>
  <c r="J3392" i="1"/>
  <c r="A3393" i="1"/>
  <c r="G3393" i="1"/>
  <c r="H3393" i="1"/>
  <c r="J3393" i="1"/>
  <c r="A3394" i="1"/>
  <c r="G3394" i="1"/>
  <c r="H3394" i="1"/>
  <c r="J3394" i="1"/>
  <c r="A3395" i="1"/>
  <c r="G3395" i="1"/>
  <c r="H3395" i="1"/>
  <c r="J3395" i="1"/>
  <c r="A3396" i="1"/>
  <c r="G3396" i="1"/>
  <c r="H3396" i="1"/>
  <c r="J3396" i="1"/>
  <c r="A3397" i="1"/>
  <c r="G3397" i="1"/>
  <c r="H3397" i="1"/>
  <c r="J3397" i="1"/>
  <c r="A3398" i="1"/>
  <c r="G3398" i="1"/>
  <c r="H3398" i="1"/>
  <c r="J3398" i="1"/>
  <c r="A3399" i="1"/>
  <c r="G3399" i="1"/>
  <c r="H3399" i="1"/>
  <c r="J3399" i="1"/>
  <c r="A3400" i="1"/>
  <c r="G3400" i="1"/>
  <c r="H3400" i="1"/>
  <c r="J3400" i="1"/>
  <c r="A3401" i="1"/>
  <c r="G3401" i="1"/>
  <c r="H3401" i="1"/>
  <c r="J3401" i="1"/>
  <c r="A3402" i="1"/>
  <c r="G3402" i="1"/>
  <c r="H3402" i="1"/>
  <c r="J3402" i="1"/>
  <c r="A3403" i="1"/>
  <c r="G3403" i="1"/>
  <c r="H3403" i="1"/>
  <c r="J3403" i="1"/>
  <c r="A3404" i="1"/>
  <c r="G3404" i="1"/>
  <c r="H3404" i="1"/>
  <c r="J3404" i="1"/>
  <c r="A3405" i="1"/>
  <c r="G3405" i="1"/>
  <c r="H3405" i="1"/>
  <c r="J3405" i="1"/>
  <c r="A3406" i="1"/>
  <c r="G3406" i="1"/>
  <c r="H3406" i="1"/>
  <c r="J3406" i="1"/>
  <c r="A3407" i="1"/>
  <c r="G3407" i="1"/>
  <c r="H3407" i="1"/>
  <c r="J3407" i="1"/>
  <c r="A3408" i="1"/>
  <c r="G3408" i="1"/>
  <c r="H3408" i="1"/>
  <c r="J3408" i="1"/>
  <c r="A3409" i="1"/>
  <c r="G3409" i="1"/>
  <c r="H3409" i="1"/>
  <c r="J3409" i="1"/>
  <c r="A3410" i="1"/>
  <c r="G3410" i="1"/>
  <c r="H3410" i="1"/>
  <c r="J3410" i="1"/>
  <c r="A3411" i="1"/>
  <c r="G3411" i="1"/>
  <c r="H3411" i="1"/>
  <c r="J3411" i="1"/>
  <c r="A3412" i="1"/>
  <c r="G3412" i="1"/>
  <c r="H3412" i="1"/>
  <c r="J3412" i="1"/>
  <c r="A3413" i="1"/>
  <c r="G3413" i="1"/>
  <c r="H3413" i="1"/>
  <c r="J3413" i="1"/>
  <c r="A3414" i="1"/>
  <c r="G3414" i="1"/>
  <c r="H3414" i="1"/>
  <c r="J3414" i="1"/>
  <c r="A3415" i="1"/>
  <c r="G3415" i="1"/>
  <c r="H3415" i="1"/>
  <c r="J3415" i="1"/>
  <c r="A3416" i="1"/>
  <c r="G3416" i="1"/>
  <c r="H3416" i="1"/>
  <c r="J3416" i="1"/>
  <c r="A3417" i="1"/>
  <c r="G3417" i="1"/>
  <c r="H3417" i="1"/>
  <c r="J3417" i="1"/>
  <c r="A3418" i="1"/>
  <c r="G3418" i="1"/>
  <c r="H3418" i="1"/>
  <c r="J3418" i="1"/>
  <c r="A3419" i="1"/>
  <c r="G3419" i="1"/>
  <c r="H3419" i="1"/>
  <c r="J3419" i="1"/>
  <c r="A3420" i="1"/>
  <c r="G3420" i="1"/>
  <c r="H3420" i="1"/>
  <c r="J3420" i="1"/>
  <c r="A3421" i="1"/>
  <c r="G3421" i="1"/>
  <c r="H3421" i="1"/>
  <c r="J3421" i="1"/>
  <c r="A3422" i="1"/>
  <c r="G3422" i="1"/>
  <c r="H3422" i="1"/>
  <c r="J3422" i="1"/>
  <c r="A3423" i="1"/>
  <c r="G3423" i="1"/>
  <c r="H3423" i="1"/>
  <c r="J3423" i="1"/>
  <c r="A3424" i="1"/>
  <c r="G3424" i="1"/>
  <c r="H3424" i="1"/>
  <c r="J3424" i="1"/>
  <c r="A3425" i="1"/>
  <c r="G3425" i="1"/>
  <c r="H3425" i="1"/>
  <c r="J3425" i="1"/>
  <c r="A3426" i="1"/>
  <c r="G3426" i="1"/>
  <c r="H3426" i="1"/>
  <c r="J3426" i="1"/>
  <c r="A3427" i="1"/>
  <c r="G3427" i="1"/>
  <c r="H3427" i="1"/>
  <c r="J3427" i="1"/>
  <c r="A3428" i="1"/>
  <c r="G3428" i="1"/>
  <c r="H3428" i="1"/>
  <c r="J3428" i="1"/>
  <c r="A3429" i="1"/>
  <c r="G3429" i="1"/>
  <c r="H3429" i="1"/>
  <c r="J3429" i="1"/>
  <c r="A3430" i="1"/>
  <c r="G3430" i="1"/>
  <c r="H3430" i="1"/>
  <c r="J3430" i="1"/>
  <c r="A3431" i="1"/>
  <c r="G3431" i="1"/>
  <c r="H3431" i="1"/>
  <c r="J3431" i="1"/>
  <c r="A3432" i="1"/>
  <c r="G3432" i="1"/>
  <c r="H3432" i="1"/>
  <c r="J3432" i="1"/>
  <c r="A3433" i="1"/>
  <c r="G3433" i="1"/>
  <c r="H3433" i="1"/>
  <c r="J3433" i="1"/>
  <c r="A3434" i="1"/>
  <c r="G3434" i="1"/>
  <c r="H3434" i="1"/>
  <c r="J3434" i="1"/>
  <c r="A3435" i="1"/>
  <c r="G3435" i="1"/>
  <c r="H3435" i="1"/>
  <c r="J3435" i="1"/>
  <c r="A3436" i="1"/>
  <c r="G3436" i="1"/>
  <c r="H3436" i="1"/>
  <c r="J3436" i="1"/>
  <c r="A3437" i="1"/>
  <c r="G3437" i="1"/>
  <c r="H3437" i="1"/>
  <c r="J3437" i="1"/>
  <c r="A3438" i="1"/>
  <c r="G3438" i="1"/>
  <c r="H3438" i="1"/>
  <c r="J3438" i="1"/>
  <c r="A3439" i="1"/>
  <c r="G3439" i="1"/>
  <c r="H3439" i="1"/>
  <c r="J3439" i="1"/>
  <c r="A3440" i="1"/>
  <c r="G3440" i="1"/>
  <c r="H3440" i="1"/>
  <c r="J3440" i="1"/>
  <c r="A3441" i="1"/>
  <c r="G3441" i="1"/>
  <c r="H3441" i="1"/>
  <c r="J3441" i="1"/>
  <c r="A3442" i="1"/>
  <c r="G3442" i="1"/>
  <c r="H3442" i="1"/>
  <c r="J3442" i="1"/>
  <c r="A3443" i="1"/>
  <c r="G3443" i="1"/>
  <c r="H3443" i="1"/>
  <c r="J3443" i="1"/>
  <c r="A3444" i="1"/>
  <c r="G3444" i="1"/>
  <c r="H3444" i="1"/>
  <c r="J3444" i="1"/>
  <c r="A3445" i="1"/>
  <c r="G3445" i="1"/>
  <c r="H3445" i="1"/>
  <c r="J3445" i="1"/>
  <c r="A3446" i="1"/>
  <c r="G3446" i="1"/>
  <c r="H3446" i="1"/>
  <c r="J3446" i="1"/>
  <c r="A3447" i="1"/>
  <c r="G3447" i="1"/>
  <c r="H3447" i="1"/>
  <c r="J3447" i="1"/>
  <c r="A3448" i="1"/>
  <c r="G3448" i="1"/>
  <c r="H3448" i="1"/>
  <c r="J3448" i="1"/>
  <c r="A3449" i="1"/>
  <c r="G3449" i="1"/>
  <c r="H3449" i="1"/>
  <c r="J3449" i="1"/>
  <c r="A3450" i="1"/>
  <c r="G3450" i="1"/>
  <c r="H3450" i="1"/>
  <c r="J3450" i="1"/>
  <c r="A3451" i="1"/>
  <c r="G3451" i="1"/>
  <c r="H3451" i="1"/>
  <c r="J3451" i="1"/>
  <c r="A3452" i="1"/>
  <c r="G3452" i="1"/>
  <c r="H3452" i="1"/>
  <c r="J3452" i="1"/>
  <c r="A3453" i="1"/>
  <c r="G3453" i="1"/>
  <c r="H3453" i="1"/>
  <c r="J3453" i="1"/>
  <c r="A3454" i="1"/>
  <c r="G3454" i="1"/>
  <c r="H3454" i="1"/>
  <c r="J3454" i="1"/>
  <c r="A3455" i="1"/>
  <c r="G3455" i="1"/>
  <c r="H3455" i="1"/>
  <c r="J3455" i="1"/>
  <c r="A3456" i="1"/>
  <c r="G3456" i="1"/>
  <c r="H3456" i="1"/>
  <c r="J3456" i="1"/>
  <c r="A3457" i="1"/>
  <c r="G3457" i="1"/>
  <c r="H3457" i="1"/>
  <c r="J3457" i="1"/>
  <c r="A3458" i="1"/>
  <c r="G3458" i="1"/>
  <c r="H3458" i="1"/>
  <c r="J3458" i="1"/>
  <c r="A3459" i="1"/>
  <c r="G3459" i="1"/>
  <c r="H3459" i="1"/>
  <c r="J3459" i="1"/>
  <c r="A3460" i="1"/>
  <c r="G3460" i="1"/>
  <c r="H3460" i="1"/>
  <c r="J3460" i="1"/>
  <c r="A3461" i="1"/>
  <c r="G3461" i="1"/>
  <c r="H3461" i="1"/>
  <c r="J3461" i="1"/>
  <c r="A3462" i="1"/>
  <c r="G3462" i="1"/>
  <c r="H3462" i="1"/>
  <c r="J3462" i="1"/>
  <c r="A3463" i="1"/>
  <c r="G3463" i="1"/>
  <c r="H3463" i="1"/>
  <c r="J3463" i="1"/>
  <c r="A3464" i="1"/>
  <c r="G3464" i="1"/>
  <c r="H3464" i="1"/>
  <c r="J3464" i="1"/>
  <c r="A3465" i="1"/>
  <c r="G3465" i="1"/>
  <c r="H3465" i="1"/>
  <c r="J3465" i="1"/>
  <c r="A3466" i="1"/>
  <c r="G3466" i="1"/>
  <c r="H3466" i="1"/>
  <c r="J3466" i="1"/>
  <c r="A3467" i="1"/>
  <c r="G3467" i="1"/>
  <c r="H3467" i="1"/>
  <c r="J3467" i="1"/>
  <c r="A3468" i="1"/>
  <c r="G3468" i="1"/>
  <c r="H3468" i="1"/>
  <c r="J3468" i="1"/>
  <c r="A3469" i="1"/>
  <c r="G3469" i="1"/>
  <c r="H3469" i="1"/>
  <c r="J3469" i="1"/>
  <c r="A3470" i="1"/>
  <c r="G3470" i="1"/>
  <c r="H3470" i="1"/>
  <c r="J3470" i="1"/>
  <c r="A3471" i="1"/>
  <c r="G3471" i="1"/>
  <c r="H3471" i="1"/>
  <c r="J3471" i="1"/>
  <c r="A3472" i="1"/>
  <c r="G3472" i="1"/>
  <c r="H3472" i="1"/>
  <c r="J3472" i="1"/>
  <c r="A3473" i="1"/>
  <c r="G3473" i="1"/>
  <c r="H3473" i="1"/>
  <c r="J3473" i="1"/>
  <c r="A3474" i="1"/>
  <c r="G3474" i="1"/>
  <c r="H3474" i="1"/>
  <c r="J3474" i="1"/>
  <c r="A3475" i="1"/>
  <c r="G3475" i="1"/>
  <c r="H3475" i="1"/>
  <c r="J3475" i="1"/>
  <c r="A3476" i="1"/>
  <c r="G3476" i="1"/>
  <c r="H3476" i="1"/>
  <c r="J3476" i="1"/>
  <c r="A3477" i="1"/>
  <c r="G3477" i="1"/>
  <c r="H3477" i="1"/>
  <c r="J3477" i="1"/>
  <c r="A3478" i="1"/>
  <c r="G3478" i="1"/>
  <c r="H3478" i="1"/>
  <c r="J3478" i="1"/>
  <c r="A3479" i="1"/>
  <c r="G3479" i="1"/>
  <c r="H3479" i="1"/>
  <c r="J3479" i="1"/>
  <c r="A3480" i="1"/>
  <c r="G3480" i="1"/>
  <c r="H3480" i="1"/>
  <c r="J3480" i="1"/>
  <c r="A3481" i="1"/>
  <c r="G3481" i="1"/>
  <c r="H3481" i="1"/>
  <c r="J3481" i="1"/>
  <c r="A3482" i="1"/>
  <c r="G3482" i="1"/>
  <c r="H3482" i="1"/>
  <c r="J3482" i="1"/>
  <c r="A3483" i="1"/>
  <c r="G3483" i="1"/>
  <c r="H3483" i="1"/>
  <c r="J3483" i="1"/>
  <c r="A3484" i="1"/>
  <c r="G3484" i="1"/>
  <c r="H3484" i="1"/>
  <c r="J3484" i="1"/>
  <c r="A3485" i="1"/>
  <c r="G3485" i="1"/>
  <c r="H3485" i="1"/>
  <c r="J3485" i="1"/>
  <c r="A3486" i="1"/>
  <c r="G3486" i="1"/>
  <c r="H3486" i="1"/>
  <c r="J3486" i="1"/>
  <c r="A3487" i="1"/>
  <c r="G3487" i="1"/>
  <c r="H3487" i="1"/>
  <c r="J3487" i="1"/>
  <c r="A3488" i="1"/>
  <c r="G3488" i="1"/>
  <c r="H3488" i="1"/>
  <c r="J3488" i="1"/>
  <c r="A3489" i="1"/>
  <c r="G3489" i="1"/>
  <c r="H3489" i="1"/>
  <c r="J3489" i="1"/>
  <c r="A3490" i="1"/>
  <c r="G3490" i="1"/>
  <c r="H3490" i="1"/>
  <c r="J3490" i="1"/>
  <c r="A3491" i="1"/>
  <c r="G3491" i="1"/>
  <c r="H3491" i="1"/>
  <c r="J3491" i="1"/>
  <c r="A3492" i="1"/>
  <c r="G3492" i="1"/>
  <c r="H3492" i="1"/>
  <c r="J3492" i="1"/>
  <c r="A3493" i="1"/>
  <c r="G3493" i="1"/>
  <c r="H3493" i="1"/>
  <c r="J3493" i="1"/>
  <c r="A3494" i="1"/>
  <c r="G3494" i="1"/>
  <c r="H3494" i="1"/>
  <c r="J3494" i="1"/>
  <c r="A3495" i="1"/>
  <c r="G3495" i="1"/>
  <c r="H3495" i="1"/>
  <c r="J3495" i="1"/>
  <c r="A3496" i="1"/>
  <c r="G3496" i="1"/>
  <c r="H3496" i="1"/>
  <c r="J3496" i="1"/>
  <c r="A3497" i="1"/>
  <c r="G3497" i="1"/>
  <c r="H3497" i="1"/>
  <c r="J3497" i="1"/>
  <c r="A3498" i="1"/>
  <c r="G3498" i="1"/>
  <c r="H3498" i="1"/>
  <c r="J3498" i="1"/>
  <c r="A3499" i="1"/>
  <c r="G3499" i="1"/>
  <c r="H3499" i="1"/>
  <c r="J3499" i="1"/>
  <c r="A3500" i="1"/>
  <c r="G3500" i="1"/>
  <c r="H3500" i="1"/>
  <c r="J3500" i="1"/>
  <c r="A3501" i="1"/>
  <c r="G3501" i="1"/>
  <c r="H3501" i="1"/>
  <c r="J3501" i="1"/>
  <c r="A3502" i="1"/>
  <c r="G3502" i="1"/>
  <c r="H3502" i="1"/>
  <c r="J3502" i="1"/>
  <c r="A3503" i="1"/>
  <c r="G3503" i="1"/>
  <c r="H3503" i="1"/>
  <c r="J3503" i="1"/>
  <c r="A3504" i="1"/>
  <c r="G3504" i="1"/>
  <c r="H3504" i="1"/>
  <c r="J3504" i="1"/>
  <c r="A3505" i="1"/>
  <c r="G3505" i="1"/>
  <c r="H3505" i="1"/>
  <c r="J3505" i="1"/>
  <c r="A3506" i="1"/>
  <c r="G3506" i="1"/>
  <c r="H3506" i="1"/>
  <c r="J3506" i="1"/>
  <c r="A3507" i="1"/>
  <c r="G3507" i="1"/>
  <c r="H3507" i="1"/>
  <c r="J3507" i="1"/>
  <c r="A3508" i="1"/>
  <c r="G3508" i="1"/>
  <c r="H3508" i="1"/>
  <c r="J3508" i="1"/>
  <c r="A3509" i="1"/>
  <c r="G3509" i="1"/>
  <c r="H3509" i="1"/>
  <c r="J3509" i="1"/>
  <c r="A3510" i="1"/>
  <c r="G3510" i="1"/>
  <c r="H3510" i="1"/>
  <c r="J3510" i="1"/>
  <c r="A3511" i="1"/>
  <c r="G3511" i="1"/>
  <c r="H3511" i="1"/>
  <c r="J3511" i="1"/>
  <c r="A3512" i="1"/>
  <c r="G3512" i="1"/>
  <c r="H3512" i="1"/>
  <c r="J3512" i="1"/>
  <c r="A3513" i="1"/>
  <c r="G3513" i="1"/>
  <c r="H3513" i="1"/>
  <c r="J3513" i="1"/>
  <c r="A3514" i="1"/>
  <c r="G3514" i="1"/>
  <c r="H3514" i="1"/>
  <c r="J3514" i="1"/>
  <c r="A3515" i="1"/>
  <c r="G3515" i="1"/>
  <c r="H3515" i="1"/>
  <c r="J3515" i="1"/>
  <c r="A3516" i="1"/>
  <c r="G3516" i="1"/>
  <c r="H3516" i="1"/>
  <c r="J3516" i="1"/>
  <c r="A3517" i="1"/>
  <c r="G3517" i="1"/>
  <c r="H3517" i="1"/>
  <c r="J3517" i="1"/>
  <c r="A3518" i="1"/>
  <c r="G3518" i="1"/>
  <c r="H3518" i="1"/>
  <c r="J3518" i="1"/>
  <c r="A3519" i="1"/>
  <c r="G3519" i="1"/>
  <c r="H3519" i="1"/>
  <c r="J3519" i="1"/>
  <c r="A3520" i="1"/>
  <c r="G3520" i="1"/>
  <c r="H3520" i="1"/>
  <c r="J3520" i="1"/>
  <c r="A3521" i="1"/>
  <c r="G3521" i="1"/>
  <c r="H3521" i="1"/>
  <c r="J3521" i="1"/>
  <c r="A3522" i="1"/>
  <c r="G3522" i="1"/>
  <c r="H3522" i="1"/>
  <c r="J3522" i="1"/>
  <c r="A3523" i="1"/>
  <c r="G3523" i="1"/>
  <c r="H3523" i="1"/>
  <c r="J3523" i="1"/>
  <c r="A3524" i="1"/>
  <c r="G3524" i="1"/>
  <c r="H3524" i="1"/>
  <c r="J3524" i="1"/>
  <c r="A3525" i="1"/>
  <c r="G3525" i="1"/>
  <c r="H3525" i="1"/>
  <c r="J3525" i="1"/>
  <c r="A3526" i="1"/>
  <c r="G3526" i="1"/>
  <c r="H3526" i="1"/>
  <c r="J3526" i="1"/>
  <c r="A3527" i="1"/>
  <c r="G3527" i="1"/>
  <c r="H3527" i="1"/>
  <c r="J3527" i="1"/>
  <c r="A3528" i="1"/>
  <c r="G3528" i="1"/>
  <c r="H3528" i="1"/>
  <c r="J3528" i="1"/>
  <c r="A3529" i="1"/>
  <c r="G3529" i="1"/>
  <c r="H3529" i="1"/>
  <c r="J3529" i="1"/>
  <c r="A3530" i="1"/>
  <c r="G3530" i="1"/>
  <c r="H3530" i="1"/>
  <c r="J3530" i="1"/>
  <c r="A3531" i="1"/>
  <c r="G3531" i="1"/>
  <c r="H3531" i="1"/>
  <c r="J3531" i="1"/>
  <c r="A3532" i="1"/>
  <c r="G3532" i="1"/>
  <c r="H3532" i="1"/>
  <c r="J3532" i="1"/>
  <c r="A3533" i="1"/>
  <c r="G3533" i="1"/>
  <c r="H3533" i="1"/>
  <c r="J3533" i="1"/>
  <c r="A3534" i="1"/>
  <c r="G3534" i="1"/>
  <c r="H3534" i="1"/>
  <c r="J3534" i="1"/>
  <c r="A3535" i="1"/>
  <c r="G3535" i="1"/>
  <c r="H3535" i="1"/>
  <c r="J3535" i="1"/>
  <c r="A3536" i="1"/>
  <c r="G3536" i="1"/>
  <c r="H3536" i="1"/>
  <c r="J3536" i="1"/>
  <c r="A3537" i="1"/>
  <c r="G3537" i="1"/>
  <c r="H3537" i="1"/>
  <c r="J3537" i="1"/>
  <c r="A3538" i="1"/>
  <c r="G3538" i="1"/>
  <c r="H3538" i="1"/>
  <c r="J3538" i="1"/>
  <c r="A3539" i="1"/>
  <c r="G3539" i="1"/>
  <c r="H3539" i="1"/>
  <c r="J3539" i="1"/>
  <c r="A3540" i="1"/>
  <c r="G3540" i="1"/>
  <c r="H3540" i="1"/>
  <c r="J3540" i="1"/>
  <c r="A3541" i="1"/>
  <c r="G3541" i="1"/>
  <c r="H3541" i="1"/>
  <c r="J3541" i="1"/>
  <c r="A3542" i="1"/>
  <c r="G3542" i="1"/>
  <c r="H3542" i="1"/>
  <c r="J3542" i="1"/>
  <c r="A3543" i="1"/>
  <c r="G3543" i="1"/>
  <c r="H3543" i="1"/>
  <c r="J3543" i="1"/>
  <c r="A3544" i="1"/>
  <c r="G3544" i="1"/>
  <c r="H3544" i="1"/>
  <c r="J3544" i="1"/>
  <c r="A3545" i="1"/>
  <c r="G3545" i="1"/>
  <c r="H3545" i="1"/>
  <c r="J3545" i="1"/>
  <c r="A3546" i="1"/>
  <c r="G3546" i="1"/>
  <c r="H3546" i="1"/>
  <c r="J3546" i="1"/>
  <c r="A3547" i="1"/>
  <c r="G3547" i="1"/>
  <c r="H3547" i="1"/>
  <c r="J3547" i="1"/>
  <c r="A3548" i="1"/>
  <c r="G3548" i="1"/>
  <c r="H3548" i="1"/>
  <c r="J3548" i="1"/>
  <c r="A3549" i="1"/>
  <c r="G3549" i="1"/>
  <c r="H3549" i="1"/>
  <c r="J3549" i="1"/>
  <c r="A3550" i="1"/>
  <c r="G3550" i="1"/>
  <c r="H3550" i="1"/>
  <c r="J3550" i="1"/>
  <c r="A3551" i="1"/>
  <c r="G3551" i="1"/>
  <c r="H3551" i="1"/>
  <c r="J3551" i="1"/>
  <c r="A3552" i="1"/>
  <c r="G3552" i="1"/>
  <c r="H3552" i="1"/>
  <c r="J3552" i="1"/>
  <c r="A3553" i="1"/>
  <c r="G3553" i="1"/>
  <c r="H3553" i="1"/>
  <c r="J3553" i="1"/>
  <c r="A3554" i="1"/>
  <c r="G3554" i="1"/>
  <c r="H3554" i="1"/>
  <c r="J3554" i="1"/>
  <c r="A3555" i="1"/>
  <c r="G3555" i="1"/>
  <c r="H3555" i="1"/>
  <c r="J3555" i="1"/>
  <c r="A3556" i="1"/>
  <c r="G3556" i="1"/>
  <c r="H3556" i="1"/>
  <c r="J3556" i="1"/>
  <c r="A3557" i="1"/>
  <c r="G3557" i="1"/>
  <c r="H3557" i="1"/>
  <c r="J3557" i="1"/>
  <c r="A3558" i="1"/>
  <c r="G3558" i="1"/>
  <c r="H3558" i="1"/>
  <c r="J3558" i="1"/>
  <c r="A3559" i="1"/>
  <c r="G3559" i="1"/>
  <c r="H3559" i="1"/>
  <c r="J3559" i="1"/>
  <c r="A3560" i="1"/>
  <c r="G3560" i="1"/>
  <c r="H3560" i="1"/>
  <c r="J3560" i="1"/>
  <c r="A3561" i="1"/>
  <c r="G3561" i="1"/>
  <c r="H3561" i="1"/>
  <c r="J3561" i="1"/>
  <c r="A3562" i="1"/>
  <c r="G3562" i="1"/>
  <c r="H3562" i="1"/>
  <c r="J3562" i="1"/>
  <c r="A3563" i="1"/>
  <c r="G3563" i="1"/>
  <c r="H3563" i="1"/>
  <c r="J3563" i="1"/>
  <c r="A3564" i="1"/>
  <c r="G3564" i="1"/>
  <c r="H3564" i="1"/>
  <c r="J3564" i="1"/>
  <c r="A3565" i="1"/>
  <c r="G3565" i="1"/>
  <c r="H3565" i="1"/>
  <c r="J3565" i="1"/>
  <c r="A3566" i="1"/>
  <c r="G3566" i="1"/>
  <c r="H3566" i="1"/>
  <c r="J3566" i="1"/>
  <c r="A3567" i="1"/>
  <c r="G3567" i="1"/>
  <c r="H3567" i="1"/>
  <c r="J3567" i="1"/>
  <c r="A3568" i="1"/>
  <c r="G3568" i="1"/>
  <c r="H3568" i="1"/>
  <c r="J3568" i="1"/>
  <c r="A3569" i="1"/>
  <c r="G3569" i="1"/>
  <c r="H3569" i="1"/>
  <c r="J3569" i="1"/>
  <c r="A3570" i="1"/>
  <c r="G3570" i="1"/>
  <c r="H3570" i="1"/>
  <c r="J3570" i="1"/>
  <c r="A3571" i="1"/>
  <c r="G3571" i="1"/>
  <c r="H3571" i="1"/>
  <c r="J3571" i="1"/>
  <c r="A3572" i="1"/>
  <c r="G3572" i="1"/>
  <c r="H3572" i="1"/>
  <c r="J3572" i="1"/>
  <c r="A3573" i="1"/>
  <c r="G3573" i="1"/>
  <c r="H3573" i="1"/>
  <c r="J3573" i="1"/>
  <c r="A3574" i="1"/>
  <c r="G3574" i="1"/>
  <c r="H3574" i="1"/>
  <c r="J3574" i="1"/>
  <c r="A3575" i="1"/>
  <c r="G3575" i="1"/>
  <c r="H3575" i="1"/>
  <c r="J3575" i="1"/>
  <c r="A3576" i="1"/>
  <c r="G3576" i="1"/>
  <c r="H3576" i="1"/>
  <c r="J3576" i="1"/>
  <c r="A3577" i="1"/>
  <c r="G3577" i="1"/>
  <c r="H3577" i="1"/>
  <c r="J3577" i="1"/>
  <c r="A3578" i="1"/>
  <c r="G3578" i="1"/>
  <c r="H3578" i="1"/>
  <c r="J3578" i="1"/>
  <c r="A3579" i="1"/>
  <c r="G3579" i="1"/>
  <c r="H3579" i="1"/>
  <c r="J3579" i="1"/>
  <c r="A3580" i="1"/>
  <c r="G3580" i="1"/>
  <c r="H3580" i="1"/>
  <c r="J3580" i="1"/>
  <c r="A3581" i="1"/>
  <c r="G3581" i="1"/>
  <c r="H3581" i="1"/>
  <c r="J3581" i="1"/>
  <c r="A3582" i="1"/>
  <c r="G3582" i="1"/>
  <c r="H3582" i="1"/>
  <c r="J3582" i="1"/>
  <c r="A3583" i="1"/>
  <c r="G3583" i="1"/>
  <c r="H3583" i="1"/>
  <c r="J3583" i="1"/>
  <c r="A3584" i="1"/>
  <c r="G3584" i="1"/>
  <c r="H3584" i="1"/>
  <c r="J3584" i="1"/>
  <c r="A3585" i="1"/>
  <c r="G3585" i="1"/>
  <c r="H3585" i="1"/>
  <c r="J3585" i="1"/>
  <c r="A3586" i="1"/>
  <c r="G3586" i="1"/>
  <c r="H3586" i="1"/>
  <c r="J3586" i="1"/>
  <c r="A3587" i="1"/>
  <c r="G3587" i="1"/>
  <c r="H3587" i="1"/>
  <c r="J3587" i="1"/>
  <c r="A3588" i="1"/>
  <c r="G3588" i="1"/>
  <c r="H3588" i="1"/>
  <c r="J3588" i="1"/>
  <c r="A3589" i="1"/>
  <c r="G3589" i="1"/>
  <c r="H3589" i="1"/>
  <c r="J3589" i="1"/>
  <c r="A3590" i="1"/>
  <c r="G3590" i="1"/>
  <c r="H3590" i="1"/>
  <c r="J3590" i="1"/>
  <c r="A3591" i="1"/>
  <c r="G3591" i="1"/>
  <c r="H3591" i="1"/>
  <c r="J3591" i="1"/>
  <c r="A3592" i="1"/>
  <c r="G3592" i="1"/>
  <c r="H3592" i="1"/>
  <c r="J3592" i="1"/>
  <c r="A3593" i="1"/>
  <c r="G3593" i="1"/>
  <c r="H3593" i="1"/>
  <c r="J3593" i="1"/>
  <c r="A3594" i="1"/>
  <c r="G3594" i="1"/>
  <c r="H3594" i="1"/>
  <c r="J3594" i="1"/>
  <c r="A3595" i="1"/>
  <c r="G3595" i="1"/>
  <c r="H3595" i="1"/>
  <c r="J3595" i="1"/>
  <c r="A3596" i="1"/>
  <c r="G3596" i="1"/>
  <c r="H3596" i="1"/>
  <c r="J3596" i="1"/>
  <c r="A3597" i="1"/>
  <c r="G3597" i="1"/>
  <c r="H3597" i="1"/>
  <c r="J3597" i="1"/>
  <c r="A3598" i="1"/>
  <c r="G3598" i="1"/>
  <c r="H3598" i="1"/>
  <c r="J3598" i="1"/>
  <c r="A3599" i="1"/>
  <c r="G3599" i="1"/>
  <c r="H3599" i="1"/>
  <c r="J3599" i="1"/>
  <c r="A3600" i="1"/>
  <c r="G3600" i="1"/>
  <c r="H3600" i="1"/>
  <c r="J3600" i="1"/>
  <c r="A3601" i="1"/>
  <c r="G3601" i="1"/>
  <c r="H3601" i="1"/>
  <c r="J3601" i="1"/>
  <c r="A3602" i="1"/>
  <c r="G3602" i="1"/>
  <c r="H3602" i="1"/>
  <c r="J3602" i="1"/>
  <c r="A3603" i="1"/>
  <c r="G3603" i="1"/>
  <c r="H3603" i="1"/>
  <c r="J3603" i="1"/>
  <c r="A3604" i="1"/>
  <c r="G3604" i="1"/>
  <c r="H3604" i="1"/>
  <c r="J3604" i="1"/>
  <c r="A3605" i="1"/>
  <c r="G3605" i="1"/>
  <c r="H3605" i="1"/>
  <c r="J3605" i="1"/>
  <c r="A3606" i="1"/>
  <c r="G3606" i="1"/>
  <c r="H3606" i="1"/>
  <c r="J3606" i="1"/>
  <c r="A3607" i="1"/>
  <c r="G3607" i="1"/>
  <c r="H3607" i="1"/>
  <c r="J3607" i="1"/>
  <c r="A3608" i="1"/>
  <c r="G3608" i="1"/>
  <c r="H3608" i="1"/>
  <c r="J3608" i="1"/>
  <c r="A3609" i="1"/>
  <c r="G3609" i="1"/>
  <c r="H3609" i="1"/>
  <c r="J3609" i="1"/>
  <c r="A3610" i="1"/>
  <c r="G3610" i="1"/>
  <c r="H3610" i="1"/>
  <c r="J3610" i="1"/>
  <c r="A3611" i="1"/>
  <c r="G3611" i="1"/>
  <c r="H3611" i="1"/>
  <c r="J3611" i="1"/>
  <c r="A3612" i="1"/>
  <c r="G3612" i="1"/>
  <c r="H3612" i="1"/>
  <c r="J3612" i="1"/>
  <c r="A3613" i="1"/>
  <c r="G3613" i="1"/>
  <c r="H3613" i="1"/>
  <c r="J3613" i="1"/>
  <c r="A3614" i="1"/>
  <c r="G3614" i="1"/>
  <c r="H3614" i="1"/>
  <c r="J3614" i="1"/>
  <c r="A3615" i="1"/>
  <c r="G3615" i="1"/>
  <c r="H3615" i="1"/>
  <c r="J3615" i="1"/>
  <c r="A3616" i="1"/>
  <c r="G3616" i="1"/>
  <c r="H3616" i="1"/>
  <c r="J3616" i="1"/>
  <c r="A3617" i="1"/>
  <c r="G3617" i="1"/>
  <c r="H3617" i="1"/>
  <c r="J3617" i="1"/>
  <c r="A3618" i="1"/>
  <c r="G3618" i="1"/>
  <c r="H3618" i="1"/>
  <c r="J3618" i="1"/>
  <c r="A3619" i="1"/>
  <c r="G3619" i="1"/>
  <c r="H3619" i="1"/>
  <c r="J3619" i="1"/>
  <c r="A3620" i="1"/>
  <c r="G3620" i="1"/>
  <c r="H3620" i="1"/>
  <c r="J3620" i="1"/>
  <c r="A3621" i="1"/>
  <c r="G3621" i="1"/>
  <c r="H3621" i="1"/>
  <c r="J3621" i="1"/>
  <c r="A3622" i="1"/>
  <c r="G3622" i="1"/>
  <c r="H3622" i="1"/>
  <c r="J3622" i="1"/>
  <c r="A3623" i="1"/>
  <c r="G3623" i="1"/>
  <c r="H3623" i="1"/>
  <c r="J3623" i="1"/>
  <c r="A3624" i="1"/>
  <c r="G3624" i="1"/>
  <c r="H3624" i="1"/>
  <c r="J3624" i="1"/>
  <c r="A3625" i="1"/>
  <c r="G3625" i="1"/>
  <c r="H3625" i="1"/>
  <c r="J3625" i="1"/>
  <c r="A3626" i="1"/>
  <c r="G3626" i="1"/>
  <c r="H3626" i="1"/>
  <c r="J3626" i="1"/>
  <c r="A3627" i="1"/>
  <c r="G3627" i="1"/>
  <c r="H3627" i="1"/>
  <c r="J3627" i="1"/>
  <c r="A3628" i="1"/>
  <c r="G3628" i="1"/>
  <c r="H3628" i="1"/>
  <c r="J3628" i="1"/>
  <c r="A3629" i="1"/>
  <c r="G3629" i="1"/>
  <c r="H3629" i="1"/>
  <c r="J3629" i="1"/>
  <c r="A3630" i="1"/>
  <c r="G3630" i="1"/>
  <c r="H3630" i="1"/>
  <c r="J3630" i="1"/>
  <c r="A3631" i="1"/>
  <c r="G3631" i="1"/>
  <c r="H3631" i="1"/>
  <c r="J3631" i="1"/>
  <c r="A3632" i="1"/>
  <c r="G3632" i="1"/>
  <c r="H3632" i="1"/>
  <c r="J3632" i="1"/>
  <c r="A3633" i="1"/>
  <c r="G3633" i="1"/>
  <c r="H3633" i="1"/>
  <c r="J3633" i="1"/>
  <c r="A3634" i="1"/>
  <c r="G3634" i="1"/>
  <c r="H3634" i="1"/>
  <c r="J3634" i="1"/>
  <c r="A3635" i="1"/>
  <c r="G3635" i="1"/>
  <c r="H3635" i="1"/>
  <c r="J3635" i="1"/>
  <c r="A3636" i="1"/>
  <c r="G3636" i="1"/>
  <c r="H3636" i="1"/>
  <c r="J3636" i="1"/>
  <c r="A3637" i="1"/>
  <c r="G3637" i="1"/>
  <c r="H3637" i="1"/>
  <c r="J3637" i="1"/>
  <c r="A3638" i="1"/>
  <c r="G3638" i="1"/>
  <c r="H3638" i="1"/>
  <c r="J3638" i="1"/>
  <c r="A3639" i="1"/>
  <c r="G3639" i="1"/>
  <c r="H3639" i="1"/>
  <c r="J3639" i="1"/>
  <c r="A3640" i="1"/>
  <c r="G3640" i="1"/>
  <c r="H3640" i="1"/>
  <c r="J3640" i="1"/>
  <c r="A3641" i="1"/>
  <c r="G3641" i="1"/>
  <c r="H3641" i="1"/>
  <c r="J3641" i="1"/>
  <c r="A3642" i="1"/>
  <c r="G3642" i="1"/>
  <c r="H3642" i="1"/>
  <c r="J3642" i="1"/>
  <c r="A3643" i="1"/>
  <c r="G3643" i="1"/>
  <c r="H3643" i="1"/>
  <c r="J3643" i="1"/>
  <c r="A3644" i="1"/>
  <c r="G3644" i="1"/>
  <c r="H3644" i="1"/>
  <c r="J3644" i="1"/>
  <c r="A3645" i="1"/>
  <c r="G3645" i="1"/>
  <c r="H3645" i="1"/>
  <c r="J3645" i="1"/>
  <c r="A3646" i="1"/>
  <c r="G3646" i="1"/>
  <c r="H3646" i="1"/>
  <c r="J3646" i="1"/>
  <c r="A3647" i="1"/>
  <c r="G3647" i="1"/>
  <c r="H3647" i="1"/>
  <c r="J3647" i="1"/>
  <c r="A3648" i="1"/>
  <c r="G3648" i="1"/>
  <c r="H3648" i="1"/>
  <c r="J3648" i="1"/>
  <c r="A3649" i="1"/>
  <c r="G3649" i="1"/>
  <c r="H3649" i="1"/>
  <c r="J3649" i="1"/>
  <c r="A3650" i="1"/>
  <c r="G3650" i="1"/>
  <c r="H3650" i="1"/>
  <c r="J3650" i="1"/>
  <c r="A3651" i="1"/>
  <c r="G3651" i="1"/>
  <c r="H3651" i="1"/>
  <c r="J3651" i="1"/>
  <c r="A3652" i="1"/>
  <c r="G3652" i="1"/>
  <c r="H3652" i="1"/>
  <c r="J3652" i="1"/>
  <c r="A3653" i="1"/>
  <c r="G3653" i="1"/>
  <c r="H3653" i="1"/>
  <c r="J3653" i="1"/>
  <c r="A3654" i="1"/>
  <c r="G3654" i="1"/>
  <c r="H3654" i="1"/>
  <c r="J3654" i="1"/>
  <c r="A3655" i="1"/>
  <c r="G3655" i="1"/>
  <c r="H3655" i="1"/>
  <c r="J3655" i="1"/>
  <c r="A3656" i="1"/>
  <c r="G3656" i="1"/>
  <c r="H3656" i="1"/>
  <c r="J3656" i="1"/>
  <c r="A3657" i="1"/>
  <c r="G3657" i="1"/>
  <c r="H3657" i="1"/>
  <c r="J3657" i="1"/>
  <c r="A3658" i="1"/>
  <c r="G3658" i="1"/>
  <c r="H3658" i="1"/>
  <c r="J3658" i="1"/>
  <c r="A3659" i="1"/>
  <c r="G3659" i="1"/>
  <c r="H3659" i="1"/>
  <c r="J3659" i="1"/>
  <c r="A3660" i="1"/>
  <c r="G3660" i="1"/>
  <c r="H3660" i="1"/>
  <c r="J3660" i="1"/>
  <c r="A3661" i="1"/>
  <c r="G3661" i="1"/>
  <c r="H3661" i="1"/>
  <c r="J3661" i="1"/>
  <c r="A3662" i="1"/>
  <c r="G3662" i="1"/>
  <c r="H3662" i="1"/>
  <c r="J3662" i="1"/>
  <c r="A3663" i="1"/>
  <c r="G3663" i="1"/>
  <c r="H3663" i="1"/>
  <c r="J3663" i="1"/>
  <c r="A3664" i="1"/>
  <c r="G3664" i="1"/>
  <c r="H3664" i="1"/>
  <c r="J3664" i="1"/>
  <c r="A3665" i="1"/>
  <c r="G3665" i="1"/>
  <c r="H3665" i="1"/>
  <c r="J3665" i="1"/>
  <c r="A3666" i="1"/>
  <c r="G3666" i="1"/>
  <c r="H3666" i="1"/>
  <c r="J3666" i="1"/>
  <c r="A3667" i="1"/>
  <c r="G3667" i="1"/>
  <c r="H3667" i="1"/>
  <c r="J3667" i="1"/>
  <c r="A3668" i="1"/>
  <c r="G3668" i="1"/>
  <c r="H3668" i="1"/>
  <c r="J3668" i="1"/>
  <c r="A3669" i="1"/>
  <c r="G3669" i="1"/>
  <c r="H3669" i="1"/>
  <c r="J3669" i="1"/>
  <c r="A3670" i="1"/>
  <c r="G3670" i="1"/>
  <c r="H3670" i="1"/>
  <c r="J3670" i="1"/>
  <c r="A3671" i="1"/>
  <c r="G3671" i="1"/>
  <c r="H3671" i="1"/>
  <c r="J3671" i="1"/>
  <c r="A3672" i="1"/>
  <c r="G3672" i="1"/>
  <c r="H3672" i="1"/>
  <c r="J3672" i="1"/>
  <c r="A3673" i="1"/>
  <c r="G3673" i="1"/>
  <c r="H3673" i="1"/>
  <c r="J3673" i="1"/>
  <c r="A3674" i="1"/>
  <c r="G3674" i="1"/>
  <c r="H3674" i="1"/>
  <c r="J3674" i="1"/>
  <c r="A3675" i="1"/>
  <c r="G3675" i="1"/>
  <c r="H3675" i="1"/>
  <c r="J3675" i="1"/>
  <c r="A3676" i="1"/>
  <c r="G3676" i="1"/>
  <c r="H3676" i="1"/>
  <c r="J3676" i="1"/>
  <c r="A3677" i="1"/>
  <c r="G3677" i="1"/>
  <c r="H3677" i="1"/>
  <c r="J3677" i="1"/>
  <c r="A3678" i="1"/>
  <c r="G3678" i="1"/>
  <c r="H3678" i="1"/>
  <c r="J3678" i="1"/>
  <c r="A3679" i="1"/>
  <c r="G3679" i="1"/>
  <c r="H3679" i="1"/>
  <c r="J3679" i="1"/>
  <c r="A3680" i="1"/>
  <c r="G3680" i="1"/>
  <c r="H3680" i="1"/>
  <c r="J3680" i="1"/>
  <c r="A3681" i="1"/>
  <c r="G3681" i="1"/>
  <c r="H3681" i="1"/>
  <c r="J3681" i="1"/>
  <c r="A3682" i="1"/>
  <c r="G3682" i="1"/>
  <c r="H3682" i="1"/>
  <c r="J3682" i="1"/>
  <c r="A3683" i="1"/>
  <c r="G3683" i="1"/>
  <c r="H3683" i="1"/>
  <c r="J3683" i="1"/>
  <c r="A3684" i="1"/>
  <c r="G3684" i="1"/>
  <c r="H3684" i="1"/>
  <c r="J3684" i="1"/>
  <c r="A3685" i="1"/>
  <c r="G3685" i="1"/>
  <c r="H3685" i="1"/>
  <c r="J3685" i="1"/>
  <c r="A3686" i="1"/>
  <c r="G3686" i="1"/>
  <c r="H3686" i="1"/>
  <c r="J3686" i="1"/>
  <c r="A3687" i="1"/>
  <c r="G3687" i="1"/>
  <c r="H3687" i="1"/>
  <c r="J3687" i="1"/>
  <c r="A3688" i="1"/>
  <c r="G3688" i="1"/>
  <c r="H3688" i="1"/>
  <c r="J3688" i="1"/>
  <c r="A3689" i="1"/>
  <c r="G3689" i="1"/>
  <c r="H3689" i="1"/>
  <c r="J3689" i="1"/>
  <c r="A3690" i="1"/>
  <c r="G3690" i="1"/>
  <c r="H3690" i="1"/>
  <c r="J3690" i="1"/>
  <c r="A3691" i="1"/>
  <c r="G3691" i="1"/>
  <c r="H3691" i="1"/>
  <c r="J3691" i="1"/>
  <c r="A3692" i="1"/>
  <c r="G3692" i="1"/>
  <c r="H3692" i="1"/>
  <c r="J3692" i="1"/>
  <c r="A3693" i="1"/>
  <c r="G3693" i="1"/>
  <c r="H3693" i="1"/>
  <c r="J3693" i="1"/>
  <c r="A3694" i="1"/>
  <c r="G3694" i="1"/>
  <c r="H3694" i="1"/>
  <c r="J3694" i="1"/>
  <c r="A3695" i="1"/>
  <c r="G3695" i="1"/>
  <c r="H3695" i="1"/>
  <c r="J3695" i="1"/>
  <c r="A3696" i="1"/>
  <c r="G3696" i="1"/>
  <c r="H3696" i="1"/>
  <c r="J3696" i="1"/>
  <c r="A3697" i="1"/>
  <c r="G3697" i="1"/>
  <c r="H3697" i="1"/>
  <c r="J3697" i="1"/>
  <c r="A3698" i="1"/>
  <c r="G3698" i="1"/>
  <c r="H3698" i="1"/>
  <c r="J3698" i="1"/>
  <c r="A3699" i="1"/>
  <c r="G3699" i="1"/>
  <c r="H3699" i="1"/>
  <c r="J3699" i="1"/>
  <c r="A3700" i="1"/>
  <c r="G3700" i="1"/>
  <c r="H3700" i="1"/>
  <c r="J3700" i="1"/>
  <c r="A3701" i="1"/>
  <c r="G3701" i="1"/>
  <c r="H3701" i="1"/>
  <c r="J3701" i="1"/>
  <c r="A3702" i="1"/>
  <c r="G3702" i="1"/>
  <c r="H3702" i="1"/>
  <c r="J3702" i="1"/>
  <c r="A3703" i="1"/>
  <c r="G3703" i="1"/>
  <c r="H3703" i="1"/>
  <c r="J3703" i="1"/>
  <c r="A3704" i="1"/>
  <c r="G3704" i="1"/>
  <c r="H3704" i="1"/>
  <c r="J3704" i="1"/>
  <c r="A3705" i="1"/>
  <c r="G3705" i="1"/>
  <c r="H3705" i="1"/>
  <c r="A3706" i="1"/>
  <c r="G3706" i="1"/>
  <c r="H3706" i="1"/>
  <c r="J3706" i="1"/>
  <c r="A3707" i="1"/>
  <c r="G3707" i="1"/>
  <c r="H3707" i="1"/>
  <c r="J3707" i="1"/>
</calcChain>
</file>

<file path=xl/sharedStrings.xml><?xml version="1.0" encoding="utf-8"?>
<sst xmlns="http://schemas.openxmlformats.org/spreadsheetml/2006/main" count="2741" uniqueCount="653">
  <si>
    <t xml:space="preserve">Vendor # </t>
  </si>
  <si>
    <t>Name</t>
  </si>
  <si>
    <t>Check #</t>
  </si>
  <si>
    <t>Check Amount</t>
  </si>
  <si>
    <t>Check Date</t>
  </si>
  <si>
    <t>Invoice Type</t>
  </si>
  <si>
    <t>Invoice ID</t>
  </si>
  <si>
    <t>Invoice Desc</t>
  </si>
  <si>
    <t>Invoice Payment</t>
  </si>
  <si>
    <t>GL Description</t>
  </si>
  <si>
    <t>INVOICE</t>
  </si>
  <si>
    <t>A PLUS BAIL BONDS</t>
  </si>
  <si>
    <t>A RIFKIN CO</t>
  </si>
  <si>
    <t>ALLSHRED INC</t>
  </si>
  <si>
    <t>ARNOLD OIL COMPANY OF AUSTIN LP</t>
  </si>
  <si>
    <t>TIMOTHY HALL</t>
  </si>
  <si>
    <t>AAA FIRE/SAFETY EQUIP CO INC</t>
  </si>
  <si>
    <t>ACADIAN PROPERTIES  LLC</t>
  </si>
  <si>
    <t>ACCO BRANDS DIRECT</t>
  </si>
  <si>
    <t>ADAM ROWINS</t>
  </si>
  <si>
    <t>ADENA LEWIS</t>
  </si>
  <si>
    <t>ADVANCED GRAPHIX INC</t>
  </si>
  <si>
    <t>ADVOCACY OUTREACH</t>
  </si>
  <si>
    <t>ALAMO  GROUP (TX)  INC</t>
  </si>
  <si>
    <t>ALBERT A. MARTINEZ  JR.</t>
  </si>
  <si>
    <t>ALBERT NEAL PFEIFFER</t>
  </si>
  <si>
    <t>ALEX CARMICHAEL</t>
  </si>
  <si>
    <t>ALL FAITHS FUNERAL HOME</t>
  </si>
  <si>
    <t>ALLAN SCHROEDER</t>
  </si>
  <si>
    <t>ALVIN A OESER JR</t>
  </si>
  <si>
    <t>S &amp; D PLUMBING-GIDDINGS LLC</t>
  </si>
  <si>
    <t>AMC SOLUTIONS</t>
  </si>
  <si>
    <t>AMERICAN ASSN OF NOTARIES</t>
  </si>
  <si>
    <t>AMERICAN TIRE DISTRIBUTORS INC</t>
  </si>
  <si>
    <t>SWARNA LLC</t>
  </si>
  <si>
    <t>AMERISOURCEBERGEN</t>
  </si>
  <si>
    <t>ANDERSON &amp; ANDERSON LAW FIRM PC</t>
  </si>
  <si>
    <t>ANDREW LEWIS</t>
  </si>
  <si>
    <t>APCO INTERNATIONAL</t>
  </si>
  <si>
    <t>C APPLEMAN ENT INC</t>
  </si>
  <si>
    <t>APRIL KUCK</t>
  </si>
  <si>
    <t>AQUA BEVERAGE COMPANY/OZARKA</t>
  </si>
  <si>
    <t>AQUA WATER SUPPLY</t>
  </si>
  <si>
    <t>ARNOLD GONZALEZ</t>
  </si>
  <si>
    <t>ARSENAL ADVERTISING LLC</t>
  </si>
  <si>
    <t>AT&amp;T</t>
  </si>
  <si>
    <t>AT&amp;T MOBILITY</t>
  </si>
  <si>
    <t>AT&amp;T MOBILITY-W&amp;M</t>
  </si>
  <si>
    <t>ERNESTO B HERRERA</t>
  </si>
  <si>
    <t>AUBAINE SUPPLY COMPANY  INC</t>
  </si>
  <si>
    <t>GRAND JUNCTION NEWSPAPERS  INC</t>
  </si>
  <si>
    <t>AUSTIN FLAG AND FLAGPOLE</t>
  </si>
  <si>
    <t>AUSTIN GASTROENTERLOGY</t>
  </si>
  <si>
    <t>AUSTIN RADIOLOGICAL ASSOC</t>
  </si>
  <si>
    <t>JIM ATTRA INC</t>
  </si>
  <si>
    <t>BBTC LLC</t>
  </si>
  <si>
    <t>EDUARDO BARRIENTOS</t>
  </si>
  <si>
    <t>BASIC IDIQ  INC.</t>
  </si>
  <si>
    <t>DEBORAH D. SPARKMAN</t>
  </si>
  <si>
    <t>BASTROP BAIL BONDS</t>
  </si>
  <si>
    <t>="19698</t>
  </si>
  <si>
    <t>19088"</t>
  </si>
  <si>
    <t>BASTROP CENTRAL APPRAISAL DIST.</t>
  </si>
  <si>
    <t>BASTROP CNTY GENERAL FUND</t>
  </si>
  <si>
    <t>="10</t>
  </si>
  <si>
    <t>318"</t>
  </si>
  <si>
    <t>BASTROP CNTY SHERIFF'S DEPT</t>
  </si>
  <si>
    <t>688"</t>
  </si>
  <si>
    <t>="11</t>
  </si>
  <si>
    <t>267"</t>
  </si>
  <si>
    <t>400"</t>
  </si>
  <si>
    <t>426"</t>
  </si>
  <si>
    <t>465"</t>
  </si>
  <si>
    <t>869"</t>
  </si>
  <si>
    <t>="12</t>
  </si>
  <si>
    <t>221"</t>
  </si>
  <si>
    <t>224"</t>
  </si>
  <si>
    <t>391"</t>
  </si>
  <si>
    <t>410"</t>
  </si>
  <si>
    <t>596"</t>
  </si>
  <si>
    <t>DANIEL L HEPKER</t>
  </si>
  <si>
    <t>BASTROP COUNTY BAR ASSOCIATION</t>
  </si>
  <si>
    <t>BASTROP COUNTY SIGN SHOP</t>
  </si>
  <si>
    <t>BASTROP COUNTY MEDICAL ASSOCIATES. PA</t>
  </si>
  <si>
    <t>BASTROP INDEPENDENT SCHOOL DISTRICT</t>
  </si>
  <si>
    <t>BASTROP MEDICAL CLINIC</t>
  </si>
  <si>
    <t>BASTROP OUTDOOR</t>
  </si>
  <si>
    <t>BASTROP PROVIDENCE FUNERAL HOME</t>
  </si>
  <si>
    <t>BASTROP SIGNS &amp; BANNERS</t>
  </si>
  <si>
    <t>BASTROP TREE SERVICE  INC</t>
  </si>
  <si>
    <t>BASTROP VET. HOSPITAL  INC.</t>
  </si>
  <si>
    <t>DAVID H OUTON</t>
  </si>
  <si>
    <t>BEAR GRAPHICS  INC.</t>
  </si>
  <si>
    <t>BELL COUNTY CONSTABLE 4</t>
  </si>
  <si>
    <t>BEN E KEITH CO.</t>
  </si>
  <si>
    <t>BENJAMIN FOODS  LLC</t>
  </si>
  <si>
    <t>MULTI SERVICE CORP</t>
  </si>
  <si>
    <t>BETA TECHNOLOGY INC.</t>
  </si>
  <si>
    <t>BETTY LOU GAINES</t>
  </si>
  <si>
    <t>BEXAR COUNTY SHERIFF</t>
  </si>
  <si>
    <t>BIG WRENCH ROAD SERVICE INC</t>
  </si>
  <si>
    <t>BIMBO FOODS INC</t>
  </si>
  <si>
    <t>BLAS J COY JR</t>
  </si>
  <si>
    <t>BLUEBONNET AREA CRIME STOPPERS PROGRAM</t>
  </si>
  <si>
    <t>BLUEBONNET ELECTRIC COOP</t>
  </si>
  <si>
    <t>BLUEBONNET TRAILS MHMR</t>
  </si>
  <si>
    <t>BOBBY BROWN</t>
  </si>
  <si>
    <t>BRYAN GOERTZ</t>
  </si>
  <si>
    <t>LAW OFFICE OF BRYAN W. MCDANIEL  P.C.</t>
  </si>
  <si>
    <t>BUREAU OF VITAL STATISTICS</t>
  </si>
  <si>
    <t>CAMRYN NUTT</t>
  </si>
  <si>
    <t>CAPCOG</t>
  </si>
  <si>
    <t>CAPITOL BEARING OF AUSTIN</t>
  </si>
  <si>
    <t>TIB-THE INDEPENDENT BANKERS BANK</t>
  </si>
  <si>
    <t>CAREY SKUBIATA</t>
  </si>
  <si>
    <t>CDW GOVERNMENT INC</t>
  </si>
  <si>
    <t>CEN-TEX MARINE FABRICATORS INC</t>
  </si>
  <si>
    <t>CENTER MASS  INC</t>
  </si>
  <si>
    <t>CENTERPOINT ENERGY</t>
  </si>
  <si>
    <t>CENTEX MATERIALS LLC</t>
  </si>
  <si>
    <t>CENTEX MECHANICAL INC</t>
  </si>
  <si>
    <t>CENTRAL TEXAS AUTOPSY</t>
  </si>
  <si>
    <t>CHARLES W CARVER</t>
  </si>
  <si>
    <t>CHARLTON POWELL III</t>
  </si>
  <si>
    <t>CHARM-TEX</t>
  </si>
  <si>
    <t>CHASE VASUT</t>
  </si>
  <si>
    <t>ROBERT J SALDIVAR</t>
  </si>
  <si>
    <t>CHRIS MATT DILLON</t>
  </si>
  <si>
    <t>CHRISTINA BLUE</t>
  </si>
  <si>
    <t>CHRISTINE P FILES</t>
  </si>
  <si>
    <t>CIMA SOFTWARE CORP</t>
  </si>
  <si>
    <t>CINDYE WOLFORD</t>
  </si>
  <si>
    <t>CINTAS</t>
  </si>
  <si>
    <t>CINTAS CORPORATION #86</t>
  </si>
  <si>
    <t>CIOX HEALTH</t>
  </si>
  <si>
    <t>CITY OF BASTROP</t>
  </si>
  <si>
    <t>CITY OF ELGIN</t>
  </si>
  <si>
    <t>CITY OF SMITHVILLE</t>
  </si>
  <si>
    <t>CLAY WANECK</t>
  </si>
  <si>
    <t>CLEGG INDUSTRIES INC.</t>
  </si>
  <si>
    <t>CLIFFORD POWER SYSTEMS INC</t>
  </si>
  <si>
    <t>CLINICAL PATHOLOGY LABORATORIES INC</t>
  </si>
  <si>
    <t>CHRIS DYER</t>
  </si>
  <si>
    <t>CNA SURETY</t>
  </si>
  <si>
    <t>CODY VINKLAREK</t>
  </si>
  <si>
    <t>HANCOCK  JAHN  LEE &amp; PUCKETT LLC</t>
  </si>
  <si>
    <t>COMMUNICATION BY HAND LLC</t>
  </si>
  <si>
    <t>COMMUNITY COFFEE COMPANY LLC</t>
  </si>
  <si>
    <t>COMMUNITY HEALTH CENTERS</t>
  </si>
  <si>
    <t>COMPLIANCE SOLUTIONS OCCUPATIONAL TRAINERS  INC.</t>
  </si>
  <si>
    <t>CONNIE CAMERON RABEL</t>
  </si>
  <si>
    <t>CONSOLIDATED ELECTRIC DIST</t>
  </si>
  <si>
    <t>CONTECH ENGINEERED SOLUTIONS INC</t>
  </si>
  <si>
    <t>CONVERGENCE CABLING INC</t>
  </si>
  <si>
    <t>OSCAR MENDEZ ARTEAGA</t>
  </si>
  <si>
    <t>COOPER EQUIPMENT CO.</t>
  </si>
  <si>
    <t>COTHRON SECURITY SOLUTIONS LLC</t>
  </si>
  <si>
    <t>COUFAL-PRATER EQUIPMENT LTD</t>
  </si>
  <si>
    <t>CRESSIDA EVELYN KWOLEK  PH. D.</t>
  </si>
  <si>
    <t>CROSSROADS ANIMAL HOSPITAL</t>
  </si>
  <si>
    <t>CRYSTAL DEAR</t>
  </si>
  <si>
    <t>CYDNEY CRIDER</t>
  </si>
  <si>
    <t>DAHILL INDUSTRIES  INC</t>
  </si>
  <si>
    <t>DALLAS COUNTY CONSTABLE PCT 1</t>
  </si>
  <si>
    <t>DALTON STEVEN DAWSON</t>
  </si>
  <si>
    <t>DANE BACHYNSKY</t>
  </si>
  <si>
    <t>DANETTE PEREZ</t>
  </si>
  <si>
    <t>DARRELL WILLIAMSON</t>
  </si>
  <si>
    <t>DAVID B BROOKS</t>
  </si>
  <si>
    <t>DAVID GONZALEZ</t>
  </si>
  <si>
    <t>DAVID M COLLINS</t>
  </si>
  <si>
    <t>DELL</t>
  </si>
  <si>
    <t>="Dell 22" Monitors"</t>
  </si>
  <si>
    <t>SETON FAMILY OF HOSPITALS</t>
  </si>
  <si>
    <t>DELL FINANCIAL SERVICES LLC</t>
  </si>
  <si>
    <t>="DELL 23" MONITOR"</t>
  </si>
  <si>
    <t>DENTRUST DENTAL TX PC</t>
  </si>
  <si>
    <t>DEREK SMITH</t>
  </si>
  <si>
    <t>DEWITT COUNTY SHERIFF'S OFFICE</t>
  </si>
  <si>
    <t>DIAGNOSTICS DIRECT INC</t>
  </si>
  <si>
    <t>DICKENS LOCKSMITH INC</t>
  </si>
  <si>
    <t>DILLON MICHALEC</t>
  </si>
  <si>
    <t>DEPARTMENT OF INFORMATION RESOURCES</t>
  </si>
  <si>
    <t>DISCOUNT TIRE/AMERICA'S TIRE CO.</t>
  </si>
  <si>
    <t>DON R. YOUNG</t>
  </si>
  <si>
    <t>DONNIE STARK</t>
  </si>
  <si>
    <t>DOVIE WOLF</t>
  </si>
  <si>
    <t>DUNNE &amp; JUAREZ L.L.C.</t>
  </si>
  <si>
    <t>PBJ INC</t>
  </si>
  <si>
    <t>EARL J GREMILLION</t>
  </si>
  <si>
    <t>ECOLAB INC</t>
  </si>
  <si>
    <t>EFFECTIVE INVENTORY MNAGEMENT  INC.</t>
  </si>
  <si>
    <t>ELECTION SYSTEMS &amp; SOFTWARE INC</t>
  </si>
  <si>
    <t>BLACKLANDS PUBLICATIONS INC</t>
  </si>
  <si>
    <t>RALPH DAVID GLASS</t>
  </si>
  <si>
    <t>ELGIN PUBLIC LIBRARY</t>
  </si>
  <si>
    <t>ELSWORTH SHERMAN</t>
  </si>
  <si>
    <t>EMERGENCY PHYSICIANS OF CENTRAL TX PA</t>
  </si>
  <si>
    <t>ENVIRONMENTAL IMPROVEMENTS INC</t>
  </si>
  <si>
    <t>ERGON ASPHALT &amp; EMULSIONS INC</t>
  </si>
  <si>
    <t>ERVIN HOFFEREK</t>
  </si>
  <si>
    <t>ETHAN ARBUCKLE</t>
  </si>
  <si>
    <t>EWALD KUBOTA  INC.</t>
  </si>
  <si>
    <t>FACILITY SOLUTIONS GROUP INC</t>
  </si>
  <si>
    <t>BASTROP COUNTY WOMEN'S SHELTER</t>
  </si>
  <si>
    <t>FEDERAL EXPRESS</t>
  </si>
  <si>
    <t>FLEET COR TECHNOLOGIES INC</t>
  </si>
  <si>
    <t>FLEETPRIDE</t>
  </si>
  <si>
    <t>="REFLEX 15" / P2"</t>
  </si>
  <si>
    <t>FORREST L. SANDERSON</t>
  </si>
  <si>
    <t>FPC FINANCIAL f.s.b.</t>
  </si>
  <si>
    <t>CREDIT MEMO</t>
  </si>
  <si>
    <t>FREESTONE COUNTY SHERIFF</t>
  </si>
  <si>
    <t>AUSTIN TRUCK &amp; EQUIP LTD</t>
  </si>
  <si>
    <t>FRIEDRICH AIR CONDITIONING  LLC</t>
  </si>
  <si>
    <t>EUGENE W BRIGGS JR</t>
  </si>
  <si>
    <t>G &amp; K SERVICES</t>
  </si>
  <si>
    <t>GALLS LLC</t>
  </si>
  <si>
    <t>GARLAND T MURLEY</t>
  </si>
  <si>
    <t>GARY E ISELT</t>
  </si>
  <si>
    <t>GARY L SNOWDEN</t>
  </si>
  <si>
    <t>GERMANIA INSURANCE</t>
  </si>
  <si>
    <t>GIPSON PENDERGRASS PEOPLE'S MORTUARY LLC</t>
  </si>
  <si>
    <t>GLENN TEINERT</t>
  </si>
  <si>
    <t>GOLDSTAR PRODUCTS INC</t>
  </si>
  <si>
    <t>GOVCONNECTION INC</t>
  </si>
  <si>
    <t>GRAINGER INC</t>
  </si>
  <si>
    <t>GREG GILLELAND</t>
  </si>
  <si>
    <t>GABRIEL ROEDER SMITH &amp; CO</t>
  </si>
  <si>
    <t>GT DISTRIBUTORS  INC.</t>
  </si>
  <si>
    <t>GUADALUPE COUNTY SHERIFF</t>
  </si>
  <si>
    <t>GULF COAST PAPER CO. INC.</t>
  </si>
  <si>
    <t>H &amp; H OIL INC</t>
  </si>
  <si>
    <t>HALFF ASSOCIATES</t>
  </si>
  <si>
    <t>HAMILTON ELECTRIC WORKS  INC.</t>
  </si>
  <si>
    <t>HAN PHAM HULEN  MD PA</t>
  </si>
  <si>
    <t>HARRIS COUNTY CONSTABLE PCT 1</t>
  </si>
  <si>
    <t>HAYS COUNTY CONSTABLE PCT 4</t>
  </si>
  <si>
    <t>HEADSETS DIRECT INC.</t>
  </si>
  <si>
    <t>HEART OF TEXAS CARDIOLOGY</t>
  </si>
  <si>
    <t>HENGST PRINTING &amp; SUPPLIES</t>
  </si>
  <si>
    <t>HERBERT BARTSCH</t>
  </si>
  <si>
    <t>HERBERT J BARTSCH JR</t>
  </si>
  <si>
    <t>HERSHCAP BACKHOE &amp; DITCHING INC</t>
  </si>
  <si>
    <t>HIDALGO COUNTY SHERIFF</t>
  </si>
  <si>
    <t>HILLARY LONG</t>
  </si>
  <si>
    <t>OTHER</t>
  </si>
  <si>
    <t>BASCOM L HODGES JR</t>
  </si>
  <si>
    <t>HODGSON G ECKEL</t>
  </si>
  <si>
    <t>HOLLY SCHULZ  CSR  RPR</t>
  </si>
  <si>
    <t>BD HOLT CO</t>
  </si>
  <si>
    <t>CITIBANK (SOUTH DAKOTA)N.A./THE HOME DEPOT</t>
  </si>
  <si>
    <t>HORIZON TELEPHON SYSTEMS  INC.</t>
  </si>
  <si>
    <t>HUDSON ENERGY CORP</t>
  </si>
  <si>
    <t>HUNTER TEDFORD</t>
  </si>
  <si>
    <t>HVAC</t>
  </si>
  <si>
    <t>HYDRAULIC HOUSE INC</t>
  </si>
  <si>
    <t>ICS</t>
  </si>
  <si>
    <t>IDW LLC</t>
  </si>
  <si>
    <t>INDIGENT HEALTHCARE SOLUTIONS</t>
  </si>
  <si>
    <t>INTERNATIONAL WORKERS' COMPENSATION FOUNDATION INC</t>
  </si>
  <si>
    <t>SPI MANAGEMENT CO.</t>
  </si>
  <si>
    <t>TRIPLE J JACKPOT</t>
  </si>
  <si>
    <t>JAMES CREPPON</t>
  </si>
  <si>
    <t>JAMES E. GARON &amp; ASSOC.</t>
  </si>
  <si>
    <t>JAMES M COLQUITT</t>
  </si>
  <si>
    <t>JAMES O. BURKE</t>
  </si>
  <si>
    <t>JAMES SHERROD</t>
  </si>
  <si>
    <t>JASON JOHNSON</t>
  </si>
  <si>
    <t>JEFF KINNISON</t>
  </si>
  <si>
    <t>JEFFERSON COUNTY CONSTABLE PCT 1</t>
  </si>
  <si>
    <t>JENKINS &amp; JENKINS LLP</t>
  </si>
  <si>
    <t>405"</t>
  </si>
  <si>
    <t>JERRY HOFROCK</t>
  </si>
  <si>
    <t>JIM BOB DOOLEY MAI</t>
  </si>
  <si>
    <t>JIMMY DUTY</t>
  </si>
  <si>
    <t>JOHN W SNYDER</t>
  </si>
  <si>
    <t>JOE GONZALEZ</t>
  </si>
  <si>
    <t>JOHN C KUHN</t>
  </si>
  <si>
    <t>JOHN HORTON</t>
  </si>
  <si>
    <t>JONATHAN L COHEN</t>
  </si>
  <si>
    <t>JOSEFINA CALVILLO RODRIGUEZ</t>
  </si>
  <si>
    <t>JOSEPHINE MORALES</t>
  </si>
  <si>
    <t>JUAN SEGURA</t>
  </si>
  <si>
    <t>JUSTIN HOLDER</t>
  </si>
  <si>
    <t>JUSTIN MATTHEW FOHN</t>
  </si>
  <si>
    <t>JUSTIN MEUTH</t>
  </si>
  <si>
    <t>KAREN STARKS</t>
  </si>
  <si>
    <t>KATHY REEVES</t>
  </si>
  <si>
    <t>KELLY LEWIS</t>
  </si>
  <si>
    <t>KELLY-MOORE PAINT COMPANY  INC</t>
  </si>
  <si>
    <t>KENNETH LIMUEL</t>
  </si>
  <si>
    <t>KENT BROUSSARD TOWER RENTAL INC</t>
  </si>
  <si>
    <t>KERR COUNTY SHERIFF'S OFFICE</t>
  </si>
  <si>
    <t>KEVIN BERRY</t>
  </si>
  <si>
    <t>KIRSTEN RUEHMAN</t>
  </si>
  <si>
    <t>KLEIBER FORD TRACTOR  INC.</t>
  </si>
  <si>
    <t>KYLE BEHRENS</t>
  </si>
  <si>
    <t>POWER J INVESTMENTS CO. INC</t>
  </si>
  <si>
    <t>LA SALLE COUNTY SHERIFF</t>
  </si>
  <si>
    <t>LABATT INSTITUTIONAL SUPPLY CO</t>
  </si>
  <si>
    <t>LASHLEY SOUTH TEXAS  LLC</t>
  </si>
  <si>
    <t>LAUREN CONCRETE INC</t>
  </si>
  <si>
    <t>J. MARQUE MOORE</t>
  </si>
  <si>
    <t>LEE COUNTY WATER SUPPLY CORP</t>
  </si>
  <si>
    <t>LEE ROY OTT  JR</t>
  </si>
  <si>
    <t>LENNOX INDUSTRIES INC</t>
  </si>
  <si>
    <t>LEON SCAIFE</t>
  </si>
  <si>
    <t>LEVI JOHNSTON</t>
  </si>
  <si>
    <t>LEXISNEXIS RISK DATA MGMT INC</t>
  </si>
  <si>
    <t>LIBERTY COUNTY SHERIFF</t>
  </si>
  <si>
    <t>LIBERTY TIRE RECYCLING</t>
  </si>
  <si>
    <t>LIN MARIE GARSEE</t>
  </si>
  <si>
    <t>LINDA HARMON-TAX ASSESSOR</t>
  </si>
  <si>
    <t>LINDSEY SIMMONS</t>
  </si>
  <si>
    <t>LISA M. MIMS</t>
  </si>
  <si>
    <t>LISA SHIVENER</t>
  </si>
  <si>
    <t>ROCKDALE BACKHAWK  LLC</t>
  </si>
  <si>
    <t>LOGAN SCHROEDER</t>
  </si>
  <si>
    <t>LONE STAR CIRCLE OF CARE</t>
  </si>
  <si>
    <t>UNITED KWB COLLABORATIONS LLC</t>
  </si>
  <si>
    <t>LONGHORN EMERGENCY MEDICAL ASSOC PA</t>
  </si>
  <si>
    <t>LORENE REDUS</t>
  </si>
  <si>
    <t>SCOTT BRYANT</t>
  </si>
  <si>
    <t>LOST PINES PAINT &amp; BODY INC</t>
  </si>
  <si>
    <t>TRUBAR  LLC</t>
  </si>
  <si>
    <t>LOWE'S</t>
  </si>
  <si>
    <t>LYLA VINKLAREK</t>
  </si>
  <si>
    <t>MAGIC TOUCH CLEANING SYSTEMS LLC</t>
  </si>
  <si>
    <t>MARIA CELESTE COSTLEY</t>
  </si>
  <si>
    <t>MARIO GINTELLA</t>
  </si>
  <si>
    <t>MARK A RUMPLE</t>
  </si>
  <si>
    <t>MARK T MALONE M.D. P.A</t>
  </si>
  <si>
    <t>JOHN W GASPARINI INC</t>
  </si>
  <si>
    <t>MARTINEZ BAIL BONDS</t>
  </si>
  <si>
    <t>MARVIN BERGER</t>
  </si>
  <si>
    <t>MARY ANGELA FREEMAN</t>
  </si>
  <si>
    <t>MARY BETH SCOTT</t>
  </si>
  <si>
    <t>MATHESON TRI-GAS INC</t>
  </si>
  <si>
    <t>McCOY'S BUILDING SUPPLY CENTER</t>
  </si>
  <si>
    <t>McCREARY  VESELKA  BRAGG &amp; ALLEN P</t>
  </si>
  <si>
    <t>859"</t>
  </si>
  <si>
    <t>559-03/28/2017"</t>
  </si>
  <si>
    <t>537"</t>
  </si>
  <si>
    <t>557"</t>
  </si>
  <si>
    <t>010 A"</t>
  </si>
  <si>
    <t>MEDIMPACT HEALTHCARE SYSTEMS INC</t>
  </si>
  <si>
    <t>MELISSA A MEADOR</t>
  </si>
  <si>
    <t>MENTALIX INC</t>
  </si>
  <si>
    <t>MICHAEL CHARLES SHULMAN</t>
  </si>
  <si>
    <t>MICHAEL ELSWICK</t>
  </si>
  <si>
    <t>MICHELE FRITSCHE C.S.R.</t>
  </si>
  <si>
    <t>MICHELE T WALTY</t>
  </si>
  <si>
    <t>MID-TEX SALES AND SERVICE INC</t>
  </si>
  <si>
    <t>MIKE C. FISHER</t>
  </si>
  <si>
    <t>MILLER UNIFORMS &amp; EMBLEMS</t>
  </si>
  <si>
    <t>APRIL RENEA ALEXANDER</t>
  </si>
  <si>
    <t>THOMAS ANTHONY BRISTOLL III</t>
  </si>
  <si>
    <t>JERRY LEE HENRICHS</t>
  </si>
  <si>
    <t>JON CRAIG ETHEREDGE</t>
  </si>
  <si>
    <t>SUSAN STERLING NALLEY</t>
  </si>
  <si>
    <t>DONALD DEWAYNE SNOOTS</t>
  </si>
  <si>
    <t>ROY JOSE PINA</t>
  </si>
  <si>
    <t>DWAYNE TYRONE VASSAR</t>
  </si>
  <si>
    <t>NICK ALBERT BUHLER III</t>
  </si>
  <si>
    <t>REBEKAH JEAN HIBBS</t>
  </si>
  <si>
    <t>MNJ TECHNOLOGIES DIRECT  INC.</t>
  </si>
  <si>
    <t>MOORE MEDICAL LLC</t>
  </si>
  <si>
    <t>MORRIS ARNOLD</t>
  </si>
  <si>
    <t>MORSCO SUPPLY  LLC</t>
  </si>
  <si>
    <t>MOTOROLA INC</t>
  </si>
  <si>
    <t>MOTOROLA SOLUTIONS INC</t>
  </si>
  <si>
    <t>MTS SAFETY PRODUCTS INC</t>
  </si>
  <si>
    <t>NALCO COMPANY LLC</t>
  </si>
  <si>
    <t>NANCY L. YOUNG</t>
  </si>
  <si>
    <t>NASH ELECTRONICS INC</t>
  </si>
  <si>
    <t>NATIONAL FOOD GROUP INC</t>
  </si>
  <si>
    <t>NOE Q GALVAN</t>
  </si>
  <si>
    <t>O'REILLY AUTOMOTIVE  INC.</t>
  </si>
  <si>
    <t>SOUTHERN FOODS GROUP LP</t>
  </si>
  <si>
    <t>OFFICE DEPOT</t>
  </si>
  <si>
    <t>UCG INFORMATION SERVICES LLC</t>
  </si>
  <si>
    <t>ON SITE SERVICES</t>
  </si>
  <si>
    <t>ROGER C OSBORN</t>
  </si>
  <si>
    <t>TACSERV LLC</t>
  </si>
  <si>
    <t>OUTLAW TRUCK OUTFITTERS</t>
  </si>
  <si>
    <t>SL PARKER PARTNERSHIP LLC</t>
  </si>
  <si>
    <t>PATHMARK TRAFFIC PRODUCTS</t>
  </si>
  <si>
    <t>PATRICK ELECTRIC SERVICE</t>
  </si>
  <si>
    <t>PATRICK TYDLACKA</t>
  </si>
  <si>
    <t>PATTERSON  VETERINARY SUPPLY INC</t>
  </si>
  <si>
    <t>PAUL E ALBRECHT</t>
  </si>
  <si>
    <t>PAUL GRANADO</t>
  </si>
  <si>
    <t>PAUL PAPE</t>
  </si>
  <si>
    <t>PETHEALTH SERVICES(USA) INC.</t>
  </si>
  <si>
    <t>PHILIP L HALL</t>
  </si>
  <si>
    <t>PHILIP R DUCLOUX</t>
  </si>
  <si>
    <t>PHYLLIS ANN DUDLEY</t>
  </si>
  <si>
    <t>PI SERVICES - CAROLYN S PORTER</t>
  </si>
  <si>
    <t>PITNEY BOWES GLOBAL FINANCIAL SERVICES</t>
  </si>
  <si>
    <t>PM WILSON &amp; ASSOCIATES PLLC</t>
  </si>
  <si>
    <t>POSTMASTER</t>
  </si>
  <si>
    <t>QUEST DIAGNOSTICS</t>
  </si>
  <si>
    <t>QUILL CORPORATION</t>
  </si>
  <si>
    <t>R.G. WATSON</t>
  </si>
  <si>
    <t>RACHEL A BAUER</t>
  </si>
  <si>
    <t>RANDI FISHBECK</t>
  </si>
  <si>
    <t>RDO TRUST # 80-5800</t>
  </si>
  <si>
    <t>NESTLE WATERS N AMERICA INC</t>
  </si>
  <si>
    <t>RED WING SHOE STORE #179</t>
  </si>
  <si>
    <t>RENAISSANCE HOTEL MANAGEMENT COMPANY  LLC</t>
  </si>
  <si>
    <t>REPUBLIC SERVICES INC BFI WASTE SERVICE</t>
  </si>
  <si>
    <t>REPUBLIC TRUCK SALES   PARTS  &amp; REPAIRS</t>
  </si>
  <si>
    <t>RESERVE ACCOUNT</t>
  </si>
  <si>
    <t>REYNOLDS &amp; KEINARTH</t>
  </si>
  <si>
    <t>RICOH</t>
  </si>
  <si>
    <t>RICOH USA INC</t>
  </si>
  <si>
    <t>RICOH AMERICAS CORP</t>
  </si>
  <si>
    <t>JOEL RIVERA -PEDRAZA</t>
  </si>
  <si>
    <t>RUNKLE ENTERPRISES</t>
  </si>
  <si>
    <t>ROADRUNNER RADIOLOGY EQUIP LLC</t>
  </si>
  <si>
    <t>ROBERT H MILLER</t>
  </si>
  <si>
    <t>ROBERT JENKINS</t>
  </si>
  <si>
    <t>ROBERT MADDEN INDUSTRIES LTD</t>
  </si>
  <si>
    <t>ROBERT STARKEY</t>
  </si>
  <si>
    <t>ROCIC</t>
  </si>
  <si>
    <t>QUALITY TRAILER PRODUCTS</t>
  </si>
  <si>
    <t>RONALD BEHRENS</t>
  </si>
  <si>
    <t>RONALD N WOLF</t>
  </si>
  <si>
    <t>ROSE PIETSCH COUNTY CLERK</t>
  </si>
  <si>
    <t>ROUND ROCK SURGERY CENTER LLC</t>
  </si>
  <si>
    <t>S &amp; D PLUMBING - TAYLOR  LLC</t>
  </si>
  <si>
    <t>SAMES BASTROP FORD INC</t>
  </si>
  <si>
    <t>SAMMY LERMA III MD</t>
  </si>
  <si>
    <t>SECRETARY OF STATE</t>
  </si>
  <si>
    <t>SECURUS TECHNOLOGIES INC</t>
  </si>
  <si>
    <t>SHERIFFS' ASSOCIATION OF TEXAS</t>
  </si>
  <si>
    <t>SHI GOVERNMENT SOLUTIONS INC.</t>
  </si>
  <si>
    <t>SHOPPA'S FARM SUPPLY</t>
  </si>
  <si>
    <t>SIGNATURE SMILES</t>
  </si>
  <si>
    <t>SILSBEE FORD</t>
  </si>
  <si>
    <t>SKYLINE EQUIPMENT INC.</t>
  </si>
  <si>
    <t>SMITHVILLE AUTO PARTS  INC</t>
  </si>
  <si>
    <t>COX TEXAS NEWSPAPERS LP</t>
  </si>
  <si>
    <t>SOUTHERN TIRE MART LLC</t>
  </si>
  <si>
    <t>DS WATERS OF AMERICA INC</t>
  </si>
  <si>
    <t>SPARKLETTS &amp; SIERRA SPRINGS</t>
  </si>
  <si>
    <t>SPOK INC</t>
  </si>
  <si>
    <t>ST.DAVID'S HEALTHCARE PARTNERSHIP</t>
  </si>
  <si>
    <t>STAPLES ADVANTAGE</t>
  </si>
  <si>
    <t>STATE OF TEXAS</t>
  </si>
  <si>
    <t>STEPHEN BECK</t>
  </si>
  <si>
    <t>STERICYCLE  INC.</t>
  </si>
  <si>
    <t>STEVE GRANADO</t>
  </si>
  <si>
    <t>STEVE JONES</t>
  </si>
  <si>
    <t>MATTHEW LEE SULLINS</t>
  </si>
  <si>
    <t>TACERA</t>
  </si>
  <si>
    <t>TX ASSN OF CONVENTION &amp; VISITORS BUREAU</t>
  </si>
  <si>
    <t>TAE4-HA DISTRICT 2</t>
  </si>
  <si>
    <t>TAMMI JUNE HOLLAND</t>
  </si>
  <si>
    <t>TARRANT COUNTY CONSTABLE 3</t>
  </si>
  <si>
    <t>TARRANT COUNTY CONSTABLE PCT 2</t>
  </si>
  <si>
    <t>TARRANT COUNTY CONSTABLE PCT 8</t>
  </si>
  <si>
    <t>TAVCO SERVICES INC</t>
  </si>
  <si>
    <t>TAYLOR AUTO ELECT.</t>
  </si>
  <si>
    <t>TAYLOR IRON MACHINE WORKS INC.</t>
  </si>
  <si>
    <t>TDCAA</t>
  </si>
  <si>
    <t>TEJAS ELEVATOR COMPANY</t>
  </si>
  <si>
    <t>TERRA EXCAVATION &amp; CONSTRUCTION LLC</t>
  </si>
  <si>
    <t>TERRELL COUNTY SHERIFF</t>
  </si>
  <si>
    <t>AIR RELIEF TECHNOLOGIES INC</t>
  </si>
  <si>
    <t>TEXAN EYE  P.A.</t>
  </si>
  <si>
    <t>TEXAS AGGREGATES  LLC</t>
  </si>
  <si>
    <t>TEXAS ANIMAL CONTROL ASSOC.</t>
  </si>
  <si>
    <t>TEXAS ASSOCIATES INSURORS AGENCY</t>
  </si>
  <si>
    <t>TEXAS ASSOCIATION OF COUNTIES</t>
  </si>
  <si>
    <t>TEXAS ASSOCIATION FOR COURT ADMINISTRATION</t>
  </si>
  <si>
    <t>TEXAS BLACKLAND HARDWARE</t>
  </si>
  <si>
    <t>TEXAS COURT REPORTERS ASSOC</t>
  </si>
  <si>
    <t>TEXAS CRUSHED STONE CO.</t>
  </si>
  <si>
    <t>TEXAS DEPARTMENT OF CRIMINAL JUSTICE</t>
  </si>
  <si>
    <t>TEXAS DEPT OF PUBLIC SAFETY</t>
  </si>
  <si>
    <t>TEXAS JUSTICE COURT TRAINING CENTER</t>
  </si>
  <si>
    <t>TEXAS STATE UNIVERSITY</t>
  </si>
  <si>
    <t>TEXAS MUNICIPAL COURT/</t>
  </si>
  <si>
    <t>TEXAS MUNICIPAL LEAGUE</t>
  </si>
  <si>
    <t>TEXAS PARKS &amp; WILDLIFE FUNDS</t>
  </si>
  <si>
    <t>TEXAS RETINA INSTITUTE</t>
  </si>
  <si>
    <t>JAMES ANDREW CASEY</t>
  </si>
  <si>
    <t>THE ELECTION CENTER</t>
  </si>
  <si>
    <t>RICHARD NELSON MOORE</t>
  </si>
  <si>
    <t>THE PORTER COMPANY</t>
  </si>
  <si>
    <t>TWE-ADVANCE/NEWHOUSE PARTNERSHIP</t>
  </si>
  <si>
    <t>TIMOTHY C STALCUP</t>
  </si>
  <si>
    <t>TOM PRIHODA</t>
  </si>
  <si>
    <t>TRAVIS CO CONSTABLE  PCT 5</t>
  </si>
  <si>
    <t>559"</t>
  </si>
  <si>
    <t>TRAVIS COUNTY SHERIFF'S</t>
  </si>
  <si>
    <t>TREADMAXX TIRE DISTRIBUTORS  INC.</t>
  </si>
  <si>
    <t>TREY MOORE</t>
  </si>
  <si>
    <t>TRI-ED DISTRIBUTION INC</t>
  </si>
  <si>
    <t>TRNLWS  LLC</t>
  </si>
  <si>
    <t>TRIPLE S FUELS</t>
  </si>
  <si>
    <t>TRACTOR SUPPLY CREDIT PLAN</t>
  </si>
  <si>
    <t>TTIA</t>
  </si>
  <si>
    <t>TULL FARLEY</t>
  </si>
  <si>
    <t>TX ACADEMY OF ANIMAL CONTROL OFFICERS</t>
  </si>
  <si>
    <t>TX CRIME PREVENTION ASSN</t>
  </si>
  <si>
    <t>TY OTT</t>
  </si>
  <si>
    <t>TYLER BRADLEY</t>
  </si>
  <si>
    <t>TYLER TECHNOLOGIES INC</t>
  </si>
  <si>
    <t>TYRONE C. MONCRIFFE</t>
  </si>
  <si>
    <t>ULINE</t>
  </si>
  <si>
    <t>UNITED REFRIGERATION INC</t>
  </si>
  <si>
    <t>UNITED STATES TREASURY</t>
  </si>
  <si>
    <t>UPS</t>
  </si>
  <si>
    <t>VAL VERDE COUNTY SHERIFF</t>
  </si>
  <si>
    <t>DEPARTMENT OF STATE HEALTH SERVICES</t>
  </si>
  <si>
    <t>VULCAN CONSTRUCTION MATERIALS  LP</t>
  </si>
  <si>
    <t>W A BAHOT</t>
  </si>
  <si>
    <t>WAGEWORKS INC  FSA/HSA</t>
  </si>
  <si>
    <t>WALLER COUNTY ASPHALT INC</t>
  </si>
  <si>
    <t>WALMART COMMUNITY BRC</t>
  </si>
  <si>
    <t>WALTER A RIEK</t>
  </si>
  <si>
    <t>WATCH GUARD VIDEO</t>
  </si>
  <si>
    <t>WATTINGER SERVICE CO INC</t>
  </si>
  <si>
    <t>PROGRESSIVE WASTE SOLUTIONS OF TX. INC.</t>
  </si>
  <si>
    <t>COBRA EQUIPMENT RENTALS</t>
  </si>
  <si>
    <t>WEI-ANN LIN  MD PA</t>
  </si>
  <si>
    <t>WEST PUBLISHING CORPORATION</t>
  </si>
  <si>
    <t>MAO PHARMACY INC</t>
  </si>
  <si>
    <t>WIDNER &amp; ALFORD OMS</t>
  </si>
  <si>
    <t>WILBERT'S TIRE CENTER</t>
  </si>
  <si>
    <t>WILEY ALEXANDER</t>
  </si>
  <si>
    <t>WILLIAMSON CNTY CONSTABLE # 2</t>
  </si>
  <si>
    <t>WILLIAMSON CNTY CONSTABLE 4</t>
  </si>
  <si>
    <t>WILLIAMSON COUNTY CONSTABLE 1</t>
  </si>
  <si>
    <t>WILLIAMSON COUNTY CONSTABLE 3</t>
  </si>
  <si>
    <t>WILSON 5 WILSON</t>
  </si>
  <si>
    <t>WJC CONSTRUCTION LLC</t>
  </si>
  <si>
    <t>XEROX CORPORATION</t>
  </si>
  <si>
    <t>YAHOO</t>
  </si>
  <si>
    <t>ZANE SCHULZ</t>
  </si>
  <si>
    <t>ZORO TOOLS INC</t>
  </si>
  <si>
    <t>973 MATERIALS  LLC</t>
  </si>
  <si>
    <t>A &amp; E WELDING</t>
  </si>
  <si>
    <t>ALLIED SALES CO.</t>
  </si>
  <si>
    <t>BROADDUS &amp; ASSOCIATES</t>
  </si>
  <si>
    <t>FIRST NATIONAL BANK</t>
  </si>
  <si>
    <t>KIRKSEY ARCHITECTS  INC.</t>
  </si>
  <si>
    <t>LANGFORD COMMUNITY MGMT INC</t>
  </si>
  <si>
    <t>MIDTEX MATERIALS</t>
  </si>
  <si>
    <t>MUSTANG MACHINERY COMPANY LTD</t>
  </si>
  <si>
    <t>OLDCASTLE MATERIALS TEXAS INC</t>
  </si>
  <si>
    <t>PAULINE SPURLOCK</t>
  </si>
  <si>
    <t>SPEED FAB-CRETE CORPORATION</t>
  </si>
  <si>
    <t>TEX-CON OIL CO</t>
  </si>
  <si>
    <t>THE BANK OF NEW YORK MELLON</t>
  </si>
  <si>
    <t>CHRISTOPHER K LEHMAN</t>
  </si>
  <si>
    <t>THERESA S. &amp; PHILLIP D. GRIMES</t>
  </si>
  <si>
    <t>TREEFOLKS INC</t>
  </si>
  <si>
    <t>VERMEER EQUIPMENT OF TEXAS  INC.</t>
  </si>
  <si>
    <t>WELLS FARGO BANK</t>
  </si>
  <si>
    <t>ALLSTATE-AMERICAN HERITAGE LIFE INS CO</t>
  </si>
  <si>
    <t>BASTROP ASSN OF SHERIFFS EMPLOYEES</t>
  </si>
  <si>
    <t>BASTROP CNTY ADULT PROBATION</t>
  </si>
  <si>
    <t>COLONIAL LIFE &amp; ACCIDENT INS. CO.</t>
  </si>
  <si>
    <t>CUNA MUTUAL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</si>
  <si>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</si>
  <si>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</si>
  <si>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</si>
  <si>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</si>
  <si>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</si>
  <si>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</si>
  <si>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</si>
  <si>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</si>
  <si>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</si>
  <si>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</si>
  <si>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</si>
  <si>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</t>
  </si>
  <si>
    <t>VERITY NATIONAL GROUP</t>
  </si>
  <si>
    <t>BASTROP COUNTY ANIMAL CONTROL</t>
  </si>
  <si>
    <t>BASTROP VETERINARY HOSPITAL</t>
  </si>
  <si>
    <t>BRAZOS VALLEY SCHOOL CREDIT UN</t>
  </si>
  <si>
    <t>BRENHAM NATIONAL BANK</t>
  </si>
  <si>
    <t>BROOKSHIRE BROTHERS LTD.</t>
  </si>
  <si>
    <t>BRUCE R. FAUST</t>
  </si>
  <si>
    <t>BUC-EES</t>
  </si>
  <si>
    <t>CAN AND LETHU TRIEU</t>
  </si>
  <si>
    <t>CARMINE FEED &amp; FERTILIZER</t>
  </si>
  <si>
    <t>CENTER DRIVE IN III</t>
  </si>
  <si>
    <t>CITI SECURITY AND INVESTIGATIV</t>
  </si>
  <si>
    <t>CITY OF GIDDINGS</t>
  </si>
  <si>
    <t>CLARA LITTLES</t>
  </si>
  <si>
    <t>COLLIER FARMS</t>
  </si>
  <si>
    <t>CVC ATTORNEY GENERAL</t>
  </si>
  <si>
    <t>DEBORAH TATUM</t>
  </si>
  <si>
    <t>ENERGY TRANSFER CO</t>
  </si>
  <si>
    <t>ESTATE OF ALBERT ALMS</t>
  </si>
  <si>
    <t>FIRST NATIONAL BANK OF GIDDING</t>
  </si>
  <si>
    <t>GIDDINGS POLICE DEPARTMENT</t>
  </si>
  <si>
    <t>GILBERTO REYES</t>
  </si>
  <si>
    <t>GLORIA K. ARNOLD</t>
  </si>
  <si>
    <t>GOOD LIFE RANCH  LLC</t>
  </si>
  <si>
    <t>GREAT MIDWEST INS CO. ATTN</t>
  </si>
  <si>
    <t>HHSC ARTS (MAIL CODE 1470)</t>
  </si>
  <si>
    <t>ISIAH FRANKLIN</t>
  </si>
  <si>
    <t>JAMES HOOPER</t>
  </si>
  <si>
    <t>JAMES MITSCHKE</t>
  </si>
  <si>
    <t>JB HUNT</t>
  </si>
  <si>
    <t>JEFF SALZGEBER</t>
  </si>
  <si>
    <t>JERRY EDMOND FAMILY WORSHIP CE</t>
  </si>
  <si>
    <t>JOE GRADY TUCK</t>
  </si>
  <si>
    <t>KEVIN EDWARDS</t>
  </si>
  <si>
    <t>KORMEX FOODS INC</t>
  </si>
  <si>
    <t>LARRY WILLINGHAM</t>
  </si>
  <si>
    <t>LUIS OROSTIETA  JR.</t>
  </si>
  <si>
    <t>MCCOY'S BUILDING SUPPLIES</t>
  </si>
  <si>
    <t>MIKE GUTHRIE</t>
  </si>
  <si>
    <t>MIKE HORNE</t>
  </si>
  <si>
    <t>MT. VERNON PROPERTY SERVICES</t>
  </si>
  <si>
    <t>MURPHY USA</t>
  </si>
  <si>
    <t>PATRICIA HOFFMAN</t>
  </si>
  <si>
    <t>PETERSON FAMILY FOODS</t>
  </si>
  <si>
    <t>ROBERT DAN BURTTSCHELL</t>
  </si>
  <si>
    <t>RUTH COLEMAN</t>
  </si>
  <si>
    <t>SHERWIN SIEGMUND</t>
  </si>
  <si>
    <t>SHIRLEY ANN MEIER</t>
  </si>
  <si>
    <t>SMITHVILLE HOUSING AUTHORITY</t>
  </si>
  <si>
    <t>SOMERVILLE ISD</t>
  </si>
  <si>
    <t>ST. MARGRET'S CATHOLIC CHURCH</t>
  </si>
  <si>
    <t>STATE FARM LLOYD</t>
  </si>
  <si>
    <t>STEVEN WAYNE MEDACK</t>
  </si>
  <si>
    <t>SYLVIA DELEON</t>
  </si>
  <si>
    <t>TOOTSIE'S</t>
  </si>
  <si>
    <t>TUYET THI TRAN</t>
  </si>
  <si>
    <t>TX ASSOC OF COUNTIES RISK MANA</t>
  </si>
  <si>
    <t>TXDOT</t>
  </si>
  <si>
    <t>USAA CORP SECURITY INVESTIGATI</t>
  </si>
  <si>
    <t>WAL-MART RESTITUTION RECOVERY</t>
  </si>
  <si>
    <t>WILLETTA RODRIGUEZ</t>
  </si>
  <si>
    <t>WILLIAM HOLLE</t>
  </si>
  <si>
    <t>BASTROP COUNTY TREASURER</t>
  </si>
  <si>
    <t>WASHINGTON COUNTY DISTRICT CLE</t>
  </si>
  <si>
    <t>BURLESON COUNTY DISTRICT CLERK</t>
  </si>
  <si>
    <t>WASHINGTON CO CRIMESTOPPERS</t>
  </si>
  <si>
    <t>MADD - EAST TEXAS  ATTN</t>
  </si>
  <si>
    <t>BLUEBONNET AREA CRIMESTOPPERS</t>
  </si>
  <si>
    <t>TEXAS DPS  RESTITUTION ACCOUNT</t>
  </si>
  <si>
    <t>WASHINGTON COUNTY TREASURER</t>
  </si>
  <si>
    <t>BURLESON COUNTY TREASURER</t>
  </si>
  <si>
    <t>LEE COUNTY CLERK</t>
  </si>
  <si>
    <t>BASTROP COUNTY DISTRICT CLERK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</si>
</sst>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07"/>
  <sheetViews>
    <sheetView tabSelected="1" workbookViewId="0">
      <selection activeCell="B10" sqref="B10"/>
    </sheetView>
  </sheetViews>
  <sheetFormatPr defaultRowHeight="14.4" x14ac:dyDescent="0.3"/>
  <cols>
    <col min="1" max="1" width="8.77734375" bestFit="1" customWidth="1"/>
    <col min="2" max="2" width="54.44140625" bestFit="1" customWidth="1"/>
    <col min="3" max="3" width="7.33203125" bestFit="1" customWidth="1"/>
    <col min="4" max="4" width="12.77734375" style="2" bestFit="1" customWidth="1"/>
    <col min="5" max="5" width="10.5546875" bestFit="1" customWidth="1"/>
    <col min="6" max="6" width="13.21875" bestFit="1" customWidth="1"/>
    <col min="7" max="7" width="21.33203125" bestFit="1" customWidth="1"/>
    <col min="8" max="8" width="33.6640625" bestFit="1" customWidth="1"/>
    <col min="9" max="9" width="26.21875" style="2" bestFit="1" customWidth="1"/>
    <col min="10" max="10" width="33.6640625" bestFit="1" customWidth="1"/>
  </cols>
  <sheetData>
    <row r="1" spans="1:10" x14ac:dyDescent="0.3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</row>
    <row r="2" spans="1:10" x14ac:dyDescent="0.3">
      <c r="A2" t="str">
        <f>"002656"</f>
        <v>002656</v>
      </c>
      <c r="B2" t="s">
        <v>11</v>
      </c>
      <c r="C2">
        <v>70699</v>
      </c>
      <c r="D2" s="2">
        <v>15</v>
      </c>
      <c r="E2" s="1">
        <v>42898</v>
      </c>
      <c r="F2" t="s">
        <v>10</v>
      </c>
      <c r="G2" t="str">
        <f>"201706022577"</f>
        <v>201706022577</v>
      </c>
      <c r="H2" t="str">
        <f>"REFUND COUPON #16528"</f>
        <v>REFUND COUPON #16528</v>
      </c>
      <c r="I2" s="2">
        <v>15</v>
      </c>
      <c r="J2" t="str">
        <f>"REFUND COUPON #16528"</f>
        <v>REFUND COUPON #16528</v>
      </c>
    </row>
    <row r="3" spans="1:10" x14ac:dyDescent="0.3">
      <c r="A3" t="str">
        <f>"004211"</f>
        <v>004211</v>
      </c>
      <c r="B3" t="s">
        <v>12</v>
      </c>
      <c r="C3">
        <v>71111</v>
      </c>
      <c r="D3" s="2">
        <v>10744.75</v>
      </c>
      <c r="E3" s="1">
        <v>42912</v>
      </c>
      <c r="F3" t="s">
        <v>10</v>
      </c>
      <c r="G3" t="str">
        <f>"4170758"</f>
        <v>4170758</v>
      </c>
      <c r="H3" t="str">
        <f>"A RIFKIN CO"</f>
        <v>A RIFKIN CO</v>
      </c>
      <c r="I3" s="2">
        <v>10744.75</v>
      </c>
      <c r="J3" t="str">
        <f>"Ballot Display"</f>
        <v>Ballot Display</v>
      </c>
    </row>
    <row r="4" spans="1:10" x14ac:dyDescent="0.3">
      <c r="A4" t="str">
        <f>""</f>
        <v/>
      </c>
      <c r="G4" t="str">
        <f>""</f>
        <v/>
      </c>
      <c r="H4" t="str">
        <f>""</f>
        <v/>
      </c>
      <c r="J4" t="str">
        <f>"supply bag burgandy"</f>
        <v>supply bag burgandy</v>
      </c>
    </row>
    <row r="5" spans="1:10" x14ac:dyDescent="0.3">
      <c r="A5" t="str">
        <f>""</f>
        <v/>
      </c>
      <c r="G5" t="str">
        <f>""</f>
        <v/>
      </c>
      <c r="H5" t="str">
        <f>""</f>
        <v/>
      </c>
      <c r="J5" t="str">
        <f>"supply bag nassau bl"</f>
        <v>supply bag nassau bl</v>
      </c>
    </row>
    <row r="6" spans="1:10" x14ac:dyDescent="0.3">
      <c r="A6" t="str">
        <f>""</f>
        <v/>
      </c>
      <c r="G6" t="str">
        <f>""</f>
        <v/>
      </c>
      <c r="H6" t="str">
        <f>""</f>
        <v/>
      </c>
      <c r="J6" t="str">
        <f>"zipper transport"</f>
        <v>zipper transport</v>
      </c>
    </row>
    <row r="7" spans="1:10" x14ac:dyDescent="0.3">
      <c r="A7" t="str">
        <f>""</f>
        <v/>
      </c>
      <c r="G7" t="str">
        <f>""</f>
        <v/>
      </c>
      <c r="H7" t="str">
        <f>""</f>
        <v/>
      </c>
      <c r="J7" t="str">
        <f>"zipper bag"</f>
        <v>zipper bag</v>
      </c>
    </row>
    <row r="8" spans="1:10" x14ac:dyDescent="0.3">
      <c r="A8" t="str">
        <f>""</f>
        <v/>
      </c>
      <c r="G8" t="str">
        <f>""</f>
        <v/>
      </c>
      <c r="H8" t="str">
        <f>""</f>
        <v/>
      </c>
      <c r="J8" t="str">
        <f>"std seals"</f>
        <v>std seals</v>
      </c>
    </row>
    <row r="9" spans="1:10" x14ac:dyDescent="0.3">
      <c r="A9" t="str">
        <f>""</f>
        <v/>
      </c>
      <c r="G9" t="str">
        <f>""</f>
        <v/>
      </c>
      <c r="H9" t="str">
        <f>""</f>
        <v/>
      </c>
      <c r="J9" t="str">
        <f>"Freight"</f>
        <v>Freight</v>
      </c>
    </row>
    <row r="10" spans="1:10" x14ac:dyDescent="0.3">
      <c r="A10" t="str">
        <f>"004643"</f>
        <v>004643</v>
      </c>
      <c r="B10" t="s">
        <v>13</v>
      </c>
      <c r="C10">
        <v>70700</v>
      </c>
      <c r="D10" s="2">
        <v>206</v>
      </c>
      <c r="E10" s="1">
        <v>42898</v>
      </c>
      <c r="F10" t="s">
        <v>10</v>
      </c>
      <c r="G10" t="str">
        <f>"646824"</f>
        <v>646824</v>
      </c>
      <c r="H10" t="str">
        <f>"INV 646824"</f>
        <v>INV 646824</v>
      </c>
      <c r="I10" s="2">
        <v>103</v>
      </c>
      <c r="J10" t="str">
        <f>"INV 646824"</f>
        <v>INV 646824</v>
      </c>
    </row>
    <row r="11" spans="1:10" x14ac:dyDescent="0.3">
      <c r="A11" t="str">
        <f>""</f>
        <v/>
      </c>
      <c r="G11" t="str">
        <f>""</f>
        <v/>
      </c>
      <c r="H11" t="str">
        <f>""</f>
        <v/>
      </c>
      <c r="J11" t="str">
        <f>"INV 646824"</f>
        <v>INV 646824</v>
      </c>
    </row>
    <row r="12" spans="1:10" x14ac:dyDescent="0.3">
      <c r="A12" t="str">
        <f>""</f>
        <v/>
      </c>
      <c r="F12" t="s">
        <v>10</v>
      </c>
      <c r="G12" t="str">
        <f>"646825"</f>
        <v>646825</v>
      </c>
      <c r="H12" t="str">
        <f>"SHREDDING SERVICE/TAX OFFICE"</f>
        <v>SHREDDING SERVICE/TAX OFFICE</v>
      </c>
      <c r="I12" s="2">
        <v>51.5</v>
      </c>
      <c r="J12" t="str">
        <f>"SHREDDING SERVICE/TAX OFFICE"</f>
        <v>SHREDDING SERVICE/TAX OFFICE</v>
      </c>
    </row>
    <row r="13" spans="1:10" x14ac:dyDescent="0.3">
      <c r="A13" t="str">
        <f>""</f>
        <v/>
      </c>
      <c r="F13" t="s">
        <v>10</v>
      </c>
      <c r="G13" t="str">
        <f>"646831"</f>
        <v>646831</v>
      </c>
      <c r="H13" t="str">
        <f>"SHREDDING SERVICE/JP PCT #4"</f>
        <v>SHREDDING SERVICE/JP PCT #4</v>
      </c>
      <c r="I13" s="2">
        <v>51.5</v>
      </c>
      <c r="J13" t="str">
        <f>"SHREDDING SERVICE/JP PCT #4"</f>
        <v>SHREDDING SERVICE/JP PCT #4</v>
      </c>
    </row>
    <row r="14" spans="1:10" x14ac:dyDescent="0.3">
      <c r="A14" t="str">
        <f>"004643"</f>
        <v>004643</v>
      </c>
      <c r="B14" t="s">
        <v>13</v>
      </c>
      <c r="C14">
        <v>71112</v>
      </c>
      <c r="D14" s="2">
        <v>309</v>
      </c>
      <c r="E14" s="1">
        <v>42912</v>
      </c>
      <c r="F14" t="s">
        <v>10</v>
      </c>
      <c r="G14" t="str">
        <f>"646815"</f>
        <v>646815</v>
      </c>
      <c r="H14" t="str">
        <f>"INV 646815"</f>
        <v>INV 646815</v>
      </c>
      <c r="I14" s="2">
        <v>103</v>
      </c>
      <c r="J14" t="str">
        <f>"INV 646815"</f>
        <v>INV 646815</v>
      </c>
    </row>
    <row r="15" spans="1:10" x14ac:dyDescent="0.3">
      <c r="A15" t="str">
        <f>""</f>
        <v/>
      </c>
      <c r="G15" t="str">
        <f>""</f>
        <v/>
      </c>
      <c r="H15" t="str">
        <f>""</f>
        <v/>
      </c>
      <c r="J15" t="str">
        <f>"INV 646815"</f>
        <v>INV 646815</v>
      </c>
    </row>
    <row r="16" spans="1:10" x14ac:dyDescent="0.3">
      <c r="A16" t="str">
        <f>""</f>
        <v/>
      </c>
      <c r="F16" t="s">
        <v>10</v>
      </c>
      <c r="G16" t="str">
        <f>"653101"</f>
        <v>653101</v>
      </c>
      <c r="H16" t="str">
        <f>"SHREDDING SERVICES/PURCHASING"</f>
        <v>SHREDDING SERVICES/PURCHASING</v>
      </c>
      <c r="I16" s="2">
        <v>103</v>
      </c>
      <c r="J16" t="str">
        <f>"SHREDDING SERVICES/PURCHASING"</f>
        <v>SHREDDING SERVICES/PURCHASING</v>
      </c>
    </row>
    <row r="17" spans="1:10" x14ac:dyDescent="0.3">
      <c r="A17" t="str">
        <f>""</f>
        <v/>
      </c>
      <c r="F17" t="s">
        <v>10</v>
      </c>
      <c r="G17" t="str">
        <f>"653111"</f>
        <v>653111</v>
      </c>
      <c r="H17" t="str">
        <f>"INV 653111"</f>
        <v>INV 653111</v>
      </c>
      <c r="I17" s="2">
        <v>103</v>
      </c>
      <c r="J17" t="str">
        <f>"INV 653111"</f>
        <v>INV 653111</v>
      </c>
    </row>
    <row r="18" spans="1:10" x14ac:dyDescent="0.3">
      <c r="A18" t="str">
        <f>""</f>
        <v/>
      </c>
      <c r="G18" t="str">
        <f>""</f>
        <v/>
      </c>
      <c r="H18" t="str">
        <f>""</f>
        <v/>
      </c>
      <c r="J18" t="str">
        <f>"INV 653111"</f>
        <v>INV 653111</v>
      </c>
    </row>
    <row r="19" spans="1:10" x14ac:dyDescent="0.3">
      <c r="A19" t="str">
        <f>"ALINE"</f>
        <v>ALINE</v>
      </c>
      <c r="B19" t="s">
        <v>14</v>
      </c>
      <c r="C19">
        <v>70701</v>
      </c>
      <c r="D19" s="2">
        <v>161.72</v>
      </c>
      <c r="E19" s="1">
        <v>42898</v>
      </c>
      <c r="F19" t="s">
        <v>10</v>
      </c>
      <c r="G19" t="str">
        <f>"4756281"</f>
        <v>4756281</v>
      </c>
      <c r="H19" t="str">
        <f>"CUST ID 16500 PCT#4"</f>
        <v>CUST ID 16500 PCT#4</v>
      </c>
      <c r="I19" s="2">
        <v>161.72</v>
      </c>
      <c r="J19" t="str">
        <f>"CUST ID 16500 PCT#4"</f>
        <v>CUST ID 16500 PCT#4</v>
      </c>
    </row>
    <row r="20" spans="1:10" x14ac:dyDescent="0.3">
      <c r="A20" t="str">
        <f>"002048"</f>
        <v>002048</v>
      </c>
      <c r="B20" t="s">
        <v>15</v>
      </c>
      <c r="C20">
        <v>70702</v>
      </c>
      <c r="D20" s="2">
        <v>853.83</v>
      </c>
      <c r="E20" s="1">
        <v>42898</v>
      </c>
      <c r="F20" t="s">
        <v>10</v>
      </c>
      <c r="G20" t="str">
        <f>"201706062672"</f>
        <v>201706062672</v>
      </c>
      <c r="H20" t="str">
        <f>"HAULING EXPENSE/PCT #4"</f>
        <v>HAULING EXPENSE/PCT #4</v>
      </c>
      <c r="I20" s="2">
        <v>853.83</v>
      </c>
      <c r="J20" t="str">
        <f>"HAULING EXPENSE/PCT #4"</f>
        <v>HAULING EXPENSE/PCT #4</v>
      </c>
    </row>
    <row r="21" spans="1:10" x14ac:dyDescent="0.3">
      <c r="A21" t="str">
        <f>"002048"</f>
        <v>002048</v>
      </c>
      <c r="B21" t="s">
        <v>15</v>
      </c>
      <c r="C21">
        <v>71113</v>
      </c>
      <c r="D21" s="2">
        <v>3906.06</v>
      </c>
      <c r="E21" s="1">
        <v>42912</v>
      </c>
      <c r="F21" t="s">
        <v>10</v>
      </c>
      <c r="G21" t="str">
        <f>"201706203166"</f>
        <v>201706203166</v>
      </c>
      <c r="H21" t="str">
        <f>"CUST#1574/BASE/PCT#4"</f>
        <v>CUST#1574/BASE/PCT#4</v>
      </c>
      <c r="I21" s="2">
        <v>3906.06</v>
      </c>
      <c r="J21" t="str">
        <f>"CUST#1574/BASE/PCT#4"</f>
        <v>CUST#1574/BASE/PCT#4</v>
      </c>
    </row>
    <row r="22" spans="1:10" x14ac:dyDescent="0.3">
      <c r="A22" t="str">
        <f>"AAA"</f>
        <v>AAA</v>
      </c>
      <c r="B22" t="s">
        <v>16</v>
      </c>
      <c r="C22">
        <v>70703</v>
      </c>
      <c r="D22" s="2">
        <v>2595.5</v>
      </c>
      <c r="E22" s="1">
        <v>42898</v>
      </c>
      <c r="F22" t="s">
        <v>10</v>
      </c>
      <c r="G22" t="str">
        <f>"291403"</f>
        <v>291403</v>
      </c>
      <c r="H22" t="str">
        <f>"ANNUAL MAINTENANCE - P3"</f>
        <v>ANNUAL MAINTENANCE - P3</v>
      </c>
      <c r="I22" s="2">
        <v>392</v>
      </c>
      <c r="J22" t="str">
        <f>"ANNUAL MAINTENANCE - P3"</f>
        <v>ANNUAL MAINTENANCE - P3</v>
      </c>
    </row>
    <row r="23" spans="1:10" x14ac:dyDescent="0.3">
      <c r="A23" t="str">
        <f>""</f>
        <v/>
      </c>
      <c r="F23" t="s">
        <v>10</v>
      </c>
      <c r="G23" t="str">
        <f>"INV281895A"</f>
        <v>INV281895A</v>
      </c>
      <c r="H23" t="str">
        <f>"ANNUAL LIFE SAFETY INSPEC"</f>
        <v>ANNUAL LIFE SAFETY INSPEC</v>
      </c>
      <c r="I23" s="2">
        <v>2203.5</v>
      </c>
      <c r="J23" t="str">
        <f>"ANNUAL LIFE SAFETY INSPEC"</f>
        <v>ANNUAL LIFE SAFETY INSPEC</v>
      </c>
    </row>
    <row r="24" spans="1:10" x14ac:dyDescent="0.3">
      <c r="A24" t="str">
        <f>"003121"</f>
        <v>003121</v>
      </c>
      <c r="B24" t="s">
        <v>17</v>
      </c>
      <c r="C24">
        <v>70704</v>
      </c>
      <c r="D24" s="2">
        <v>225</v>
      </c>
      <c r="E24" s="1">
        <v>42898</v>
      </c>
      <c r="F24" t="s">
        <v>10</v>
      </c>
      <c r="G24" t="str">
        <f>"201706052598"</f>
        <v>201706052598</v>
      </c>
      <c r="H24" t="str">
        <f>"REFUND-DEVELOPMENT PERMIT FEE"</f>
        <v>REFUND-DEVELOPMENT PERMIT FEE</v>
      </c>
      <c r="I24" s="2">
        <v>225</v>
      </c>
      <c r="J24" t="str">
        <f>"REFUND-DEVELOPMENT PERMIT FEE"</f>
        <v>REFUND-DEVELOPMENT PERMIT FEE</v>
      </c>
    </row>
    <row r="25" spans="1:10" x14ac:dyDescent="0.3">
      <c r="A25" t="str">
        <f>"004688"</f>
        <v>004688</v>
      </c>
      <c r="B25" t="s">
        <v>18</v>
      </c>
      <c r="C25">
        <v>70705</v>
      </c>
      <c r="D25" s="2">
        <v>19.79</v>
      </c>
      <c r="E25" s="1">
        <v>42898</v>
      </c>
      <c r="F25" t="s">
        <v>10</v>
      </c>
      <c r="G25" t="str">
        <f>"201706022552"</f>
        <v>201706022552</v>
      </c>
      <c r="H25" t="str">
        <f>"PLANNER REFILL/EXT OFFICE"</f>
        <v>PLANNER REFILL/EXT OFFICE</v>
      </c>
      <c r="I25" s="2">
        <v>19.79</v>
      </c>
      <c r="J25" t="str">
        <f>"PLANNER REFILL/EXT OFFICE"</f>
        <v>PLANNER REFILL/EXT OFFICE</v>
      </c>
    </row>
    <row r="26" spans="1:10" x14ac:dyDescent="0.3">
      <c r="A26" t="str">
        <f>"000954"</f>
        <v>000954</v>
      </c>
      <c r="B26" t="s">
        <v>19</v>
      </c>
      <c r="C26">
        <v>70706</v>
      </c>
      <c r="D26" s="2">
        <v>2920</v>
      </c>
      <c r="E26" s="1">
        <v>42898</v>
      </c>
      <c r="F26" t="s">
        <v>10</v>
      </c>
      <c r="G26" t="str">
        <f>"201706072902"</f>
        <v>201706072902</v>
      </c>
      <c r="H26" t="str">
        <f>"14-16404"</f>
        <v>14-16404</v>
      </c>
      <c r="I26" s="2">
        <v>307.5</v>
      </c>
      <c r="J26" t="str">
        <f>"14-16404"</f>
        <v>14-16404</v>
      </c>
    </row>
    <row r="27" spans="1:10" x14ac:dyDescent="0.3">
      <c r="A27" t="str">
        <f>""</f>
        <v/>
      </c>
      <c r="F27" t="s">
        <v>10</v>
      </c>
      <c r="G27" t="str">
        <f>"201706072903"</f>
        <v>201706072903</v>
      </c>
      <c r="H27" t="str">
        <f>"16-17713"</f>
        <v>16-17713</v>
      </c>
      <c r="I27" s="2">
        <v>167.5</v>
      </c>
      <c r="J27" t="str">
        <f>"16-17713"</f>
        <v>16-17713</v>
      </c>
    </row>
    <row r="28" spans="1:10" x14ac:dyDescent="0.3">
      <c r="A28" t="str">
        <f>""</f>
        <v/>
      </c>
      <c r="F28" t="s">
        <v>10</v>
      </c>
      <c r="G28" t="str">
        <f>"201706072904"</f>
        <v>201706072904</v>
      </c>
      <c r="H28" t="str">
        <f>"16-18062"</f>
        <v>16-18062</v>
      </c>
      <c r="I28" s="2">
        <v>130</v>
      </c>
      <c r="J28" t="str">
        <f>"16-18062"</f>
        <v>16-18062</v>
      </c>
    </row>
    <row r="29" spans="1:10" x14ac:dyDescent="0.3">
      <c r="A29" t="str">
        <f>""</f>
        <v/>
      </c>
      <c r="F29" t="s">
        <v>10</v>
      </c>
      <c r="G29" t="str">
        <f>"201706072905"</f>
        <v>201706072905</v>
      </c>
      <c r="H29" t="str">
        <f>"16-17913"</f>
        <v>16-17913</v>
      </c>
      <c r="I29" s="2">
        <v>160</v>
      </c>
      <c r="J29" t="str">
        <f>"16-17913"</f>
        <v>16-17913</v>
      </c>
    </row>
    <row r="30" spans="1:10" x14ac:dyDescent="0.3">
      <c r="A30" t="str">
        <f>""</f>
        <v/>
      </c>
      <c r="F30" t="s">
        <v>10</v>
      </c>
      <c r="G30" t="str">
        <f>"201706072906"</f>
        <v>201706072906</v>
      </c>
      <c r="H30" t="str">
        <f>"16-17760"</f>
        <v>16-17760</v>
      </c>
      <c r="I30" s="2">
        <v>437.5</v>
      </c>
      <c r="J30" t="str">
        <f>"16-17760"</f>
        <v>16-17760</v>
      </c>
    </row>
    <row r="31" spans="1:10" x14ac:dyDescent="0.3">
      <c r="A31" t="str">
        <f>""</f>
        <v/>
      </c>
      <c r="F31" t="s">
        <v>10</v>
      </c>
      <c r="G31" t="str">
        <f>"201706072907"</f>
        <v>201706072907</v>
      </c>
      <c r="H31" t="str">
        <f>"16-17785"</f>
        <v>16-17785</v>
      </c>
      <c r="I31" s="2">
        <v>685</v>
      </c>
      <c r="J31" t="str">
        <f>"16-17785"</f>
        <v>16-17785</v>
      </c>
    </row>
    <row r="32" spans="1:10" x14ac:dyDescent="0.3">
      <c r="A32" t="str">
        <f>""</f>
        <v/>
      </c>
      <c r="F32" t="s">
        <v>10</v>
      </c>
      <c r="G32" t="str">
        <f>"201706072908"</f>
        <v>201706072908</v>
      </c>
      <c r="H32" t="str">
        <f>"16-17709"</f>
        <v>16-17709</v>
      </c>
      <c r="I32" s="2">
        <v>497.5</v>
      </c>
      <c r="J32" t="str">
        <f>"16-17709"</f>
        <v>16-17709</v>
      </c>
    </row>
    <row r="33" spans="1:10" x14ac:dyDescent="0.3">
      <c r="A33" t="str">
        <f>""</f>
        <v/>
      </c>
      <c r="F33" t="s">
        <v>10</v>
      </c>
      <c r="G33" t="str">
        <f>"201706072909"</f>
        <v>201706072909</v>
      </c>
      <c r="H33" t="str">
        <f>"14-16907"</f>
        <v>14-16907</v>
      </c>
      <c r="I33" s="2">
        <v>535</v>
      </c>
      <c r="J33" t="str">
        <f>"14-16907"</f>
        <v>14-16907</v>
      </c>
    </row>
    <row r="34" spans="1:10" x14ac:dyDescent="0.3">
      <c r="A34" t="str">
        <f>"003117"</f>
        <v>003117</v>
      </c>
      <c r="B34" t="s">
        <v>20</v>
      </c>
      <c r="C34">
        <v>70707</v>
      </c>
      <c r="D34" s="2">
        <v>476.2</v>
      </c>
      <c r="E34" s="1">
        <v>42898</v>
      </c>
      <c r="F34" t="s">
        <v>10</v>
      </c>
      <c r="G34" t="str">
        <f>"201706022567"</f>
        <v>201706022567</v>
      </c>
      <c r="H34" t="str">
        <f>"REMIBURSEMENT FOR EXPENSES"</f>
        <v>REMIBURSEMENT FOR EXPENSES</v>
      </c>
      <c r="I34" s="2">
        <v>341.2</v>
      </c>
      <c r="J34" t="str">
        <f>"REMIBURSEMENT FOR EXPENSES"</f>
        <v>REMIBURSEMENT FOR EXPENSES</v>
      </c>
    </row>
    <row r="35" spans="1:10" x14ac:dyDescent="0.3">
      <c r="A35" t="str">
        <f>""</f>
        <v/>
      </c>
      <c r="F35" t="s">
        <v>10</v>
      </c>
      <c r="G35" t="str">
        <f>"201706072928"</f>
        <v>201706072928</v>
      </c>
      <c r="H35" t="str">
        <f>"TRAVEL ADV REQUEST FORM"</f>
        <v>TRAVEL ADV REQUEST FORM</v>
      </c>
      <c r="I35" s="2">
        <v>135</v>
      </c>
      <c r="J35" t="str">
        <f>"TRAVEL ADV REQUEST FORM"</f>
        <v>TRAVEL ADV REQUEST FORM</v>
      </c>
    </row>
    <row r="36" spans="1:10" x14ac:dyDescent="0.3">
      <c r="A36" t="str">
        <f>"T6115"</f>
        <v>T6115</v>
      </c>
      <c r="B36" t="s">
        <v>21</v>
      </c>
      <c r="C36">
        <v>70708</v>
      </c>
      <c r="D36" s="2">
        <v>227</v>
      </c>
      <c r="E36" s="1">
        <v>42898</v>
      </c>
      <c r="F36" t="s">
        <v>10</v>
      </c>
      <c r="G36" t="str">
        <f>"197134"</f>
        <v>197134</v>
      </c>
      <c r="H36" t="str">
        <f>"INV 197134/UNIT 0124"</f>
        <v>INV 197134/UNIT 0124</v>
      </c>
      <c r="I36" s="2">
        <v>227</v>
      </c>
      <c r="J36" t="str">
        <f>"INV 197134/UNIT 0124"</f>
        <v>INV 197134/UNIT 0124</v>
      </c>
    </row>
    <row r="37" spans="1:10" x14ac:dyDescent="0.3">
      <c r="A37" t="str">
        <f>"000238"</f>
        <v>000238</v>
      </c>
      <c r="B37" t="s">
        <v>22</v>
      </c>
      <c r="C37">
        <v>71114</v>
      </c>
      <c r="D37" s="2">
        <v>4000</v>
      </c>
      <c r="E37" s="1">
        <v>42912</v>
      </c>
      <c r="F37" t="s">
        <v>10</v>
      </c>
      <c r="G37" t="str">
        <f>"201706133050"</f>
        <v>201706133050</v>
      </c>
      <c r="H37" t="str">
        <f>"ADVOCACY OUTREACH AWARD"</f>
        <v>ADVOCACY OUTREACH AWARD</v>
      </c>
      <c r="I37" s="2">
        <v>4000</v>
      </c>
      <c r="J37" t="str">
        <f>"ADVOCACY OUTREACH AWARD"</f>
        <v>ADVOCACY OUTREACH AWARD</v>
      </c>
    </row>
    <row r="38" spans="1:10" x14ac:dyDescent="0.3">
      <c r="A38" t="str">
        <f>"AG"</f>
        <v>AG</v>
      </c>
      <c r="B38" t="s">
        <v>23</v>
      </c>
      <c r="C38">
        <v>71115</v>
      </c>
      <c r="D38" s="2">
        <v>7372.58</v>
      </c>
      <c r="E38" s="1">
        <v>42912</v>
      </c>
      <c r="F38" t="s">
        <v>10</v>
      </c>
      <c r="G38" t="str">
        <f>"201706153108"</f>
        <v>201706153108</v>
      </c>
      <c r="H38" t="str">
        <f>"ACCT#17295/PCT#3"</f>
        <v>ACCT#17295/PCT#3</v>
      </c>
      <c r="I38" s="2">
        <v>7372.58</v>
      </c>
      <c r="J38" t="str">
        <f>"ACCT#17295/PCT#3"</f>
        <v>ACCT#17295/PCT#3</v>
      </c>
    </row>
    <row r="39" spans="1:10" x14ac:dyDescent="0.3">
      <c r="A39" t="str">
        <f>"005096"</f>
        <v>005096</v>
      </c>
      <c r="B39" t="s">
        <v>24</v>
      </c>
      <c r="C39">
        <v>70709</v>
      </c>
      <c r="D39" s="2">
        <v>25</v>
      </c>
      <c r="E39" s="1">
        <v>42898</v>
      </c>
      <c r="F39" t="s">
        <v>10</v>
      </c>
      <c r="G39" t="str">
        <f>"201706052624"</f>
        <v>201706052624</v>
      </c>
      <c r="H39" t="str">
        <f>"FERAL HOGS"</f>
        <v>FERAL HOGS</v>
      </c>
      <c r="I39" s="2">
        <v>25</v>
      </c>
      <c r="J39" t="str">
        <f>"FERAL HOGS"</f>
        <v>FERAL HOGS</v>
      </c>
    </row>
    <row r="40" spans="1:10" x14ac:dyDescent="0.3">
      <c r="A40" t="str">
        <f>"NPP"</f>
        <v>NPP</v>
      </c>
      <c r="B40" t="s">
        <v>25</v>
      </c>
      <c r="C40">
        <v>70710</v>
      </c>
      <c r="D40" s="2">
        <v>400</v>
      </c>
      <c r="E40" s="1">
        <v>42898</v>
      </c>
      <c r="F40" t="s">
        <v>10</v>
      </c>
      <c r="G40" t="str">
        <f>"201706012526"</f>
        <v>201706012526</v>
      </c>
      <c r="H40" t="str">
        <f>"16 252"</f>
        <v>16 252</v>
      </c>
      <c r="I40" s="2">
        <v>400</v>
      </c>
      <c r="J40" t="str">
        <f>"16 252"</f>
        <v>16 252</v>
      </c>
    </row>
    <row r="41" spans="1:10" x14ac:dyDescent="0.3">
      <c r="A41" t="str">
        <f>"NPP"</f>
        <v>NPP</v>
      </c>
      <c r="B41" t="s">
        <v>25</v>
      </c>
      <c r="C41">
        <v>71116</v>
      </c>
      <c r="D41" s="2">
        <v>500</v>
      </c>
      <c r="E41" s="1">
        <v>42912</v>
      </c>
      <c r="F41" t="s">
        <v>10</v>
      </c>
      <c r="G41" t="str">
        <f>"201706143084"</f>
        <v>201706143084</v>
      </c>
      <c r="H41" t="str">
        <f>"02-0902-1"</f>
        <v>02-0902-1</v>
      </c>
      <c r="I41" s="2">
        <v>200</v>
      </c>
      <c r="J41" t="str">
        <f>"02-0902-1"</f>
        <v>02-0902-1</v>
      </c>
    </row>
    <row r="42" spans="1:10" x14ac:dyDescent="0.3">
      <c r="A42" t="str">
        <f>""</f>
        <v/>
      </c>
      <c r="F42" t="s">
        <v>10</v>
      </c>
      <c r="G42" t="str">
        <f>"201706143085"</f>
        <v>201706143085</v>
      </c>
      <c r="H42" t="str">
        <f>"C160029"</f>
        <v>C160029</v>
      </c>
      <c r="I42" s="2">
        <v>200</v>
      </c>
      <c r="J42" t="str">
        <f>"C160029"</f>
        <v>C160029</v>
      </c>
    </row>
    <row r="43" spans="1:10" x14ac:dyDescent="0.3">
      <c r="A43" t="str">
        <f>""</f>
        <v/>
      </c>
      <c r="F43" t="s">
        <v>10</v>
      </c>
      <c r="G43" t="str">
        <f>"201706143086"</f>
        <v>201706143086</v>
      </c>
      <c r="H43" t="str">
        <f>"401306-IM"</f>
        <v>401306-IM</v>
      </c>
      <c r="I43" s="2">
        <v>100</v>
      </c>
      <c r="J43" t="str">
        <f>"401306-IM"</f>
        <v>401306-IM</v>
      </c>
    </row>
    <row r="44" spans="1:10" x14ac:dyDescent="0.3">
      <c r="A44" t="str">
        <f>"005103"</f>
        <v>005103</v>
      </c>
      <c r="B44" t="s">
        <v>26</v>
      </c>
      <c r="C44">
        <v>70711</v>
      </c>
      <c r="D44" s="2">
        <v>43.83</v>
      </c>
      <c r="E44" s="1">
        <v>42898</v>
      </c>
      <c r="F44" t="s">
        <v>10</v>
      </c>
      <c r="G44" t="str">
        <f>"REIMBURSEMENT 5/9"</f>
        <v>REIMBURSEMENT 5/9</v>
      </c>
      <c r="H44" t="str">
        <f>"REIMBURSEMENT"</f>
        <v>REIMBURSEMENT</v>
      </c>
      <c r="I44" s="2">
        <v>43.83</v>
      </c>
      <c r="J44" t="str">
        <f>"REIMBURSEMENT"</f>
        <v>REIMBURSEMENT</v>
      </c>
    </row>
    <row r="45" spans="1:10" x14ac:dyDescent="0.3">
      <c r="A45" t="str">
        <f>"005089"</f>
        <v>005089</v>
      </c>
      <c r="B45" t="s">
        <v>27</v>
      </c>
      <c r="C45">
        <v>70712</v>
      </c>
      <c r="D45" s="2">
        <v>695</v>
      </c>
      <c r="E45" s="1">
        <v>42898</v>
      </c>
      <c r="F45" t="s">
        <v>10</v>
      </c>
      <c r="G45" t="str">
        <f>"201706022563"</f>
        <v>201706022563</v>
      </c>
      <c r="H45" t="str">
        <f>"#S17-103/SMITH  JW W."</f>
        <v>#S17-103/SMITH  JW W.</v>
      </c>
      <c r="I45" s="2">
        <v>695</v>
      </c>
      <c r="J45" t="str">
        <f>"#S17-103/SMITH  JW W."</f>
        <v>#S17-103/SMITH  JW W.</v>
      </c>
    </row>
    <row r="46" spans="1:10" x14ac:dyDescent="0.3">
      <c r="A46" t="str">
        <f>"005097"</f>
        <v>005097</v>
      </c>
      <c r="B46" t="s">
        <v>28</v>
      </c>
      <c r="C46">
        <v>70713</v>
      </c>
      <c r="D46" s="2">
        <v>105</v>
      </c>
      <c r="E46" s="1">
        <v>42898</v>
      </c>
      <c r="F46" t="s">
        <v>10</v>
      </c>
      <c r="G46" t="str">
        <f>"201706052625"</f>
        <v>201706052625</v>
      </c>
      <c r="H46" t="str">
        <f>"FERAL HOGS"</f>
        <v>FERAL HOGS</v>
      </c>
      <c r="I46" s="2">
        <v>105</v>
      </c>
      <c r="J46" t="str">
        <f>"FERAL HOGS"</f>
        <v>FERAL HOGS</v>
      </c>
    </row>
    <row r="47" spans="1:10" x14ac:dyDescent="0.3">
      <c r="A47" t="str">
        <f>"003437"</f>
        <v>003437</v>
      </c>
      <c r="B47" t="s">
        <v>29</v>
      </c>
      <c r="C47">
        <v>70714</v>
      </c>
      <c r="D47" s="2">
        <v>30</v>
      </c>
      <c r="E47" s="1">
        <v>42898</v>
      </c>
      <c r="F47" t="s">
        <v>10</v>
      </c>
      <c r="G47" t="str">
        <f>"201706072967"</f>
        <v>201706072967</v>
      </c>
      <c r="H47" t="str">
        <f>"FERAL HOGS"</f>
        <v>FERAL HOGS</v>
      </c>
      <c r="I47" s="2">
        <v>30</v>
      </c>
      <c r="J47" t="str">
        <f>"FERAL HOGS"</f>
        <v>FERAL HOGS</v>
      </c>
    </row>
    <row r="48" spans="1:10" x14ac:dyDescent="0.3">
      <c r="A48" t="str">
        <f>"004642"</f>
        <v>004642</v>
      </c>
      <c r="B48" t="s">
        <v>30</v>
      </c>
      <c r="C48">
        <v>71117</v>
      </c>
      <c r="D48" s="2">
        <v>340</v>
      </c>
      <c r="E48" s="1">
        <v>42912</v>
      </c>
      <c r="F48" t="s">
        <v>10</v>
      </c>
      <c r="G48" t="str">
        <f>"24713"</f>
        <v>24713</v>
      </c>
      <c r="H48" t="str">
        <f>"RENTAL MAY 29-JUN 25  2017"</f>
        <v>RENTAL MAY 29-JUN 25  2017</v>
      </c>
      <c r="I48" s="2">
        <v>340</v>
      </c>
      <c r="J48" t="str">
        <f>"RENTAL MAY 29-JUN 25  2017"</f>
        <v>RENTAL MAY 29-JUN 25  2017</v>
      </c>
    </row>
    <row r="49" spans="1:10" x14ac:dyDescent="0.3">
      <c r="A49" t="str">
        <f>"002599"</f>
        <v>002599</v>
      </c>
      <c r="B49" t="s">
        <v>31</v>
      </c>
      <c r="C49">
        <v>71118</v>
      </c>
      <c r="D49" s="2">
        <v>461.44</v>
      </c>
      <c r="E49" s="1">
        <v>42912</v>
      </c>
      <c r="F49" t="s">
        <v>10</v>
      </c>
      <c r="G49" t="str">
        <f>"00020450-1 &amp; 2"</f>
        <v>00020450-1 &amp; 2</v>
      </c>
      <c r="H49" t="str">
        <f>"CUST#100031/PCT#3"</f>
        <v>CUST#100031/PCT#3</v>
      </c>
      <c r="I49" s="2">
        <v>461.44</v>
      </c>
      <c r="J49" t="str">
        <f>"CUST#100031/PCT#3"</f>
        <v>CUST#100031/PCT#3</v>
      </c>
    </row>
    <row r="50" spans="1:10" x14ac:dyDescent="0.3">
      <c r="A50" t="str">
        <f>"T6702"</f>
        <v>T6702</v>
      </c>
      <c r="B50" t="s">
        <v>32</v>
      </c>
      <c r="C50">
        <v>70715</v>
      </c>
      <c r="D50" s="2">
        <v>32.9</v>
      </c>
      <c r="E50" s="1">
        <v>42898</v>
      </c>
      <c r="F50" t="s">
        <v>10</v>
      </c>
      <c r="G50" t="str">
        <f>"NOTARY STAMP-R.KIN"</f>
        <v>NOTARY STAMP-R.KIN</v>
      </c>
      <c r="H50" t="str">
        <f>"NOTARY STAMP"</f>
        <v>NOTARY STAMP</v>
      </c>
      <c r="I50" s="2">
        <v>32.9</v>
      </c>
      <c r="J50" t="str">
        <f>"NOTARY STAMP"</f>
        <v>NOTARY STAMP</v>
      </c>
    </row>
    <row r="51" spans="1:10" x14ac:dyDescent="0.3">
      <c r="A51" t="str">
        <f>""</f>
        <v/>
      </c>
      <c r="G51" t="str">
        <f>""</f>
        <v/>
      </c>
      <c r="H51" t="str">
        <f>""</f>
        <v/>
      </c>
      <c r="J51" t="str">
        <f>"SHIPPING"</f>
        <v>SHIPPING</v>
      </c>
    </row>
    <row r="52" spans="1:10" x14ac:dyDescent="0.3">
      <c r="A52" t="str">
        <f>"T6702"</f>
        <v>T6702</v>
      </c>
      <c r="B52" t="s">
        <v>32</v>
      </c>
      <c r="C52">
        <v>71119</v>
      </c>
      <c r="D52" s="2">
        <v>32.9</v>
      </c>
      <c r="E52" s="1">
        <v>42912</v>
      </c>
      <c r="F52" t="s">
        <v>10</v>
      </c>
      <c r="G52" t="str">
        <f>"TX222 NOTARY STAMP"</f>
        <v>TX222 NOTARY STAMP</v>
      </c>
      <c r="H52" t="str">
        <f>"NOTARY"</f>
        <v>NOTARY</v>
      </c>
      <c r="I52" s="2">
        <v>32.9</v>
      </c>
      <c r="J52" t="str">
        <f>"NOTARY"</f>
        <v>NOTARY</v>
      </c>
    </row>
    <row r="53" spans="1:10" x14ac:dyDescent="0.3">
      <c r="A53" t="str">
        <f>""</f>
        <v/>
      </c>
      <c r="G53" t="str">
        <f>""</f>
        <v/>
      </c>
      <c r="H53" t="str">
        <f>""</f>
        <v/>
      </c>
      <c r="J53" t="str">
        <f>"SHIPPING"</f>
        <v>SHIPPING</v>
      </c>
    </row>
    <row r="54" spans="1:10" x14ac:dyDescent="0.3">
      <c r="A54" t="str">
        <f>"003296"</f>
        <v>003296</v>
      </c>
      <c r="B54" t="s">
        <v>33</v>
      </c>
      <c r="C54">
        <v>71120</v>
      </c>
      <c r="D54" s="2">
        <v>2146.92</v>
      </c>
      <c r="E54" s="1">
        <v>42912</v>
      </c>
      <c r="F54" t="s">
        <v>10</v>
      </c>
      <c r="G54" t="str">
        <f>"S091255897"</f>
        <v>S091255897</v>
      </c>
      <c r="H54" t="str">
        <f>"ACCT#379865/PCT#2"</f>
        <v>ACCT#379865/PCT#2</v>
      </c>
      <c r="I54" s="2">
        <v>2146.92</v>
      </c>
      <c r="J54" t="str">
        <f>"ACCT#379865/PCT#2"</f>
        <v>ACCT#379865/PCT#2</v>
      </c>
    </row>
    <row r="55" spans="1:10" x14ac:dyDescent="0.3">
      <c r="A55" t="str">
        <f>"005085"</f>
        <v>005085</v>
      </c>
      <c r="B55" t="s">
        <v>34</v>
      </c>
      <c r="C55">
        <v>70716</v>
      </c>
      <c r="D55" s="2">
        <v>180</v>
      </c>
      <c r="E55" s="1">
        <v>42898</v>
      </c>
      <c r="F55" t="s">
        <v>10</v>
      </c>
      <c r="G55" t="str">
        <f>"LODGING-A.GONZALEZ"</f>
        <v>LODGING-A.GONZALEZ</v>
      </c>
      <c r="H55" t="str">
        <f>"LODGING"</f>
        <v>LODGING</v>
      </c>
      <c r="I55" s="2">
        <v>180</v>
      </c>
      <c r="J55" t="str">
        <f>"LODGING"</f>
        <v>LODGING</v>
      </c>
    </row>
    <row r="56" spans="1:10" x14ac:dyDescent="0.3">
      <c r="A56" t="str">
        <f>"002148"</f>
        <v>002148</v>
      </c>
      <c r="B56" t="s">
        <v>35</v>
      </c>
      <c r="C56">
        <v>70717</v>
      </c>
      <c r="D56" s="2">
        <v>351.92</v>
      </c>
      <c r="E56" s="1">
        <v>42898</v>
      </c>
      <c r="F56" t="s">
        <v>10</v>
      </c>
      <c r="G56" t="str">
        <f>"920196568"</f>
        <v>920196568</v>
      </c>
      <c r="H56" t="str">
        <f>"INV920196568 MEDICAL"</f>
        <v>INV920196568 MEDICAL</v>
      </c>
      <c r="I56" s="2">
        <v>239.97</v>
      </c>
      <c r="J56" t="str">
        <f>"INV920196568 MEDICAL"</f>
        <v>INV920196568 MEDICAL</v>
      </c>
    </row>
    <row r="57" spans="1:10" x14ac:dyDescent="0.3">
      <c r="A57" t="str">
        <f>""</f>
        <v/>
      </c>
      <c r="F57" t="s">
        <v>10</v>
      </c>
      <c r="G57" t="str">
        <f>"920637768"</f>
        <v>920637768</v>
      </c>
      <c r="H57" t="str">
        <f>"INV920637768 MEDICAL"</f>
        <v>INV920637768 MEDICAL</v>
      </c>
      <c r="I57" s="2">
        <v>111.95</v>
      </c>
      <c r="J57" t="str">
        <f>"INV920637768 MEDICAL"</f>
        <v>INV920637768 MEDICAL</v>
      </c>
    </row>
    <row r="58" spans="1:10" x14ac:dyDescent="0.3">
      <c r="A58" t="str">
        <f>"002148"</f>
        <v>002148</v>
      </c>
      <c r="B58" t="s">
        <v>35</v>
      </c>
      <c r="C58">
        <v>71121</v>
      </c>
      <c r="D58" s="2">
        <v>3173.26</v>
      </c>
      <c r="E58" s="1">
        <v>42912</v>
      </c>
      <c r="F58" t="s">
        <v>10</v>
      </c>
      <c r="G58" t="str">
        <f>"921075337"</f>
        <v>921075337</v>
      </c>
      <c r="H58" t="str">
        <f>"INV921075337 MEDICAL"</f>
        <v>INV921075337 MEDICAL</v>
      </c>
      <c r="I58" s="2">
        <v>413.06</v>
      </c>
      <c r="J58" t="str">
        <f>"INV921075337 MEDICAL"</f>
        <v>INV921075337 MEDICAL</v>
      </c>
    </row>
    <row r="59" spans="1:10" x14ac:dyDescent="0.3">
      <c r="A59" t="str">
        <f>""</f>
        <v/>
      </c>
      <c r="F59" t="s">
        <v>10</v>
      </c>
      <c r="G59" t="str">
        <f>"921197939"</f>
        <v>921197939</v>
      </c>
      <c r="H59" t="str">
        <f>"INVOICE 921197939 MEDS"</f>
        <v>INVOICE 921197939 MEDS</v>
      </c>
      <c r="I59" s="2">
        <v>2760.2</v>
      </c>
      <c r="J59" t="str">
        <f>"INVOICE 921197939 MEDS"</f>
        <v>INVOICE 921197939 MEDS</v>
      </c>
    </row>
    <row r="60" spans="1:10" x14ac:dyDescent="0.3">
      <c r="A60" t="str">
        <f>"T7520"</f>
        <v>T7520</v>
      </c>
      <c r="B60" t="s">
        <v>36</v>
      </c>
      <c r="C60">
        <v>70718</v>
      </c>
      <c r="D60" s="2">
        <v>8462.5</v>
      </c>
      <c r="E60" s="1">
        <v>42898</v>
      </c>
      <c r="F60" t="s">
        <v>10</v>
      </c>
      <c r="G60" t="str">
        <f>"201706012454"</f>
        <v>201706012454</v>
      </c>
      <c r="H60" t="str">
        <f>"55 211"</f>
        <v>55 211</v>
      </c>
      <c r="I60" s="2">
        <v>250</v>
      </c>
      <c r="J60" t="str">
        <f>"55 211"</f>
        <v>55 211</v>
      </c>
    </row>
    <row r="61" spans="1:10" x14ac:dyDescent="0.3">
      <c r="A61" t="str">
        <f>""</f>
        <v/>
      </c>
      <c r="F61" t="s">
        <v>10</v>
      </c>
      <c r="G61" t="str">
        <f>"201706012455"</f>
        <v>201706012455</v>
      </c>
      <c r="H61" t="str">
        <f>"20160630"</f>
        <v>20160630</v>
      </c>
      <c r="I61" s="2">
        <v>250</v>
      </c>
      <c r="J61" t="str">
        <f>"20160630"</f>
        <v>20160630</v>
      </c>
    </row>
    <row r="62" spans="1:10" x14ac:dyDescent="0.3">
      <c r="A62" t="str">
        <f>""</f>
        <v/>
      </c>
      <c r="F62" t="s">
        <v>10</v>
      </c>
      <c r="G62" t="str">
        <f>"201706012458"</f>
        <v>201706012458</v>
      </c>
      <c r="H62" t="str">
        <f>"411106-1"</f>
        <v>411106-1</v>
      </c>
      <c r="I62" s="2">
        <v>250</v>
      </c>
      <c r="J62" t="str">
        <f>"411106-1"</f>
        <v>411106-1</v>
      </c>
    </row>
    <row r="63" spans="1:10" x14ac:dyDescent="0.3">
      <c r="A63" t="str">
        <f>""</f>
        <v/>
      </c>
      <c r="F63" t="s">
        <v>10</v>
      </c>
      <c r="G63" t="str">
        <f>"201706012464"</f>
        <v>201706012464</v>
      </c>
      <c r="H63" t="str">
        <f>"02 05054"</f>
        <v>02 05054</v>
      </c>
      <c r="I63" s="2">
        <v>400</v>
      </c>
      <c r="J63" t="str">
        <f>"02 05054"</f>
        <v>02 05054</v>
      </c>
    </row>
    <row r="64" spans="1:10" x14ac:dyDescent="0.3">
      <c r="A64" t="str">
        <f>""</f>
        <v/>
      </c>
      <c r="F64" t="s">
        <v>10</v>
      </c>
      <c r="G64" t="str">
        <f>"201706012465"</f>
        <v>201706012465</v>
      </c>
      <c r="H64" t="str">
        <f>"CH20151205D"</f>
        <v>CH20151205D</v>
      </c>
      <c r="I64" s="2">
        <v>400</v>
      </c>
      <c r="J64" t="str">
        <f>"CH20151205D"</f>
        <v>CH20151205D</v>
      </c>
    </row>
    <row r="65" spans="1:10" x14ac:dyDescent="0.3">
      <c r="A65" t="str">
        <f>""</f>
        <v/>
      </c>
      <c r="F65" t="s">
        <v>10</v>
      </c>
      <c r="G65" t="str">
        <f>"201706012466"</f>
        <v>201706012466</v>
      </c>
      <c r="H65" t="str">
        <f>"C. HOOVER"</f>
        <v>C. HOOVER</v>
      </c>
      <c r="I65" s="2">
        <v>100</v>
      </c>
      <c r="J65" t="str">
        <f>"C. HOOVER"</f>
        <v>C. HOOVER</v>
      </c>
    </row>
    <row r="66" spans="1:10" x14ac:dyDescent="0.3">
      <c r="A66" t="str">
        <f>""</f>
        <v/>
      </c>
      <c r="F66" t="s">
        <v>10</v>
      </c>
      <c r="G66" t="str">
        <f>"201706012467"</f>
        <v>201706012467</v>
      </c>
      <c r="H66" t="str">
        <f>"423-4984"</f>
        <v>423-4984</v>
      </c>
      <c r="I66" s="2">
        <v>50</v>
      </c>
      <c r="J66" t="str">
        <f>"423-4984"</f>
        <v>423-4984</v>
      </c>
    </row>
    <row r="67" spans="1:10" x14ac:dyDescent="0.3">
      <c r="A67" t="str">
        <f>""</f>
        <v/>
      </c>
      <c r="F67" t="s">
        <v>10</v>
      </c>
      <c r="G67" t="str">
        <f>"201706012468"</f>
        <v>201706012468</v>
      </c>
      <c r="H67" t="str">
        <f>"CH2015215-E CH2015215-F CH2015"</f>
        <v>CH2015215-E CH2015215-F CH2015</v>
      </c>
      <c r="I67" s="2">
        <v>800</v>
      </c>
      <c r="J67" t="str">
        <f>"CH2015215-E CH2015215-F CH2015"</f>
        <v>CH2015215-E CH2015215-F CH2015</v>
      </c>
    </row>
    <row r="68" spans="1:10" x14ac:dyDescent="0.3">
      <c r="A68" t="str">
        <f>""</f>
        <v/>
      </c>
      <c r="F68" t="s">
        <v>10</v>
      </c>
      <c r="G68" t="str">
        <f>"201706012469"</f>
        <v>201706012469</v>
      </c>
      <c r="H68" t="str">
        <f>"423-4949"</f>
        <v>423-4949</v>
      </c>
      <c r="I68" s="2">
        <v>100</v>
      </c>
      <c r="J68" t="str">
        <f>"423-4949"</f>
        <v>423-4949</v>
      </c>
    </row>
    <row r="69" spans="1:10" x14ac:dyDescent="0.3">
      <c r="A69" t="str">
        <f>""</f>
        <v/>
      </c>
      <c r="F69" t="s">
        <v>10</v>
      </c>
      <c r="G69" t="str">
        <f>"201706012470"</f>
        <v>201706012470</v>
      </c>
      <c r="H69" t="str">
        <f>"CH20170217B"</f>
        <v>CH20170217B</v>
      </c>
      <c r="I69" s="2">
        <v>550</v>
      </c>
      <c r="J69" t="str">
        <f>"CH20170217B"</f>
        <v>CH20170217B</v>
      </c>
    </row>
    <row r="70" spans="1:10" x14ac:dyDescent="0.3">
      <c r="A70" t="str">
        <f>""</f>
        <v/>
      </c>
      <c r="F70" t="s">
        <v>10</v>
      </c>
      <c r="G70" t="str">
        <f>"201706012471"</f>
        <v>201706012471</v>
      </c>
      <c r="H70" t="str">
        <f>"CH20160402"</f>
        <v>CH20160402</v>
      </c>
      <c r="I70" s="2">
        <v>400</v>
      </c>
      <c r="J70" t="str">
        <f>"CH20160402"</f>
        <v>CH20160402</v>
      </c>
    </row>
    <row r="71" spans="1:10" x14ac:dyDescent="0.3">
      <c r="A71" t="str">
        <f>""</f>
        <v/>
      </c>
      <c r="F71" t="s">
        <v>10</v>
      </c>
      <c r="G71" t="str">
        <f>"201706072797"</f>
        <v>201706072797</v>
      </c>
      <c r="H71" t="str">
        <f>"408245-IM"</f>
        <v>408245-IM</v>
      </c>
      <c r="I71" s="2">
        <v>250</v>
      </c>
      <c r="J71" t="str">
        <f>"408245-IM"</f>
        <v>408245-IM</v>
      </c>
    </row>
    <row r="72" spans="1:10" x14ac:dyDescent="0.3">
      <c r="A72" t="str">
        <f>""</f>
        <v/>
      </c>
      <c r="F72" t="s">
        <v>10</v>
      </c>
      <c r="G72" t="str">
        <f>"201706072798"</f>
        <v>201706072798</v>
      </c>
      <c r="H72" t="str">
        <f>"1JP7216H"</f>
        <v>1JP7216H</v>
      </c>
      <c r="I72" s="2">
        <v>250</v>
      </c>
      <c r="J72" t="str">
        <f>"1JP7216H"</f>
        <v>1JP7216H</v>
      </c>
    </row>
    <row r="73" spans="1:10" x14ac:dyDescent="0.3">
      <c r="A73" t="str">
        <f>""</f>
        <v/>
      </c>
      <c r="F73" t="s">
        <v>10</v>
      </c>
      <c r="G73" t="str">
        <f>"201706072799"</f>
        <v>201706072799</v>
      </c>
      <c r="H73" t="str">
        <f>"CH-20170323"</f>
        <v>CH-20170323</v>
      </c>
      <c r="I73" s="2">
        <v>250</v>
      </c>
      <c r="J73" t="str">
        <f>"CH-20170323"</f>
        <v>CH-20170323</v>
      </c>
    </row>
    <row r="74" spans="1:10" x14ac:dyDescent="0.3">
      <c r="A74" t="str">
        <f>""</f>
        <v/>
      </c>
      <c r="F74" t="s">
        <v>10</v>
      </c>
      <c r="G74" t="str">
        <f>"201706072800"</f>
        <v>201706072800</v>
      </c>
      <c r="H74" t="str">
        <f>"404265-IM"</f>
        <v>404265-IM</v>
      </c>
      <c r="I74" s="2">
        <v>250</v>
      </c>
      <c r="J74" t="str">
        <f>"404265-IM"</f>
        <v>404265-IM</v>
      </c>
    </row>
    <row r="75" spans="1:10" x14ac:dyDescent="0.3">
      <c r="A75" t="str">
        <f>""</f>
        <v/>
      </c>
      <c r="F75" t="s">
        <v>10</v>
      </c>
      <c r="G75" t="str">
        <f>"201706072801"</f>
        <v>201706072801</v>
      </c>
      <c r="H75" t="str">
        <f>"CH-20170312-B"</f>
        <v>CH-20170312-B</v>
      </c>
      <c r="I75" s="2">
        <v>100</v>
      </c>
      <c r="J75" t="str">
        <f>"CH-20170312-B"</f>
        <v>CH-20170312-B</v>
      </c>
    </row>
    <row r="76" spans="1:10" x14ac:dyDescent="0.3">
      <c r="A76" t="str">
        <f>""</f>
        <v/>
      </c>
      <c r="F76" t="s">
        <v>10</v>
      </c>
      <c r="G76" t="str">
        <f>"201706072802"</f>
        <v>201706072802</v>
      </c>
      <c r="H76" t="str">
        <f>"402096-5M"</f>
        <v>402096-5M</v>
      </c>
      <c r="I76" s="2">
        <v>250</v>
      </c>
      <c r="J76" t="str">
        <f>"402096-5M"</f>
        <v>402096-5M</v>
      </c>
    </row>
    <row r="77" spans="1:10" x14ac:dyDescent="0.3">
      <c r="A77" t="str">
        <f>""</f>
        <v/>
      </c>
      <c r="F77" t="s">
        <v>10</v>
      </c>
      <c r="G77" t="str">
        <f>"201706072803"</f>
        <v>201706072803</v>
      </c>
      <c r="H77" t="str">
        <f>"02-0115-3"</f>
        <v>02-0115-3</v>
      </c>
      <c r="I77" s="2">
        <v>250</v>
      </c>
      <c r="J77" t="str">
        <f>"02-0115-3"</f>
        <v>02-0115-3</v>
      </c>
    </row>
    <row r="78" spans="1:10" x14ac:dyDescent="0.3">
      <c r="A78" t="str">
        <f>""</f>
        <v/>
      </c>
      <c r="F78" t="s">
        <v>10</v>
      </c>
      <c r="G78" t="str">
        <f>"201706072805"</f>
        <v>201706072805</v>
      </c>
      <c r="H78" t="str">
        <f>"16-17841"</f>
        <v>16-17841</v>
      </c>
      <c r="I78" s="2">
        <v>212.5</v>
      </c>
      <c r="J78" t="str">
        <f>"16-17841"</f>
        <v>16-17841</v>
      </c>
    </row>
    <row r="79" spans="1:10" x14ac:dyDescent="0.3">
      <c r="A79" t="str">
        <f>""</f>
        <v/>
      </c>
      <c r="F79" t="s">
        <v>10</v>
      </c>
      <c r="G79" t="str">
        <f>"201706072806"</f>
        <v>201706072806</v>
      </c>
      <c r="H79" t="str">
        <f>"17-18374"</f>
        <v>17-18374</v>
      </c>
      <c r="I79" s="2">
        <v>100</v>
      </c>
      <c r="J79" t="str">
        <f>"17-18374"</f>
        <v>17-18374</v>
      </c>
    </row>
    <row r="80" spans="1:10" x14ac:dyDescent="0.3">
      <c r="A80" t="str">
        <f>""</f>
        <v/>
      </c>
      <c r="F80" t="s">
        <v>10</v>
      </c>
      <c r="G80" t="str">
        <f>"201706072807"</f>
        <v>201706072807</v>
      </c>
      <c r="H80" t="str">
        <f>"J-3059"</f>
        <v>J-3059</v>
      </c>
      <c r="I80" s="2">
        <v>250</v>
      </c>
      <c r="J80" t="str">
        <f>"J-3059"</f>
        <v>J-3059</v>
      </c>
    </row>
    <row r="81" spans="1:10" x14ac:dyDescent="0.3">
      <c r="A81" t="str">
        <f>""</f>
        <v/>
      </c>
      <c r="F81" t="s">
        <v>10</v>
      </c>
      <c r="G81" t="str">
        <f>"201706072808"</f>
        <v>201706072808</v>
      </c>
      <c r="H81" t="str">
        <f>"16-17765"</f>
        <v>16-17765</v>
      </c>
      <c r="I81" s="2">
        <v>100</v>
      </c>
      <c r="J81" t="str">
        <f>"16-17765"</f>
        <v>16-17765</v>
      </c>
    </row>
    <row r="82" spans="1:10" x14ac:dyDescent="0.3">
      <c r="A82" t="str">
        <f>""</f>
        <v/>
      </c>
      <c r="F82" t="s">
        <v>10</v>
      </c>
      <c r="G82" t="str">
        <f>"201706072886"</f>
        <v>201706072886</v>
      </c>
      <c r="H82" t="str">
        <f>"54 537"</f>
        <v>54 537</v>
      </c>
      <c r="I82" s="2">
        <v>250</v>
      </c>
      <c r="J82" t="str">
        <f>"54 537"</f>
        <v>54 537</v>
      </c>
    </row>
    <row r="83" spans="1:10" x14ac:dyDescent="0.3">
      <c r="A83" t="str">
        <f>""</f>
        <v/>
      </c>
      <c r="F83" t="s">
        <v>10</v>
      </c>
      <c r="G83" t="str">
        <f>"201706072919"</f>
        <v>201706072919</v>
      </c>
      <c r="H83" t="str">
        <f>"16 155"</f>
        <v>16 155</v>
      </c>
      <c r="I83" s="2">
        <v>400</v>
      </c>
      <c r="J83" t="str">
        <f>"16 155"</f>
        <v>16 155</v>
      </c>
    </row>
    <row r="84" spans="1:10" x14ac:dyDescent="0.3">
      <c r="A84" t="str">
        <f>""</f>
        <v/>
      </c>
      <c r="F84" t="s">
        <v>10</v>
      </c>
      <c r="G84" t="str">
        <f>"201706072920"</f>
        <v>201706072920</v>
      </c>
      <c r="H84" t="str">
        <f>"AC-2016-1221"</f>
        <v>AC-2016-1221</v>
      </c>
      <c r="I84" s="2">
        <v>400</v>
      </c>
      <c r="J84" t="str">
        <f>"AC-2016-1221"</f>
        <v>AC-2016-1221</v>
      </c>
    </row>
    <row r="85" spans="1:10" x14ac:dyDescent="0.3">
      <c r="A85" t="str">
        <f>""</f>
        <v/>
      </c>
      <c r="F85" t="s">
        <v>10</v>
      </c>
      <c r="G85" t="str">
        <f>"201706072921"</f>
        <v>201706072921</v>
      </c>
      <c r="H85" t="str">
        <f>"C16-0116"</f>
        <v>C16-0116</v>
      </c>
      <c r="I85" s="2">
        <v>400</v>
      </c>
      <c r="J85" t="str">
        <f>"C16-0116"</f>
        <v>C16-0116</v>
      </c>
    </row>
    <row r="86" spans="1:10" x14ac:dyDescent="0.3">
      <c r="A86" t="str">
        <f>""</f>
        <v/>
      </c>
      <c r="F86" t="s">
        <v>10</v>
      </c>
      <c r="G86" t="str">
        <f>"201706072922"</f>
        <v>201706072922</v>
      </c>
      <c r="H86" t="str">
        <f>"CH-20170225"</f>
        <v>CH-20170225</v>
      </c>
      <c r="I86" s="2">
        <v>400</v>
      </c>
      <c r="J86" t="str">
        <f>"CH-20170225"</f>
        <v>CH-20170225</v>
      </c>
    </row>
    <row r="87" spans="1:10" x14ac:dyDescent="0.3">
      <c r="A87" t="str">
        <f>""</f>
        <v/>
      </c>
      <c r="F87" t="s">
        <v>10</v>
      </c>
      <c r="G87" t="str">
        <f>"201706072923"</f>
        <v>201706072923</v>
      </c>
      <c r="H87" t="str">
        <f>"CH-10160925"</f>
        <v>CH-10160925</v>
      </c>
      <c r="I87" s="2">
        <v>400</v>
      </c>
      <c r="J87" t="str">
        <f>"CH-10160925"</f>
        <v>CH-10160925</v>
      </c>
    </row>
    <row r="88" spans="1:10" x14ac:dyDescent="0.3">
      <c r="A88" t="str">
        <f>""</f>
        <v/>
      </c>
      <c r="F88" t="s">
        <v>10</v>
      </c>
      <c r="G88" t="str">
        <f>"201706072924"</f>
        <v>201706072924</v>
      </c>
      <c r="H88" t="str">
        <f>"16 103"</f>
        <v>16 103</v>
      </c>
      <c r="I88" s="2">
        <v>400</v>
      </c>
      <c r="J88" t="str">
        <f>"16 103"</f>
        <v>16 103</v>
      </c>
    </row>
    <row r="89" spans="1:10" x14ac:dyDescent="0.3">
      <c r="A89" t="str">
        <f>"T7520"</f>
        <v>T7520</v>
      </c>
      <c r="B89" t="s">
        <v>36</v>
      </c>
      <c r="C89">
        <v>71122</v>
      </c>
      <c r="D89" s="2">
        <v>650</v>
      </c>
      <c r="E89" s="1">
        <v>42912</v>
      </c>
      <c r="F89" t="s">
        <v>10</v>
      </c>
      <c r="G89" t="str">
        <f>"201706163116"</f>
        <v>201706163116</v>
      </c>
      <c r="H89" t="str">
        <f>"16 180"</f>
        <v>16 180</v>
      </c>
      <c r="I89" s="2">
        <v>400</v>
      </c>
      <c r="J89" t="str">
        <f>"16 180"</f>
        <v>16 180</v>
      </c>
    </row>
    <row r="90" spans="1:10" x14ac:dyDescent="0.3">
      <c r="A90" t="str">
        <f>""</f>
        <v/>
      </c>
      <c r="F90" t="s">
        <v>10</v>
      </c>
      <c r="G90" t="str">
        <f>"201706213181"</f>
        <v>201706213181</v>
      </c>
      <c r="H90" t="str">
        <f>"54 212"</f>
        <v>54 212</v>
      </c>
      <c r="I90" s="2">
        <v>250</v>
      </c>
      <c r="J90" t="str">
        <f>"54 212"</f>
        <v>54 212</v>
      </c>
    </row>
    <row r="91" spans="1:10" x14ac:dyDescent="0.3">
      <c r="A91" t="str">
        <f>"005023"</f>
        <v>005023</v>
      </c>
      <c r="B91" t="s">
        <v>37</v>
      </c>
      <c r="C91">
        <v>70719</v>
      </c>
      <c r="D91" s="2">
        <v>925</v>
      </c>
      <c r="E91" s="1">
        <v>42898</v>
      </c>
      <c r="F91" t="s">
        <v>10</v>
      </c>
      <c r="G91" t="str">
        <f>"201706072968"</f>
        <v>201706072968</v>
      </c>
      <c r="H91" t="str">
        <f>"FERAL HOGS"</f>
        <v>FERAL HOGS</v>
      </c>
      <c r="I91" s="2">
        <v>925</v>
      </c>
      <c r="J91" t="str">
        <f>"FERAL HOGS"</f>
        <v>FERAL HOGS</v>
      </c>
    </row>
    <row r="92" spans="1:10" x14ac:dyDescent="0.3">
      <c r="A92" t="str">
        <f>"T12714"</f>
        <v>T12714</v>
      </c>
      <c r="B92" t="s">
        <v>38</v>
      </c>
      <c r="C92">
        <v>71123</v>
      </c>
      <c r="D92" s="2">
        <v>92</v>
      </c>
      <c r="E92" s="1">
        <v>42912</v>
      </c>
      <c r="F92" t="s">
        <v>10</v>
      </c>
      <c r="G92" t="str">
        <f>"MEMBERSHIP FEE"</f>
        <v>MEMBERSHIP FEE</v>
      </c>
      <c r="H92" t="str">
        <f>"Mbrship Fee Rachel Platts"</f>
        <v>Mbrship Fee Rachel Platts</v>
      </c>
      <c r="I92" s="2">
        <v>92</v>
      </c>
      <c r="J92" t="str">
        <f>"Fee"</f>
        <v>Fee</v>
      </c>
    </row>
    <row r="93" spans="1:10" x14ac:dyDescent="0.3">
      <c r="A93" t="str">
        <f>"002661"</f>
        <v>002661</v>
      </c>
      <c r="B93" t="s">
        <v>39</v>
      </c>
      <c r="C93">
        <v>70720</v>
      </c>
      <c r="D93" s="2">
        <v>11.34</v>
      </c>
      <c r="E93" s="1">
        <v>42898</v>
      </c>
      <c r="F93" t="s">
        <v>10</v>
      </c>
      <c r="G93" t="str">
        <f>"1705-169920"</f>
        <v>1705-169920</v>
      </c>
      <c r="H93" t="str">
        <f>"ACCT# 3-3053 TRIMMER-2-CYC OIL"</f>
        <v>ACCT# 3-3053 TRIMMER-2-CYC OIL</v>
      </c>
      <c r="I93" s="2">
        <v>11.34</v>
      </c>
      <c r="J93" t="str">
        <f>"ACCT# 3-3053 TRIMMER-2-CYC OIL"</f>
        <v>ACCT# 3-3053 TRIMMER-2-CYC OIL</v>
      </c>
    </row>
    <row r="94" spans="1:10" x14ac:dyDescent="0.3">
      <c r="A94" t="str">
        <f>"004902"</f>
        <v>004902</v>
      </c>
      <c r="B94" t="s">
        <v>40</v>
      </c>
      <c r="C94">
        <v>70721</v>
      </c>
      <c r="D94" s="2">
        <v>480.43</v>
      </c>
      <c r="E94" s="1">
        <v>42898</v>
      </c>
      <c r="F94" t="s">
        <v>10</v>
      </c>
      <c r="G94" t="str">
        <f>"201706052603"</f>
        <v>201706052603</v>
      </c>
      <c r="H94" t="str">
        <f>"MILEAGE REIMBURSEMENT"</f>
        <v>MILEAGE REIMBURSEMENT</v>
      </c>
      <c r="I94" s="2">
        <v>480.43</v>
      </c>
      <c r="J94" t="str">
        <f>"MILEAGE REIMBURSEMENT"</f>
        <v>MILEAGE REIMBURSEMENT</v>
      </c>
    </row>
    <row r="95" spans="1:10" x14ac:dyDescent="0.3">
      <c r="A95" t="str">
        <f>"004902"</f>
        <v>004902</v>
      </c>
      <c r="B95" t="s">
        <v>40</v>
      </c>
      <c r="C95">
        <v>71124</v>
      </c>
      <c r="D95" s="2">
        <v>451.51</v>
      </c>
      <c r="E95" s="1">
        <v>42912</v>
      </c>
      <c r="F95" t="s">
        <v>10</v>
      </c>
      <c r="G95" t="str">
        <f>"201706153105"</f>
        <v>201706153105</v>
      </c>
      <c r="H95" t="str">
        <f>"REIMB-PER DIEM/LODGING"</f>
        <v>REIMB-PER DIEM/LODGING</v>
      </c>
      <c r="I95" s="2">
        <v>201.28</v>
      </c>
      <c r="J95" t="str">
        <f>"REIMB-PER DIEM/LODGING"</f>
        <v>REIMB-PER DIEM/LODGING</v>
      </c>
    </row>
    <row r="96" spans="1:10" x14ac:dyDescent="0.3">
      <c r="A96" t="str">
        <f>""</f>
        <v/>
      </c>
      <c r="F96" t="s">
        <v>10</v>
      </c>
      <c r="G96" t="str">
        <f>"201706153106"</f>
        <v>201706153106</v>
      </c>
      <c r="H96" t="str">
        <f>"REIMB-PER DIEM/LODGING"</f>
        <v>REIMB-PER DIEM/LODGING</v>
      </c>
      <c r="I96" s="2">
        <v>250.23</v>
      </c>
      <c r="J96" t="str">
        <f>"REIMB-PER DIEM/LODGING"</f>
        <v>REIMB-PER DIEM/LODGING</v>
      </c>
    </row>
    <row r="97" spans="1:10" x14ac:dyDescent="0.3">
      <c r="A97" t="str">
        <f>"AQUAB"</f>
        <v>AQUAB</v>
      </c>
      <c r="B97" t="s">
        <v>41</v>
      </c>
      <c r="C97">
        <v>70722</v>
      </c>
      <c r="D97" s="2">
        <v>949.81</v>
      </c>
      <c r="E97" s="1">
        <v>42898</v>
      </c>
      <c r="F97" t="s">
        <v>10</v>
      </c>
      <c r="G97" t="str">
        <f>"201706062780"</f>
        <v>201706062780</v>
      </c>
      <c r="H97" t="str">
        <f>"ACCT#012803/BASTROP CO JUDGE"</f>
        <v>ACCT#012803/BASTROP CO JUDGE</v>
      </c>
      <c r="I97" s="2">
        <v>24</v>
      </c>
      <c r="J97" t="str">
        <f>"ACCT#012803/BASTROP CO JUDGE"</f>
        <v>ACCT#012803/BASTROP CO JUDGE</v>
      </c>
    </row>
    <row r="98" spans="1:10" x14ac:dyDescent="0.3">
      <c r="A98" t="str">
        <f>""</f>
        <v/>
      </c>
      <c r="F98" t="s">
        <v>10</v>
      </c>
      <c r="G98" t="str">
        <f>"201706062781"</f>
        <v>201706062781</v>
      </c>
      <c r="H98" t="str">
        <f>"ACCT#010057/BASTROP CO AUDITOR"</f>
        <v>ACCT#010057/BASTROP CO AUDITOR</v>
      </c>
      <c r="I98" s="2">
        <v>37.5</v>
      </c>
      <c r="J98" t="str">
        <f>"ACCT#010057/BASTROP CO AUDITOR"</f>
        <v>ACCT#010057/BASTROP CO AUDITOR</v>
      </c>
    </row>
    <row r="99" spans="1:10" x14ac:dyDescent="0.3">
      <c r="A99" t="str">
        <f>""</f>
        <v/>
      </c>
      <c r="F99" t="s">
        <v>10</v>
      </c>
      <c r="G99" t="str">
        <f>"201706062782"</f>
        <v>201706062782</v>
      </c>
      <c r="H99" t="str">
        <f>"ACCT#014877/OEM"</f>
        <v>ACCT#014877/OEM</v>
      </c>
      <c r="I99" s="2">
        <v>70.58</v>
      </c>
      <c r="J99" t="str">
        <f>"ACCT#014877/OEM"</f>
        <v>ACCT#014877/OEM</v>
      </c>
    </row>
    <row r="100" spans="1:10" x14ac:dyDescent="0.3">
      <c r="A100" t="str">
        <f>""</f>
        <v/>
      </c>
      <c r="F100" t="s">
        <v>10</v>
      </c>
      <c r="G100" t="str">
        <f>"201706062783"</f>
        <v>201706062783</v>
      </c>
      <c r="H100" t="str">
        <f>"ACCT#010238/GENERAL SERVICES"</f>
        <v>ACCT#010238/GENERAL SERVICES</v>
      </c>
      <c r="I100" s="2">
        <v>117</v>
      </c>
      <c r="J100" t="str">
        <f>"ACCT#010238/GENERAL SERVICES"</f>
        <v>ACCT#010238/GENERAL SERVICES</v>
      </c>
    </row>
    <row r="101" spans="1:10" x14ac:dyDescent="0.3">
      <c r="A101" t="str">
        <f>""</f>
        <v/>
      </c>
      <c r="F101" t="s">
        <v>10</v>
      </c>
      <c r="G101" t="str">
        <f>"201706062784"</f>
        <v>201706062784</v>
      </c>
      <c r="H101" t="str">
        <f>"ACCT#010602/COMM OFFICE"</f>
        <v>ACCT#010602/COMM OFFICE</v>
      </c>
      <c r="I101" s="2">
        <v>31.5</v>
      </c>
      <c r="J101" t="str">
        <f>"ACCT#010602/COMM OFFICE"</f>
        <v>ACCT#010602/COMM OFFICE</v>
      </c>
    </row>
    <row r="102" spans="1:10" x14ac:dyDescent="0.3">
      <c r="A102" t="str">
        <f>""</f>
        <v/>
      </c>
      <c r="F102" t="s">
        <v>10</v>
      </c>
      <c r="G102" t="str">
        <f>"201706062786"</f>
        <v>201706062786</v>
      </c>
      <c r="H102" t="str">
        <f>"ACCT#013393/HR"</f>
        <v>ACCT#013393/HR</v>
      </c>
      <c r="I102" s="2">
        <v>134.46</v>
      </c>
      <c r="J102" t="str">
        <f>"ACCT#013393/HR"</f>
        <v>ACCT#013393/HR</v>
      </c>
    </row>
    <row r="103" spans="1:10" x14ac:dyDescent="0.3">
      <c r="A103" t="str">
        <f>""</f>
        <v/>
      </c>
      <c r="F103" t="s">
        <v>10</v>
      </c>
      <c r="G103" t="str">
        <f>"201706062787"</f>
        <v>201706062787</v>
      </c>
      <c r="H103" t="str">
        <f>"ACCT#011955/DISTRICT JUDGE"</f>
        <v>ACCT#011955/DISTRICT JUDGE</v>
      </c>
      <c r="I103" s="2">
        <v>57</v>
      </c>
      <c r="J103" t="str">
        <f>"ACCT#011955/DISTRICT JUDGE"</f>
        <v>ACCT#011955/DISTRICT JUDGE</v>
      </c>
    </row>
    <row r="104" spans="1:10" x14ac:dyDescent="0.3">
      <c r="A104" t="str">
        <f>""</f>
        <v/>
      </c>
      <c r="F104" t="s">
        <v>10</v>
      </c>
      <c r="G104" t="str">
        <f>"201706062788"</f>
        <v>201706062788</v>
      </c>
      <c r="H104" t="str">
        <f>"ACCT#012571/TREASURER"</f>
        <v>ACCT#012571/TREASURER</v>
      </c>
      <c r="I104" s="2">
        <v>24</v>
      </c>
      <c r="J104" t="str">
        <f>"ACCT#012571/TREASURER"</f>
        <v>ACCT#012571/TREASURER</v>
      </c>
    </row>
    <row r="105" spans="1:10" x14ac:dyDescent="0.3">
      <c r="A105" t="str">
        <f>""</f>
        <v/>
      </c>
      <c r="F105" t="s">
        <v>10</v>
      </c>
      <c r="G105" t="str">
        <f>"201706062789"</f>
        <v>201706062789</v>
      </c>
      <c r="H105" t="str">
        <f>"ACCT#012260/DISTRICT ATTORNEY"</f>
        <v>ACCT#012260/DISTRICT ATTORNEY</v>
      </c>
      <c r="I105" s="2">
        <v>82.5</v>
      </c>
      <c r="J105" t="str">
        <f>"ACCT#012260/DISTRICT ATTORNEY"</f>
        <v>ACCT#012260/DISTRICT ATTORNEY</v>
      </c>
    </row>
    <row r="106" spans="1:10" x14ac:dyDescent="0.3">
      <c r="A106" t="str">
        <f>""</f>
        <v/>
      </c>
      <c r="F106" t="s">
        <v>10</v>
      </c>
      <c r="G106" t="str">
        <f>"201706062790"</f>
        <v>201706062790</v>
      </c>
      <c r="H106" t="str">
        <f>"ACCT#012231/DIST JUDGE OFFICE"</f>
        <v>ACCT#012231/DIST JUDGE OFFICE</v>
      </c>
      <c r="I106" s="2">
        <v>10</v>
      </c>
      <c r="J106" t="str">
        <f>"ACCT#012231/DIST JUDGE OFFICE"</f>
        <v>ACCT#012231/DIST JUDGE OFFICE</v>
      </c>
    </row>
    <row r="107" spans="1:10" x14ac:dyDescent="0.3">
      <c r="A107" t="str">
        <f>""</f>
        <v/>
      </c>
      <c r="F107" t="s">
        <v>10</v>
      </c>
      <c r="G107" t="str">
        <f>"201706062791"</f>
        <v>201706062791</v>
      </c>
      <c r="H107" t="str">
        <f>"ACCT#010149/AG EXT"</f>
        <v>ACCT#010149/AG EXT</v>
      </c>
      <c r="I107" s="2">
        <v>74.180000000000007</v>
      </c>
      <c r="J107" t="str">
        <f>"ACCT#010149/AG EXT"</f>
        <v>ACCT#010149/AG EXT</v>
      </c>
    </row>
    <row r="108" spans="1:10" x14ac:dyDescent="0.3">
      <c r="A108" t="str">
        <f>""</f>
        <v/>
      </c>
      <c r="F108" t="s">
        <v>10</v>
      </c>
      <c r="G108" t="str">
        <f>"201706062792"</f>
        <v>201706062792</v>
      </c>
      <c r="H108" t="str">
        <f>"ACCT#014737/ANIMAL SERVICE"</f>
        <v>ACCT#014737/ANIMAL SERVICE</v>
      </c>
      <c r="I108" s="2">
        <v>120.07</v>
      </c>
      <c r="J108" t="str">
        <f>"ACCT#014737/ANIMAL SERVICE"</f>
        <v>ACCT#014737/ANIMAL SERVICE</v>
      </c>
    </row>
    <row r="109" spans="1:10" x14ac:dyDescent="0.3">
      <c r="A109" t="str">
        <f>""</f>
        <v/>
      </c>
      <c r="F109" t="s">
        <v>10</v>
      </c>
      <c r="G109" t="str">
        <f>"201706062793"</f>
        <v>201706062793</v>
      </c>
      <c r="H109" t="str">
        <f>"ACCT#015199/JP #1"</f>
        <v>ACCT#015199/JP #1</v>
      </c>
      <c r="I109" s="2">
        <v>19.34</v>
      </c>
      <c r="J109" t="str">
        <f>"ACCT#015199/JP #1"</f>
        <v>ACCT#015199/JP #1</v>
      </c>
    </row>
    <row r="110" spans="1:10" x14ac:dyDescent="0.3">
      <c r="A110" t="str">
        <f>""</f>
        <v/>
      </c>
      <c r="F110" t="s">
        <v>10</v>
      </c>
      <c r="G110" t="str">
        <f>"201706062794"</f>
        <v>201706062794</v>
      </c>
      <c r="H110" t="str">
        <f>"ACCT#011280/COUNTY CLERK"</f>
        <v>ACCT#011280/COUNTY CLERK</v>
      </c>
      <c r="I110" s="2">
        <v>46.5</v>
      </c>
      <c r="J110" t="str">
        <f>"ACCT#011280/COUNTY CLERK"</f>
        <v>ACCT#011280/COUNTY CLERK</v>
      </c>
    </row>
    <row r="111" spans="1:10" x14ac:dyDescent="0.3">
      <c r="A111" t="str">
        <f>""</f>
        <v/>
      </c>
      <c r="F111" t="s">
        <v>10</v>
      </c>
      <c r="G111" t="str">
        <f>"201706062795"</f>
        <v>201706062795</v>
      </c>
      <c r="H111" t="str">
        <f>"ACCT#010835/COMM PCT #1"</f>
        <v>ACCT#010835/COMM PCT #1</v>
      </c>
      <c r="I111" s="2">
        <v>44.68</v>
      </c>
      <c r="J111" t="str">
        <f>"ACCT#010835/COMM PCT #1"</f>
        <v>ACCT#010835/COMM PCT #1</v>
      </c>
    </row>
    <row r="112" spans="1:10" x14ac:dyDescent="0.3">
      <c r="A112" t="str">
        <f>""</f>
        <v/>
      </c>
      <c r="F112" t="s">
        <v>10</v>
      </c>
      <c r="G112" t="str">
        <f>"291827"</f>
        <v>291827</v>
      </c>
      <c r="H112" t="str">
        <f>"ACCT #9010111 CCAL"</f>
        <v>ACCT #9010111 CCAL</v>
      </c>
      <c r="I112" s="2">
        <v>13</v>
      </c>
      <c r="J112" t="str">
        <f>"ACCT #9010111 CCAL"</f>
        <v>ACCT #9010111 CCAL</v>
      </c>
    </row>
    <row r="113" spans="1:10" x14ac:dyDescent="0.3">
      <c r="A113" t="str">
        <f>""</f>
        <v/>
      </c>
      <c r="F113" t="s">
        <v>10</v>
      </c>
      <c r="G113" t="str">
        <f>"291853"</f>
        <v>291853</v>
      </c>
      <c r="H113" t="str">
        <f>"ACCT#010311 CNTY CRT @LAW"</f>
        <v>ACCT#010311 CNTY CRT @LAW</v>
      </c>
      <c r="I113" s="2">
        <v>43.5</v>
      </c>
      <c r="J113" t="str">
        <f>"ACCT#010311 CNTY CRT @LAW"</f>
        <v>ACCT#010311 CNTY CRT @LAW</v>
      </c>
    </row>
    <row r="114" spans="1:10" x14ac:dyDescent="0.3">
      <c r="A114" t="str">
        <f>"AQUAB"</f>
        <v>AQUAB</v>
      </c>
      <c r="B114" t="s">
        <v>41</v>
      </c>
      <c r="C114">
        <v>71125</v>
      </c>
      <c r="D114" s="2">
        <v>149.34</v>
      </c>
      <c r="E114" s="1">
        <v>42912</v>
      </c>
      <c r="F114" t="s">
        <v>10</v>
      </c>
      <c r="G114" t="str">
        <f>"201706133056"</f>
        <v>201706133056</v>
      </c>
      <c r="H114" t="str">
        <f>"ACCT#013789-INDIGENT HEALTH"</f>
        <v>ACCT#013789-INDIGENT HEALTH</v>
      </c>
      <c r="I114" s="2">
        <v>41.84</v>
      </c>
      <c r="J114" t="str">
        <f>"ACCT#013789-INDIGENT HEALTH"</f>
        <v>ACCT#013789-INDIGENT HEALTH</v>
      </c>
    </row>
    <row r="115" spans="1:10" x14ac:dyDescent="0.3">
      <c r="A115" t="str">
        <f>""</f>
        <v/>
      </c>
      <c r="F115" t="s">
        <v>10</v>
      </c>
      <c r="G115" t="str">
        <f>"201706203169"</f>
        <v>201706203169</v>
      </c>
      <c r="H115" t="str">
        <f>"#010311-5/31/17-CNTY CRT@LAW"</f>
        <v>#010311-5/31/17-CNTY CRT@LAW</v>
      </c>
      <c r="I115" s="2">
        <v>43.5</v>
      </c>
      <c r="J115" t="str">
        <f>"ACCT#010311-5/31/17"</f>
        <v>ACCT#010311-5/31/17</v>
      </c>
    </row>
    <row r="116" spans="1:10" x14ac:dyDescent="0.3">
      <c r="A116" t="str">
        <f>""</f>
        <v/>
      </c>
      <c r="F116" t="s">
        <v>10</v>
      </c>
      <c r="G116" t="str">
        <f>"201706203170"</f>
        <v>201706203170</v>
      </c>
      <c r="H116" t="str">
        <f>"#010111-5/31/2017 CCAL-BASTROP"</f>
        <v>#010111-5/31/2017 CCAL-BASTROP</v>
      </c>
      <c r="I116" s="2">
        <v>13</v>
      </c>
      <c r="J116" t="str">
        <f>"#010111-5/31/2017 CCAL-BASTROP"</f>
        <v>#010111-5/31/2017 CCAL-BASTROP</v>
      </c>
    </row>
    <row r="117" spans="1:10" x14ac:dyDescent="0.3">
      <c r="A117" t="str">
        <f>""</f>
        <v/>
      </c>
      <c r="F117" t="s">
        <v>10</v>
      </c>
      <c r="G117" t="str">
        <f>"201706203179"</f>
        <v>201706203179</v>
      </c>
      <c r="H117" t="str">
        <f>"CUST#011033/IT DEPT"</f>
        <v>CUST#011033/IT DEPT</v>
      </c>
      <c r="I117" s="2">
        <v>10.5</v>
      </c>
      <c r="J117" t="str">
        <f>"CUST#011033/IT DEPT"</f>
        <v>CUST#011033/IT DEPT</v>
      </c>
    </row>
    <row r="118" spans="1:10" x14ac:dyDescent="0.3">
      <c r="A118" t="str">
        <f>""</f>
        <v/>
      </c>
      <c r="F118" t="s">
        <v>10</v>
      </c>
      <c r="G118" t="str">
        <f>"201706213235"</f>
        <v>201706213235</v>
      </c>
      <c r="H118" t="str">
        <f>"CUST#015476-5/31/17 PURCHASING"</f>
        <v>CUST#015476-5/31/17 PURCHASING</v>
      </c>
      <c r="I118" s="2">
        <v>40.5</v>
      </c>
      <c r="J118" t="str">
        <f>"CUST#015476-5/31/17 PURCHASING"</f>
        <v>CUST#015476-5/31/17 PURCHASING</v>
      </c>
    </row>
    <row r="119" spans="1:10" x14ac:dyDescent="0.3">
      <c r="A119" t="str">
        <f>"AWS"</f>
        <v>AWS</v>
      </c>
      <c r="B119" t="s">
        <v>42</v>
      </c>
      <c r="C119">
        <v>0</v>
      </c>
      <c r="D119" s="2">
        <v>1453.51</v>
      </c>
      <c r="E119" s="1">
        <v>42893</v>
      </c>
      <c r="F119" t="s">
        <v>10</v>
      </c>
      <c r="G119" t="str">
        <f>"0102120801-060117"</f>
        <v>0102120801-060117</v>
      </c>
      <c r="H119" t="str">
        <f>"HWY 304"</f>
        <v>HWY 304</v>
      </c>
      <c r="I119" s="2">
        <v>471.65</v>
      </c>
      <c r="J119" t="str">
        <f>"HWY 304"</f>
        <v>HWY 304</v>
      </c>
    </row>
    <row r="120" spans="1:10" x14ac:dyDescent="0.3">
      <c r="A120" t="str">
        <f>""</f>
        <v/>
      </c>
      <c r="F120" t="s">
        <v>10</v>
      </c>
      <c r="G120" t="str">
        <f>"0201855301-060117"</f>
        <v>0201855301-060117</v>
      </c>
      <c r="H120" t="str">
        <f>"110 JENKINS RD"</f>
        <v>110 JENKINS RD</v>
      </c>
      <c r="I120" s="2">
        <v>31.08</v>
      </c>
      <c r="J120" t="str">
        <f>"110 JENKINS RD"</f>
        <v>110 JENKINS RD</v>
      </c>
    </row>
    <row r="121" spans="1:10" x14ac:dyDescent="0.3">
      <c r="A121" t="str">
        <f>""</f>
        <v/>
      </c>
      <c r="F121" t="s">
        <v>10</v>
      </c>
      <c r="G121" t="str">
        <f>"0201891401-060117"</f>
        <v>0201891401-060117</v>
      </c>
      <c r="H121" t="str">
        <f>"5540 fm 535"</f>
        <v>5540 fm 535</v>
      </c>
      <c r="I121" s="2">
        <v>31.86</v>
      </c>
      <c r="J121" t="str">
        <f>"5540 fm 535"</f>
        <v>5540 fm 535</v>
      </c>
    </row>
    <row r="122" spans="1:10" x14ac:dyDescent="0.3">
      <c r="A122" t="str">
        <f>""</f>
        <v/>
      </c>
      <c r="F122" t="s">
        <v>10</v>
      </c>
      <c r="G122" t="str">
        <f>"0400785803-060117"</f>
        <v>0400785803-060117</v>
      </c>
      <c r="H122" t="str">
        <f>"601 COOLWATER DR"</f>
        <v>601 COOLWATER DR</v>
      </c>
      <c r="I122" s="2">
        <v>388.23</v>
      </c>
      <c r="J122" t="str">
        <f>"601 COOLWATER DR"</f>
        <v>601 COOLWATER DR</v>
      </c>
    </row>
    <row r="123" spans="1:10" x14ac:dyDescent="0.3">
      <c r="A123" t="str">
        <f>""</f>
        <v/>
      </c>
      <c r="F123" t="s">
        <v>10</v>
      </c>
      <c r="G123" t="str">
        <f>"0401408501-060117"</f>
        <v>0401408501-060117</v>
      </c>
      <c r="H123" t="str">
        <f>"589 COOLWATER DR"</f>
        <v>589 COOLWATER DR</v>
      </c>
      <c r="I123" s="2">
        <v>496.9</v>
      </c>
      <c r="J123" t="str">
        <f>"589 COOLWATER DR"</f>
        <v>589 COOLWATER DR</v>
      </c>
    </row>
    <row r="124" spans="1:10" x14ac:dyDescent="0.3">
      <c r="A124" t="str">
        <f>""</f>
        <v/>
      </c>
      <c r="F124" t="s">
        <v>10</v>
      </c>
      <c r="G124" t="str">
        <f>"0800042801-060117"</f>
        <v>0800042801-060117</v>
      </c>
      <c r="H124" t="str">
        <f>"192 FOHN RD"</f>
        <v>192 FOHN RD</v>
      </c>
      <c r="I124" s="2">
        <v>33.79</v>
      </c>
      <c r="J124" t="str">
        <f>"192 FOHN RD"</f>
        <v>192 FOHN RD</v>
      </c>
    </row>
    <row r="125" spans="1:10" x14ac:dyDescent="0.3">
      <c r="A125" t="str">
        <f>"AWS"</f>
        <v>AWS</v>
      </c>
      <c r="B125" t="s">
        <v>42</v>
      </c>
      <c r="C125">
        <v>71126</v>
      </c>
      <c r="D125" s="2">
        <v>1373.5</v>
      </c>
      <c r="E125" s="1">
        <v>42912</v>
      </c>
      <c r="F125" t="s">
        <v>10</v>
      </c>
      <c r="G125" t="str">
        <f>"201706163131"</f>
        <v>201706163131</v>
      </c>
      <c r="H125" t="str">
        <f>"ACCT#7700010025/23 LOADS WATER"</f>
        <v>ACCT#7700010025/23 LOADS WATER</v>
      </c>
      <c r="I125" s="2">
        <v>235.75</v>
      </c>
      <c r="J125" t="str">
        <f>"ACCT#7700010025/23 LOADS WATER"</f>
        <v>ACCT#7700010025/23 LOADS WATER</v>
      </c>
    </row>
    <row r="126" spans="1:10" x14ac:dyDescent="0.3">
      <c r="A126" t="str">
        <f>""</f>
        <v/>
      </c>
      <c r="F126" t="s">
        <v>10</v>
      </c>
      <c r="G126" t="str">
        <f>"201706163133"</f>
        <v>201706163133</v>
      </c>
      <c r="H126" t="str">
        <f>"ACCT#7700010026/46 LOADS WATER"</f>
        <v>ACCT#7700010026/46 LOADS WATER</v>
      </c>
      <c r="I126" s="2">
        <v>471.5</v>
      </c>
      <c r="J126" t="str">
        <f>"ACCT#7700010026/46 LOADS WATER"</f>
        <v>ACCT#7700010026/46 LOADS WATER</v>
      </c>
    </row>
    <row r="127" spans="1:10" x14ac:dyDescent="0.3">
      <c r="A127" t="str">
        <f>""</f>
        <v/>
      </c>
      <c r="F127" t="s">
        <v>10</v>
      </c>
      <c r="G127" t="str">
        <f>"201706163136"</f>
        <v>201706163136</v>
      </c>
      <c r="H127" t="str">
        <f>"ACCT#7700010027/65 LOADS WATER"</f>
        <v>ACCT#7700010027/65 LOADS WATER</v>
      </c>
      <c r="I127" s="2">
        <v>666.25</v>
      </c>
      <c r="J127" t="str">
        <f>"ACCT#7700010027/65 LOADS WATER"</f>
        <v>ACCT#7700010027/65 LOADS WATER</v>
      </c>
    </row>
    <row r="128" spans="1:10" x14ac:dyDescent="0.3">
      <c r="A128" t="str">
        <f>"002029"</f>
        <v>002029</v>
      </c>
      <c r="B128" t="s">
        <v>43</v>
      </c>
      <c r="C128">
        <v>70723</v>
      </c>
      <c r="D128" s="2">
        <v>200</v>
      </c>
      <c r="E128" s="1">
        <v>42898</v>
      </c>
      <c r="F128" t="s">
        <v>10</v>
      </c>
      <c r="G128" t="str">
        <f>"TRAINING-A. GONZAL"</f>
        <v>TRAINING-A. GONZAL</v>
      </c>
      <c r="H128" t="str">
        <f>"PER DIEM"</f>
        <v>PER DIEM</v>
      </c>
      <c r="I128" s="2">
        <v>200</v>
      </c>
      <c r="J128" t="str">
        <f>"PER DIEM"</f>
        <v>PER DIEM</v>
      </c>
    </row>
    <row r="129" spans="1:10" x14ac:dyDescent="0.3">
      <c r="A129" t="str">
        <f>"003672"</f>
        <v>003672</v>
      </c>
      <c r="B129" t="s">
        <v>44</v>
      </c>
      <c r="C129">
        <v>70724</v>
      </c>
      <c r="D129" s="2">
        <v>44676</v>
      </c>
      <c r="E129" s="1">
        <v>42898</v>
      </c>
      <c r="F129" t="s">
        <v>10</v>
      </c>
      <c r="G129" t="str">
        <f>"14503"</f>
        <v>14503</v>
      </c>
      <c r="H129" t="str">
        <f>"14503"</f>
        <v>14503</v>
      </c>
      <c r="I129" s="2">
        <v>36276</v>
      </c>
      <c r="J129" t="str">
        <f>"14503"</f>
        <v>14503</v>
      </c>
    </row>
    <row r="130" spans="1:10" x14ac:dyDescent="0.3">
      <c r="A130" t="str">
        <f>""</f>
        <v/>
      </c>
      <c r="F130" t="s">
        <v>10</v>
      </c>
      <c r="G130" t="str">
        <f>"14505"</f>
        <v>14505</v>
      </c>
      <c r="H130" t="str">
        <f>"14505"</f>
        <v>14505</v>
      </c>
      <c r="I130" s="2">
        <v>8400</v>
      </c>
      <c r="J130" t="str">
        <f>"14505"</f>
        <v>14505</v>
      </c>
    </row>
    <row r="131" spans="1:10" x14ac:dyDescent="0.3">
      <c r="A131" t="str">
        <f>"T7386"</f>
        <v>T7386</v>
      </c>
      <c r="B131" t="s">
        <v>45</v>
      </c>
      <c r="C131">
        <v>70725</v>
      </c>
      <c r="D131" s="2">
        <v>4592.76</v>
      </c>
      <c r="E131" s="1">
        <v>42898</v>
      </c>
      <c r="F131" t="s">
        <v>10</v>
      </c>
      <c r="G131" t="str">
        <f>"201706022575"</f>
        <v>201706022575</v>
      </c>
      <c r="H131" t="str">
        <f>"ACCT#512-A490048-1933"</f>
        <v>ACCT#512-A490048-1933</v>
      </c>
      <c r="I131" s="2">
        <v>4006.84</v>
      </c>
      <c r="J131" t="str">
        <f>"ACCT#512-A490048-1933"</f>
        <v>ACCT#512-A490048-1933</v>
      </c>
    </row>
    <row r="132" spans="1:10" x14ac:dyDescent="0.3">
      <c r="A132" t="str">
        <f>""</f>
        <v/>
      </c>
      <c r="G132" t="str">
        <f>""</f>
        <v/>
      </c>
      <c r="H132" t="str">
        <f>""</f>
        <v/>
      </c>
      <c r="J132" t="str">
        <f>"ACCT#512-A490048-1933"</f>
        <v>ACCT#512-A490048-1933</v>
      </c>
    </row>
    <row r="133" spans="1:10" x14ac:dyDescent="0.3">
      <c r="A133" t="str">
        <f>""</f>
        <v/>
      </c>
      <c r="F133" t="s">
        <v>10</v>
      </c>
      <c r="G133" t="str">
        <f>"201706052607"</f>
        <v>201706052607</v>
      </c>
      <c r="H133" t="str">
        <f>"ACCT #512A49-00481933"</f>
        <v>ACCT #512A49-00481933</v>
      </c>
      <c r="I133" s="2">
        <v>258.89999999999998</v>
      </c>
      <c r="J133" t="str">
        <f>"ACCT #512A49-00481933"</f>
        <v>ACCT #512A49-00481933</v>
      </c>
    </row>
    <row r="134" spans="1:10" x14ac:dyDescent="0.3">
      <c r="A134" t="str">
        <f>""</f>
        <v/>
      </c>
      <c r="F134" t="s">
        <v>10</v>
      </c>
      <c r="G134" t="str">
        <f>"201706052608"</f>
        <v>201706052608</v>
      </c>
      <c r="H134" t="str">
        <f>"ACCT #512A49-00481933/PCT #3"</f>
        <v>ACCT #512A49-00481933/PCT #3</v>
      </c>
      <c r="I134" s="2">
        <v>187.18</v>
      </c>
      <c r="J134" t="str">
        <f>"ACCT #512A49-00481933/PCT #3"</f>
        <v>ACCT #512A49-00481933/PCT #3</v>
      </c>
    </row>
    <row r="135" spans="1:10" x14ac:dyDescent="0.3">
      <c r="A135" t="str">
        <f>""</f>
        <v/>
      </c>
      <c r="F135" t="s">
        <v>10</v>
      </c>
      <c r="G135" t="str">
        <f>"201706052610"</f>
        <v>201706052610</v>
      </c>
      <c r="H135" t="str">
        <f>"ACCT #512A49-00481933/PCT #4"</f>
        <v>ACCT #512A49-00481933/PCT #4</v>
      </c>
      <c r="I135" s="2">
        <v>139.84</v>
      </c>
      <c r="J135" t="str">
        <f>"ACCT #512A49-00481933/PCT #4"</f>
        <v>ACCT #512A49-00481933/PCT #4</v>
      </c>
    </row>
    <row r="136" spans="1:10" x14ac:dyDescent="0.3">
      <c r="A136" t="str">
        <f>"T7386"</f>
        <v>T7386</v>
      </c>
      <c r="B136" t="s">
        <v>45</v>
      </c>
      <c r="C136">
        <v>71127</v>
      </c>
      <c r="D136" s="2">
        <v>1785.73</v>
      </c>
      <c r="E136" s="1">
        <v>42912</v>
      </c>
      <c r="F136" t="s">
        <v>10</v>
      </c>
      <c r="G136" t="str">
        <f>"201706203161"</f>
        <v>201706203161</v>
      </c>
      <c r="H136" t="str">
        <f>"ACCT#512 303-1080 238 5"</f>
        <v>ACCT#512 303-1080 238 5</v>
      </c>
      <c r="I136" s="2">
        <v>1785.73</v>
      </c>
      <c r="J136" t="str">
        <f>"ACCT#512 303-1080 238 5"</f>
        <v>ACCT#512 303-1080 238 5</v>
      </c>
    </row>
    <row r="137" spans="1:10" x14ac:dyDescent="0.3">
      <c r="A137" t="str">
        <f>"AT&amp;TMO"</f>
        <v>AT&amp;TMO</v>
      </c>
      <c r="B137" t="s">
        <v>46</v>
      </c>
      <c r="C137">
        <v>71128</v>
      </c>
      <c r="D137" s="2">
        <v>1726.92</v>
      </c>
      <c r="E137" s="1">
        <v>42912</v>
      </c>
      <c r="F137" t="s">
        <v>10</v>
      </c>
      <c r="G137" t="str">
        <f>"201706213233"</f>
        <v>201706213233</v>
      </c>
      <c r="H137" t="str">
        <f>"ACCT #287263291654 / P4"</f>
        <v>ACCT #287263291654 / P4</v>
      </c>
      <c r="I137" s="2">
        <v>2.2000000000000002</v>
      </c>
      <c r="J137" t="str">
        <f>"ACCT #287263291654 / P4"</f>
        <v>ACCT #287263291654 / P4</v>
      </c>
    </row>
    <row r="138" spans="1:10" x14ac:dyDescent="0.3">
      <c r="A138" t="str">
        <f>""</f>
        <v/>
      </c>
      <c r="F138" t="s">
        <v>10</v>
      </c>
      <c r="G138" t="str">
        <f>"287263291654X05202"</f>
        <v>287263291654X05202</v>
      </c>
      <c r="H138" t="str">
        <f>"ACCT#287263291654/PCT#2"</f>
        <v>ACCT#287263291654/PCT#2</v>
      </c>
      <c r="I138" s="2">
        <v>4.4000000000000004</v>
      </c>
      <c r="J138" t="str">
        <f>"ACCT#287263291654/PCT#2"</f>
        <v>ACCT#287263291654/PCT#2</v>
      </c>
    </row>
    <row r="139" spans="1:10" x14ac:dyDescent="0.3">
      <c r="A139" t="str">
        <f>""</f>
        <v/>
      </c>
      <c r="F139" t="s">
        <v>10</v>
      </c>
      <c r="G139" t="str">
        <f>"287263291654X0520A"</f>
        <v>287263291654X0520A</v>
      </c>
      <c r="H139" t="str">
        <f>"ACCT#287263291654"</f>
        <v>ACCT#287263291654</v>
      </c>
      <c r="I139" s="2">
        <v>79.27</v>
      </c>
      <c r="J139" t="str">
        <f t="shared" ref="J139:J152" si="0">"ACCT#287263291654"</f>
        <v>ACCT#287263291654</v>
      </c>
    </row>
    <row r="140" spans="1:10" x14ac:dyDescent="0.3">
      <c r="A140" t="str">
        <f>""</f>
        <v/>
      </c>
      <c r="G140" t="str">
        <f>""</f>
        <v/>
      </c>
      <c r="H140" t="str">
        <f>""</f>
        <v/>
      </c>
      <c r="J140" t="str">
        <f t="shared" si="0"/>
        <v>ACCT#287263291654</v>
      </c>
    </row>
    <row r="141" spans="1:10" x14ac:dyDescent="0.3">
      <c r="A141" t="str">
        <f>""</f>
        <v/>
      </c>
      <c r="G141" t="str">
        <f>""</f>
        <v/>
      </c>
      <c r="H141" t="str">
        <f>""</f>
        <v/>
      </c>
      <c r="J141" t="str">
        <f t="shared" si="0"/>
        <v>ACCT#287263291654</v>
      </c>
    </row>
    <row r="142" spans="1:10" x14ac:dyDescent="0.3">
      <c r="A142" t="str">
        <f>""</f>
        <v/>
      </c>
      <c r="G142" t="str">
        <f>""</f>
        <v/>
      </c>
      <c r="H142" t="str">
        <f>""</f>
        <v/>
      </c>
      <c r="J142" t="str">
        <f t="shared" si="0"/>
        <v>ACCT#287263291654</v>
      </c>
    </row>
    <row r="143" spans="1:10" x14ac:dyDescent="0.3">
      <c r="A143" t="str">
        <f>""</f>
        <v/>
      </c>
      <c r="G143" t="str">
        <f>""</f>
        <v/>
      </c>
      <c r="H143" t="str">
        <f>""</f>
        <v/>
      </c>
      <c r="J143" t="str">
        <f t="shared" si="0"/>
        <v>ACCT#287263291654</v>
      </c>
    </row>
    <row r="144" spans="1:10" x14ac:dyDescent="0.3">
      <c r="A144" t="str">
        <f>""</f>
        <v/>
      </c>
      <c r="G144" t="str">
        <f>""</f>
        <v/>
      </c>
      <c r="H144" t="str">
        <f>""</f>
        <v/>
      </c>
      <c r="J144" t="str">
        <f t="shared" si="0"/>
        <v>ACCT#287263291654</v>
      </c>
    </row>
    <row r="145" spans="1:10" x14ac:dyDescent="0.3">
      <c r="A145" t="str">
        <f>""</f>
        <v/>
      </c>
      <c r="G145" t="str">
        <f>""</f>
        <v/>
      </c>
      <c r="H145" t="str">
        <f>""</f>
        <v/>
      </c>
      <c r="J145" t="str">
        <f t="shared" si="0"/>
        <v>ACCT#287263291654</v>
      </c>
    </row>
    <row r="146" spans="1:10" x14ac:dyDescent="0.3">
      <c r="A146" t="str">
        <f>""</f>
        <v/>
      </c>
      <c r="G146" t="str">
        <f>""</f>
        <v/>
      </c>
      <c r="H146" t="str">
        <f>""</f>
        <v/>
      </c>
      <c r="J146" t="str">
        <f t="shared" si="0"/>
        <v>ACCT#287263291654</v>
      </c>
    </row>
    <row r="147" spans="1:10" x14ac:dyDescent="0.3">
      <c r="A147" t="str">
        <f>""</f>
        <v/>
      </c>
      <c r="G147" t="str">
        <f>""</f>
        <v/>
      </c>
      <c r="H147" t="str">
        <f>""</f>
        <v/>
      </c>
      <c r="J147" t="str">
        <f t="shared" si="0"/>
        <v>ACCT#287263291654</v>
      </c>
    </row>
    <row r="148" spans="1:10" x14ac:dyDescent="0.3">
      <c r="A148" t="str">
        <f>""</f>
        <v/>
      </c>
      <c r="G148" t="str">
        <f>""</f>
        <v/>
      </c>
      <c r="H148" t="str">
        <f>""</f>
        <v/>
      </c>
      <c r="J148" t="str">
        <f t="shared" si="0"/>
        <v>ACCT#287263291654</v>
      </c>
    </row>
    <row r="149" spans="1:10" x14ac:dyDescent="0.3">
      <c r="A149" t="str">
        <f>""</f>
        <v/>
      </c>
      <c r="G149" t="str">
        <f>""</f>
        <v/>
      </c>
      <c r="H149" t="str">
        <f>""</f>
        <v/>
      </c>
      <c r="J149" t="str">
        <f t="shared" si="0"/>
        <v>ACCT#287263291654</v>
      </c>
    </row>
    <row r="150" spans="1:10" x14ac:dyDescent="0.3">
      <c r="A150" t="str">
        <f>""</f>
        <v/>
      </c>
      <c r="G150" t="str">
        <f>""</f>
        <v/>
      </c>
      <c r="H150" t="str">
        <f>""</f>
        <v/>
      </c>
      <c r="J150" t="str">
        <f t="shared" si="0"/>
        <v>ACCT#287263291654</v>
      </c>
    </row>
    <row r="151" spans="1:10" x14ac:dyDescent="0.3">
      <c r="A151" t="str">
        <f>""</f>
        <v/>
      </c>
      <c r="G151" t="str">
        <f>""</f>
        <v/>
      </c>
      <c r="H151" t="str">
        <f>""</f>
        <v/>
      </c>
      <c r="J151" t="str">
        <f t="shared" si="0"/>
        <v>ACCT#287263291654</v>
      </c>
    </row>
    <row r="152" spans="1:10" x14ac:dyDescent="0.3">
      <c r="A152" t="str">
        <f>""</f>
        <v/>
      </c>
      <c r="G152" t="str">
        <f>""</f>
        <v/>
      </c>
      <c r="H152" t="str">
        <f>""</f>
        <v/>
      </c>
      <c r="J152" t="str">
        <f t="shared" si="0"/>
        <v>ACCT#287263291654</v>
      </c>
    </row>
    <row r="153" spans="1:10" x14ac:dyDescent="0.3">
      <c r="A153" t="str">
        <f>""</f>
        <v/>
      </c>
      <c r="F153" t="s">
        <v>10</v>
      </c>
      <c r="G153" t="str">
        <f>"287263291654X0520B"</f>
        <v>287263291654X0520B</v>
      </c>
      <c r="H153" t="str">
        <f>"ACCT#287263291654/PLANNING"</f>
        <v>ACCT#287263291654/PLANNING</v>
      </c>
      <c r="I153" s="2">
        <v>2.2000000000000002</v>
      </c>
      <c r="J153" t="str">
        <f>"ACCT#287263291654/PLANNING"</f>
        <v>ACCT#287263291654/PLANNING</v>
      </c>
    </row>
    <row r="154" spans="1:10" x14ac:dyDescent="0.3">
      <c r="A154" t="str">
        <f>""</f>
        <v/>
      </c>
      <c r="F154" t="s">
        <v>10</v>
      </c>
      <c r="G154" t="str">
        <f>"287263291654X06-A"</f>
        <v>287263291654X06-A</v>
      </c>
      <c r="H154" t="str">
        <f>"ACCT#287263291654"</f>
        <v>ACCT#287263291654</v>
      </c>
      <c r="I154" s="2">
        <v>75.98</v>
      </c>
      <c r="J154" t="str">
        <f t="shared" ref="J154:J171" si="1">"ACCT#287263291654"</f>
        <v>ACCT#287263291654</v>
      </c>
    </row>
    <row r="155" spans="1:10" x14ac:dyDescent="0.3">
      <c r="A155" t="str">
        <f>""</f>
        <v/>
      </c>
      <c r="F155" t="s">
        <v>10</v>
      </c>
      <c r="G155" t="str">
        <f>"287263291654X06-B"</f>
        <v>287263291654X06-B</v>
      </c>
      <c r="H155" t="str">
        <f>"ACCT#287263291654"</f>
        <v>ACCT#287263291654</v>
      </c>
      <c r="I155" s="2">
        <v>35.99</v>
      </c>
      <c r="J155" t="str">
        <f t="shared" si="1"/>
        <v>ACCT#287263291654</v>
      </c>
    </row>
    <row r="156" spans="1:10" x14ac:dyDescent="0.3">
      <c r="A156" t="str">
        <f>""</f>
        <v/>
      </c>
      <c r="F156" t="s">
        <v>10</v>
      </c>
      <c r="G156" t="str">
        <f>"287263291654X06-C"</f>
        <v>287263291654X06-C</v>
      </c>
      <c r="H156" t="str">
        <f>"ACCT#287263291654"</f>
        <v>ACCT#287263291654</v>
      </c>
      <c r="I156" s="2">
        <v>37.99</v>
      </c>
      <c r="J156" t="str">
        <f t="shared" si="1"/>
        <v>ACCT#287263291654</v>
      </c>
    </row>
    <row r="157" spans="1:10" x14ac:dyDescent="0.3">
      <c r="A157" t="str">
        <f>""</f>
        <v/>
      </c>
      <c r="F157" t="s">
        <v>10</v>
      </c>
      <c r="G157" t="str">
        <f>"287263291654X06202"</f>
        <v>287263291654X06202</v>
      </c>
      <c r="H157" t="str">
        <f>"ACCT#287263291654"</f>
        <v>ACCT#287263291654</v>
      </c>
      <c r="I157" s="2">
        <v>1488.89</v>
      </c>
      <c r="J157" t="str">
        <f t="shared" si="1"/>
        <v>ACCT#287263291654</v>
      </c>
    </row>
    <row r="158" spans="1:10" x14ac:dyDescent="0.3">
      <c r="A158" t="str">
        <f>""</f>
        <v/>
      </c>
      <c r="G158" t="str">
        <f>""</f>
        <v/>
      </c>
      <c r="H158" t="str">
        <f>""</f>
        <v/>
      </c>
      <c r="J158" t="str">
        <f t="shared" si="1"/>
        <v>ACCT#287263291654</v>
      </c>
    </row>
    <row r="159" spans="1:10" x14ac:dyDescent="0.3">
      <c r="A159" t="str">
        <f>""</f>
        <v/>
      </c>
      <c r="G159" t="str">
        <f>""</f>
        <v/>
      </c>
      <c r="H159" t="str">
        <f>""</f>
        <v/>
      </c>
      <c r="J159" t="str">
        <f t="shared" si="1"/>
        <v>ACCT#287263291654</v>
      </c>
    </row>
    <row r="160" spans="1:10" x14ac:dyDescent="0.3">
      <c r="A160" t="str">
        <f>""</f>
        <v/>
      </c>
      <c r="G160" t="str">
        <f>""</f>
        <v/>
      </c>
      <c r="H160" t="str">
        <f>""</f>
        <v/>
      </c>
      <c r="J160" t="str">
        <f t="shared" si="1"/>
        <v>ACCT#287263291654</v>
      </c>
    </row>
    <row r="161" spans="1:10" x14ac:dyDescent="0.3">
      <c r="A161" t="str">
        <f>""</f>
        <v/>
      </c>
      <c r="G161" t="str">
        <f>""</f>
        <v/>
      </c>
      <c r="H161" t="str">
        <f>""</f>
        <v/>
      </c>
      <c r="J161" t="str">
        <f t="shared" si="1"/>
        <v>ACCT#287263291654</v>
      </c>
    </row>
    <row r="162" spans="1:10" x14ac:dyDescent="0.3">
      <c r="A162" t="str">
        <f>""</f>
        <v/>
      </c>
      <c r="G162" t="str">
        <f>""</f>
        <v/>
      </c>
      <c r="H162" t="str">
        <f>""</f>
        <v/>
      </c>
      <c r="J162" t="str">
        <f t="shared" si="1"/>
        <v>ACCT#287263291654</v>
      </c>
    </row>
    <row r="163" spans="1:10" x14ac:dyDescent="0.3">
      <c r="A163" t="str">
        <f>""</f>
        <v/>
      </c>
      <c r="G163" t="str">
        <f>""</f>
        <v/>
      </c>
      <c r="H163" t="str">
        <f>""</f>
        <v/>
      </c>
      <c r="J163" t="str">
        <f t="shared" si="1"/>
        <v>ACCT#287263291654</v>
      </c>
    </row>
    <row r="164" spans="1:10" x14ac:dyDescent="0.3">
      <c r="A164" t="str">
        <f>""</f>
        <v/>
      </c>
      <c r="G164" t="str">
        <f>""</f>
        <v/>
      </c>
      <c r="H164" t="str">
        <f>""</f>
        <v/>
      </c>
      <c r="J164" t="str">
        <f t="shared" si="1"/>
        <v>ACCT#287263291654</v>
      </c>
    </row>
    <row r="165" spans="1:10" x14ac:dyDescent="0.3">
      <c r="A165" t="str">
        <f>""</f>
        <v/>
      </c>
      <c r="G165" t="str">
        <f>""</f>
        <v/>
      </c>
      <c r="H165" t="str">
        <f>""</f>
        <v/>
      </c>
      <c r="J165" t="str">
        <f t="shared" si="1"/>
        <v>ACCT#287263291654</v>
      </c>
    </row>
    <row r="166" spans="1:10" x14ac:dyDescent="0.3">
      <c r="A166" t="str">
        <f>""</f>
        <v/>
      </c>
      <c r="G166" t="str">
        <f>""</f>
        <v/>
      </c>
      <c r="H166" t="str">
        <f>""</f>
        <v/>
      </c>
      <c r="J166" t="str">
        <f t="shared" si="1"/>
        <v>ACCT#287263291654</v>
      </c>
    </row>
    <row r="167" spans="1:10" x14ac:dyDescent="0.3">
      <c r="A167" t="str">
        <f>""</f>
        <v/>
      </c>
      <c r="G167" t="str">
        <f>""</f>
        <v/>
      </c>
      <c r="H167" t="str">
        <f>""</f>
        <v/>
      </c>
      <c r="J167" t="str">
        <f t="shared" si="1"/>
        <v>ACCT#287263291654</v>
      </c>
    </row>
    <row r="168" spans="1:10" x14ac:dyDescent="0.3">
      <c r="A168" t="str">
        <f>""</f>
        <v/>
      </c>
      <c r="G168" t="str">
        <f>""</f>
        <v/>
      </c>
      <c r="H168" t="str">
        <f>""</f>
        <v/>
      </c>
      <c r="J168" t="str">
        <f t="shared" si="1"/>
        <v>ACCT#287263291654</v>
      </c>
    </row>
    <row r="169" spans="1:10" x14ac:dyDescent="0.3">
      <c r="A169" t="str">
        <f>""</f>
        <v/>
      </c>
      <c r="G169" t="str">
        <f>""</f>
        <v/>
      </c>
      <c r="H169" t="str">
        <f>""</f>
        <v/>
      </c>
      <c r="J169" t="str">
        <f t="shared" si="1"/>
        <v>ACCT#287263291654</v>
      </c>
    </row>
    <row r="170" spans="1:10" x14ac:dyDescent="0.3">
      <c r="A170" t="str">
        <f>""</f>
        <v/>
      </c>
      <c r="G170" t="str">
        <f>""</f>
        <v/>
      </c>
      <c r="H170" t="str">
        <f>""</f>
        <v/>
      </c>
      <c r="J170" t="str">
        <f t="shared" si="1"/>
        <v>ACCT#287263291654</v>
      </c>
    </row>
    <row r="171" spans="1:10" x14ac:dyDescent="0.3">
      <c r="A171" t="str">
        <f>""</f>
        <v/>
      </c>
      <c r="G171" t="str">
        <f>""</f>
        <v/>
      </c>
      <c r="H171" t="str">
        <f>""</f>
        <v/>
      </c>
      <c r="J171" t="str">
        <f t="shared" si="1"/>
        <v>ACCT#287263291654</v>
      </c>
    </row>
    <row r="172" spans="1:10" x14ac:dyDescent="0.3">
      <c r="A172" t="str">
        <f>"AT&amp;T13"</f>
        <v>AT&amp;T13</v>
      </c>
      <c r="B172" t="s">
        <v>47</v>
      </c>
      <c r="C172">
        <v>70689</v>
      </c>
      <c r="D172" s="2">
        <v>340.81</v>
      </c>
      <c r="E172" s="1">
        <v>42888</v>
      </c>
      <c r="F172" t="s">
        <v>10</v>
      </c>
      <c r="G172" t="str">
        <f>"201706022565"</f>
        <v>201706022565</v>
      </c>
      <c r="H172" t="str">
        <f>"ACCT #826392401 / DPS"</f>
        <v>ACCT #826392401 / DPS</v>
      </c>
      <c r="I172" s="2">
        <v>340.81</v>
      </c>
      <c r="J172" t="str">
        <f>"ACCT #826392401 / DPS"</f>
        <v>ACCT #826392401 / DPS</v>
      </c>
    </row>
    <row r="173" spans="1:10" x14ac:dyDescent="0.3">
      <c r="A173" t="str">
        <f>"000787"</f>
        <v>000787</v>
      </c>
      <c r="B173" t="s">
        <v>45</v>
      </c>
      <c r="C173">
        <v>70726</v>
      </c>
      <c r="D173" s="2">
        <v>2015.93</v>
      </c>
      <c r="E173" s="1">
        <v>42898</v>
      </c>
      <c r="F173" t="s">
        <v>10</v>
      </c>
      <c r="G173" t="str">
        <f>"201706072947"</f>
        <v>201706072947</v>
      </c>
      <c r="H173" t="str">
        <f>"ACCT#287263291729"</f>
        <v>ACCT#287263291729</v>
      </c>
      <c r="I173" s="2">
        <v>2015.93</v>
      </c>
      <c r="J173" t="str">
        <f>"ACCT#287263291729"</f>
        <v>ACCT#287263291729</v>
      </c>
    </row>
    <row r="174" spans="1:10" x14ac:dyDescent="0.3">
      <c r="A174" t="str">
        <f>"AAS&amp;AS"</f>
        <v>AAS&amp;AS</v>
      </c>
      <c r="B174" t="s">
        <v>48</v>
      </c>
      <c r="C174">
        <v>71129</v>
      </c>
      <c r="D174" s="2">
        <v>441.21</v>
      </c>
      <c r="E174" s="1">
        <v>42912</v>
      </c>
      <c r="F174" t="s">
        <v>10</v>
      </c>
      <c r="G174" t="str">
        <f>"0055086"</f>
        <v>0055086</v>
      </c>
      <c r="H174" t="str">
        <f>"PARTS / P3"</f>
        <v>PARTS / P3</v>
      </c>
      <c r="I174" s="2">
        <v>441.21</v>
      </c>
      <c r="J174" t="str">
        <f>"ERNESTO B HERRERA"</f>
        <v>ERNESTO B HERRERA</v>
      </c>
    </row>
    <row r="175" spans="1:10" x14ac:dyDescent="0.3">
      <c r="A175" t="str">
        <f>"ASC"</f>
        <v>ASC</v>
      </c>
      <c r="B175" t="s">
        <v>49</v>
      </c>
      <c r="C175">
        <v>71130</v>
      </c>
      <c r="D175" s="2">
        <v>178.76</v>
      </c>
      <c r="E175" s="1">
        <v>42912</v>
      </c>
      <c r="F175" t="s">
        <v>10</v>
      </c>
      <c r="G175" t="str">
        <f>"89289"</f>
        <v>89289</v>
      </c>
      <c r="H175" t="str">
        <f>"WORK ORD#12352/PCT3/SUPPLIES"</f>
        <v>WORK ORD#12352/PCT3/SUPPLIES</v>
      </c>
      <c r="I175" s="2">
        <v>178.76</v>
      </c>
      <c r="J175" t="str">
        <f>"WORK ORD#12352/PCT3/SUPPLIES"</f>
        <v>WORK ORD#12352/PCT3/SUPPLIES</v>
      </c>
    </row>
    <row r="176" spans="1:10" x14ac:dyDescent="0.3">
      <c r="A176" t="str">
        <f>"AA-S"</f>
        <v>AA-S</v>
      </c>
      <c r="B176" t="s">
        <v>50</v>
      </c>
      <c r="C176">
        <v>70727</v>
      </c>
      <c r="D176" s="2">
        <v>1383.2</v>
      </c>
      <c r="E176" s="1">
        <v>42898</v>
      </c>
      <c r="F176" t="s">
        <v>10</v>
      </c>
      <c r="G176" t="str">
        <f>"0000140026"</f>
        <v>0000140026</v>
      </c>
      <c r="H176" t="str">
        <f>"Public Notices"</f>
        <v>Public Notices</v>
      </c>
      <c r="I176" s="2">
        <v>328.32</v>
      </c>
      <c r="J176" t="str">
        <f>"Public Notices"</f>
        <v>Public Notices</v>
      </c>
    </row>
    <row r="177" spans="1:10" x14ac:dyDescent="0.3">
      <c r="A177" t="str">
        <f>""</f>
        <v/>
      </c>
      <c r="F177" t="s">
        <v>10</v>
      </c>
      <c r="G177" t="str">
        <f>"201706062666"</f>
        <v>201706062666</v>
      </c>
      <c r="H177" t="str">
        <f>"ACCT#5373859/PAPE"</f>
        <v>ACCT#5373859/PAPE</v>
      </c>
      <c r="I177" s="2">
        <v>95.97</v>
      </c>
      <c r="J177" t="str">
        <f>"ACCT#5373859/PAPE"</f>
        <v>ACCT#5373859/PAPE</v>
      </c>
    </row>
    <row r="178" spans="1:10" x14ac:dyDescent="0.3">
      <c r="A178" t="str">
        <f>""</f>
        <v/>
      </c>
      <c r="F178" t="s">
        <v>10</v>
      </c>
      <c r="G178" t="str">
        <f>"ACCT#30772"</f>
        <v>ACCT#30772</v>
      </c>
      <c r="H178" t="str">
        <f>"Old Piney Trail Ingress/E"</f>
        <v>Old Piney Trail Ingress/E</v>
      </c>
      <c r="I178" s="2">
        <v>328.32</v>
      </c>
      <c r="J178" t="str">
        <f>"Fee"</f>
        <v>Fee</v>
      </c>
    </row>
    <row r="179" spans="1:10" x14ac:dyDescent="0.3">
      <c r="A179" t="str">
        <f>""</f>
        <v/>
      </c>
      <c r="F179" t="s">
        <v>10</v>
      </c>
      <c r="G179" t="str">
        <f>"ACCT#G29500"</f>
        <v>ACCT#G29500</v>
      </c>
      <c r="H179" t="str">
        <f>"Public Notices"</f>
        <v>Public Notices</v>
      </c>
      <c r="I179" s="2">
        <v>630.59</v>
      </c>
      <c r="J179" t="str">
        <f>"TreeTrim-Mar 9-Mar16"</f>
        <v>TreeTrim-Mar 9-Mar16</v>
      </c>
    </row>
    <row r="180" spans="1:10" x14ac:dyDescent="0.3">
      <c r="A180" t="str">
        <f>""</f>
        <v/>
      </c>
      <c r="G180" t="str">
        <f>""</f>
        <v/>
      </c>
      <c r="H180" t="str">
        <f>""</f>
        <v/>
      </c>
      <c r="J180" t="str">
        <f>"F-150 Mar. 23"</f>
        <v>F-150 Mar. 23</v>
      </c>
    </row>
    <row r="181" spans="1:10" x14ac:dyDescent="0.3">
      <c r="A181" t="str">
        <f>""</f>
        <v/>
      </c>
      <c r="G181" t="str">
        <f>""</f>
        <v/>
      </c>
      <c r="H181" t="str">
        <f>""</f>
        <v/>
      </c>
      <c r="J181" t="str">
        <f>"04 Mack Mar. 30"</f>
        <v>04 Mack Mar. 30</v>
      </c>
    </row>
    <row r="182" spans="1:10" x14ac:dyDescent="0.3">
      <c r="A182" t="str">
        <f>""</f>
        <v/>
      </c>
      <c r="G182" t="str">
        <f>""</f>
        <v/>
      </c>
      <c r="H182" t="str">
        <f>""</f>
        <v/>
      </c>
      <c r="J182" t="str">
        <f>"Replat Req. Apr29"</f>
        <v>Replat Req. Apr29</v>
      </c>
    </row>
    <row r="183" spans="1:10" x14ac:dyDescent="0.3">
      <c r="A183" t="str">
        <f>"AA-S"</f>
        <v>AA-S</v>
      </c>
      <c r="B183" t="s">
        <v>50</v>
      </c>
      <c r="C183">
        <v>71131</v>
      </c>
      <c r="D183" s="2">
        <v>1485.73</v>
      </c>
      <c r="E183" s="1">
        <v>42912</v>
      </c>
      <c r="F183" t="s">
        <v>10</v>
      </c>
      <c r="G183" t="str">
        <f>"151499 151494"</f>
        <v>151499 151494</v>
      </c>
      <c r="H183" t="str">
        <f>"Public Notices"</f>
        <v>Public Notices</v>
      </c>
      <c r="I183" s="2">
        <v>751.68</v>
      </c>
      <c r="J183" t="str">
        <f>"Ad#151499"</f>
        <v>Ad#151499</v>
      </c>
    </row>
    <row r="184" spans="1:10" x14ac:dyDescent="0.3">
      <c r="A184" t="str">
        <f>""</f>
        <v/>
      </c>
      <c r="G184" t="str">
        <f>""</f>
        <v/>
      </c>
      <c r="H184" t="str">
        <f>""</f>
        <v/>
      </c>
      <c r="J184" t="str">
        <f>"Ad#151494"</f>
        <v>Ad#151494</v>
      </c>
    </row>
    <row r="185" spans="1:10" x14ac:dyDescent="0.3">
      <c r="A185" t="str">
        <f>""</f>
        <v/>
      </c>
      <c r="F185" t="s">
        <v>10</v>
      </c>
      <c r="G185" t="str">
        <f>"30772/G28953"</f>
        <v>30772/G28953</v>
      </c>
      <c r="H185" t="str">
        <f>"Inv#30772  G28953"</f>
        <v>Inv#30772  G28953</v>
      </c>
      <c r="I185" s="2">
        <v>146.88</v>
      </c>
      <c r="J185" t="str">
        <f>"Inv#30772"</f>
        <v>Inv#30772</v>
      </c>
    </row>
    <row r="186" spans="1:10" x14ac:dyDescent="0.3">
      <c r="A186" t="str">
        <f>""</f>
        <v/>
      </c>
      <c r="G186" t="str">
        <f>""</f>
        <v/>
      </c>
      <c r="H186" t="str">
        <f>""</f>
        <v/>
      </c>
      <c r="J186" t="str">
        <f>"Inv# G28953"</f>
        <v>Inv# G28953</v>
      </c>
    </row>
    <row r="187" spans="1:10" x14ac:dyDescent="0.3">
      <c r="A187" t="str">
        <f>""</f>
        <v/>
      </c>
      <c r="F187" t="s">
        <v>10</v>
      </c>
      <c r="G187" t="str">
        <f>"I00146086-06102017"</f>
        <v>I00146086-06102017</v>
      </c>
      <c r="H187" t="str">
        <f>"Acct# 30881"</f>
        <v>Acct# 30881</v>
      </c>
      <c r="I187" s="2">
        <v>150.85</v>
      </c>
      <c r="J187" t="str">
        <f>"Acct# 30881"</f>
        <v>Acct# 30881</v>
      </c>
    </row>
    <row r="188" spans="1:10" x14ac:dyDescent="0.3">
      <c r="A188" t="str">
        <f>""</f>
        <v/>
      </c>
      <c r="F188" t="s">
        <v>10</v>
      </c>
      <c r="G188" t="str">
        <f>"PUBLIC NOTICES"</f>
        <v>PUBLIC NOTICES</v>
      </c>
      <c r="H188" t="str">
        <f>"Public Notices"</f>
        <v>Public Notices</v>
      </c>
      <c r="I188" s="2">
        <v>436.32</v>
      </c>
      <c r="J188" t="str">
        <f>"Inv# 432105"</f>
        <v>Inv# 432105</v>
      </c>
    </row>
    <row r="189" spans="1:10" x14ac:dyDescent="0.3">
      <c r="A189" t="str">
        <f>""</f>
        <v/>
      </c>
      <c r="G189" t="str">
        <f>""</f>
        <v/>
      </c>
      <c r="H189" t="str">
        <f>""</f>
        <v/>
      </c>
      <c r="J189" t="str">
        <f>"Inv# 432106"</f>
        <v>Inv# 432106</v>
      </c>
    </row>
    <row r="190" spans="1:10" x14ac:dyDescent="0.3">
      <c r="A190" t="str">
        <f>""</f>
        <v/>
      </c>
      <c r="G190" t="str">
        <f>""</f>
        <v/>
      </c>
      <c r="H190" t="str">
        <f>""</f>
        <v/>
      </c>
      <c r="J190" t="str">
        <f>"Inv# 433345"</f>
        <v>Inv# 433345</v>
      </c>
    </row>
    <row r="191" spans="1:10" x14ac:dyDescent="0.3">
      <c r="A191" t="str">
        <f>"T5396"</f>
        <v>T5396</v>
      </c>
      <c r="B191" t="s">
        <v>51</v>
      </c>
      <c r="C191">
        <v>70728</v>
      </c>
      <c r="D191" s="2">
        <v>242</v>
      </c>
      <c r="E191" s="1">
        <v>42898</v>
      </c>
      <c r="F191" t="s">
        <v>10</v>
      </c>
      <c r="G191" t="str">
        <f>"47599"</f>
        <v>47599</v>
      </c>
      <c r="H191" t="str">
        <f>"INV638042 FLAGS"</f>
        <v>INV638042 FLAGS</v>
      </c>
      <c r="I191" s="2">
        <v>242</v>
      </c>
      <c r="J191" t="str">
        <f>"INV638042 FLAGS"</f>
        <v>INV638042 FLAGS</v>
      </c>
    </row>
    <row r="192" spans="1:10" x14ac:dyDescent="0.3">
      <c r="A192" t="str">
        <f>"T6757"</f>
        <v>T6757</v>
      </c>
      <c r="B192" t="s">
        <v>52</v>
      </c>
      <c r="C192">
        <v>70729</v>
      </c>
      <c r="D192" s="2">
        <v>106.29</v>
      </c>
      <c r="E192" s="1">
        <v>42898</v>
      </c>
      <c r="F192" t="s">
        <v>10</v>
      </c>
      <c r="G192" t="str">
        <f>"201706072816"</f>
        <v>201706072816</v>
      </c>
      <c r="H192" t="str">
        <f>"INDIGENT HEALTH"</f>
        <v>INDIGENT HEALTH</v>
      </c>
      <c r="I192" s="2">
        <v>106.29</v>
      </c>
      <c r="J192" t="str">
        <f>"INDIGENT HEALTH"</f>
        <v>INDIGENT HEALTH</v>
      </c>
    </row>
    <row r="193" spans="1:10" x14ac:dyDescent="0.3">
      <c r="A193" t="str">
        <f>"T1251"</f>
        <v>T1251</v>
      </c>
      <c r="B193" t="s">
        <v>53</v>
      </c>
      <c r="C193">
        <v>70730</v>
      </c>
      <c r="D193" s="2">
        <v>92.48</v>
      </c>
      <c r="E193" s="1">
        <v>42898</v>
      </c>
      <c r="F193" t="s">
        <v>10</v>
      </c>
      <c r="G193" t="str">
        <f>"201706072830"</f>
        <v>201706072830</v>
      </c>
      <c r="H193" t="str">
        <f>"INDIGENT HEALTH"</f>
        <v>INDIGENT HEALTH</v>
      </c>
      <c r="I193" s="2">
        <v>92.48</v>
      </c>
      <c r="J193" t="str">
        <f>"INDIGENT HEALTH"</f>
        <v>INDIGENT HEALTH</v>
      </c>
    </row>
    <row r="194" spans="1:10" x14ac:dyDescent="0.3">
      <c r="A194" t="str">
        <f>"T1251"</f>
        <v>T1251</v>
      </c>
      <c r="B194" t="s">
        <v>53</v>
      </c>
      <c r="C194">
        <v>71132</v>
      </c>
      <c r="D194" s="2">
        <v>28.87</v>
      </c>
      <c r="E194" s="1">
        <v>42912</v>
      </c>
      <c r="F194" t="s">
        <v>10</v>
      </c>
      <c r="G194" t="str">
        <f>"201706213223"</f>
        <v>201706213223</v>
      </c>
      <c r="H194" t="str">
        <f>"INDIGENT HEALTH"</f>
        <v>INDIGENT HEALTH</v>
      </c>
      <c r="I194" s="2">
        <v>28.87</v>
      </c>
      <c r="J194" t="str">
        <f>"INDIGENT HEALTH"</f>
        <v>INDIGENT HEALTH</v>
      </c>
    </row>
    <row r="195" spans="1:10" x14ac:dyDescent="0.3">
      <c r="A195" t="str">
        <f>"B&amp;B"</f>
        <v>B&amp;B</v>
      </c>
      <c r="B195" t="s">
        <v>54</v>
      </c>
      <c r="C195">
        <v>70731</v>
      </c>
      <c r="D195" s="2">
        <v>44.67</v>
      </c>
      <c r="E195" s="1">
        <v>42898</v>
      </c>
      <c r="F195" t="s">
        <v>10</v>
      </c>
      <c r="G195" t="str">
        <f>"514861"</f>
        <v>514861</v>
      </c>
      <c r="H195" t="str">
        <f>"CUST #1800 PCT#4"</f>
        <v>CUST #1800 PCT#4</v>
      </c>
      <c r="I195" s="2">
        <v>44.67</v>
      </c>
      <c r="J195" t="str">
        <f>"CUST #1800 PCT#4"</f>
        <v>CUST #1800 PCT#4</v>
      </c>
    </row>
    <row r="196" spans="1:10" x14ac:dyDescent="0.3">
      <c r="A196" t="str">
        <f>"B&amp;B"</f>
        <v>B&amp;B</v>
      </c>
      <c r="B196" t="s">
        <v>54</v>
      </c>
      <c r="C196">
        <v>71133</v>
      </c>
      <c r="D196" s="2">
        <v>848.97</v>
      </c>
      <c r="E196" s="1">
        <v>42912</v>
      </c>
      <c r="F196" t="s">
        <v>10</v>
      </c>
      <c r="G196" t="str">
        <f>"201706163135"</f>
        <v>201706163135</v>
      </c>
      <c r="H196" t="str">
        <f>"CUST#1750/MAY 2017 STATEMENT"</f>
        <v>CUST#1750/MAY 2017 STATEMENT</v>
      </c>
      <c r="I196" s="2">
        <v>848.97</v>
      </c>
      <c r="J196" t="str">
        <f>"CUST#1750/MAY 2017 STATEMENT"</f>
        <v>CUST#1750/MAY 2017 STATEMENT</v>
      </c>
    </row>
    <row r="197" spans="1:10" x14ac:dyDescent="0.3">
      <c r="A197" t="str">
        <f>"B&amp;B"</f>
        <v>B&amp;B</v>
      </c>
      <c r="B197" t="s">
        <v>54</v>
      </c>
      <c r="C197">
        <v>71352</v>
      </c>
      <c r="D197" s="2">
        <v>1588.43</v>
      </c>
      <c r="E197" s="1">
        <v>42913</v>
      </c>
      <c r="F197" t="s">
        <v>10</v>
      </c>
      <c r="G197" t="str">
        <f>"1650 - 05312017"</f>
        <v>1650 - 05312017</v>
      </c>
      <c r="H197" t="str">
        <f>"CUST # 1650 - 05/31/2017 / P1"</f>
        <v>CUST # 1650 - 05/31/2017 / P1</v>
      </c>
      <c r="I197" s="2">
        <v>1588.43</v>
      </c>
      <c r="J197" t="str">
        <f>"CUST # 1650 - 05/31/2017 / P1"</f>
        <v>CUST # 1650 - 05/31/2017 / P1</v>
      </c>
    </row>
    <row r="198" spans="1:10" x14ac:dyDescent="0.3">
      <c r="A198" t="str">
        <f>""</f>
        <v/>
      </c>
      <c r="G198" t="str">
        <f>""</f>
        <v/>
      </c>
      <c r="H198" t="str">
        <f>""</f>
        <v/>
      </c>
      <c r="J198" t="str">
        <f>"CUST # 1650 - 05/31/2017 / P1"</f>
        <v>CUST # 1650 - 05/31/2017 / P1</v>
      </c>
    </row>
    <row r="199" spans="1:10" x14ac:dyDescent="0.3">
      <c r="A199" t="str">
        <f>""</f>
        <v/>
      </c>
      <c r="G199" t="str">
        <f>""</f>
        <v/>
      </c>
      <c r="H199" t="str">
        <f>""</f>
        <v/>
      </c>
      <c r="J199" t="str">
        <f>"CUST # 1650 - 05/31/2017 / P1"</f>
        <v>CUST # 1650 - 05/31/2017 / P1</v>
      </c>
    </row>
    <row r="200" spans="1:10" x14ac:dyDescent="0.3">
      <c r="A200" t="str">
        <f>""</f>
        <v/>
      </c>
      <c r="G200" t="str">
        <f>""</f>
        <v/>
      </c>
      <c r="H200" t="str">
        <f>""</f>
        <v/>
      </c>
      <c r="J200" t="str">
        <f>"CUST # 1650 - 05/31/2017 / P1"</f>
        <v>CUST # 1650 - 05/31/2017 / P1</v>
      </c>
    </row>
    <row r="201" spans="1:10" x14ac:dyDescent="0.3">
      <c r="A201" t="str">
        <f>""</f>
        <v/>
      </c>
      <c r="G201" t="str">
        <f>""</f>
        <v/>
      </c>
      <c r="H201" t="str">
        <f>""</f>
        <v/>
      </c>
      <c r="J201" t="str">
        <f>"CUST # 1650 - 05/31/2017 / P1"</f>
        <v>CUST # 1650 - 05/31/2017 / P1</v>
      </c>
    </row>
    <row r="202" spans="1:10" x14ac:dyDescent="0.3">
      <c r="A202" t="str">
        <f>"003696"</f>
        <v>003696</v>
      </c>
      <c r="B202" t="s">
        <v>55</v>
      </c>
      <c r="C202">
        <v>71134</v>
      </c>
      <c r="D202" s="2">
        <v>1095.8</v>
      </c>
      <c r="E202" s="1">
        <v>42912</v>
      </c>
      <c r="F202" t="s">
        <v>10</v>
      </c>
      <c r="G202" t="str">
        <f>"1033-6/7/2017"</f>
        <v>1033-6/7/2017</v>
      </c>
      <c r="H202" t="str">
        <f>"INV 1033"</f>
        <v>INV 1033</v>
      </c>
      <c r="I202" s="2">
        <v>1095.8</v>
      </c>
      <c r="J202" t="str">
        <f>"INV 1033 - SHIRTS"</f>
        <v>INV 1033 - SHIRTS</v>
      </c>
    </row>
    <row r="203" spans="1:10" x14ac:dyDescent="0.3">
      <c r="A203" t="str">
        <f>""</f>
        <v/>
      </c>
      <c r="G203" t="str">
        <f>""</f>
        <v/>
      </c>
      <c r="H203" t="str">
        <f>""</f>
        <v/>
      </c>
      <c r="J203" t="str">
        <f>"INV 1033 - SHIRTS"</f>
        <v>INV 1033 - SHIRTS</v>
      </c>
    </row>
    <row r="204" spans="1:10" x14ac:dyDescent="0.3">
      <c r="A204" t="str">
        <f>""</f>
        <v/>
      </c>
      <c r="G204" t="str">
        <f>""</f>
        <v/>
      </c>
      <c r="H204" t="str">
        <f>""</f>
        <v/>
      </c>
      <c r="J204" t="str">
        <f>"INV 1033 - PANTS"</f>
        <v>INV 1033 - PANTS</v>
      </c>
    </row>
    <row r="205" spans="1:10" x14ac:dyDescent="0.3">
      <c r="A205" t="str">
        <f>""</f>
        <v/>
      </c>
      <c r="G205" t="str">
        <f>""</f>
        <v/>
      </c>
      <c r="H205" t="str">
        <f>""</f>
        <v/>
      </c>
      <c r="J205" t="str">
        <f>"INV 1033 - PANTS"</f>
        <v>INV 1033 - PANTS</v>
      </c>
    </row>
    <row r="206" spans="1:10" x14ac:dyDescent="0.3">
      <c r="A206" t="str">
        <f>"001769"</f>
        <v>001769</v>
      </c>
      <c r="B206" t="s">
        <v>56</v>
      </c>
      <c r="C206">
        <v>70732</v>
      </c>
      <c r="D206" s="2">
        <v>3300</v>
      </c>
      <c r="E206" s="1">
        <v>42898</v>
      </c>
      <c r="F206" t="s">
        <v>10</v>
      </c>
      <c r="G206" t="str">
        <f>"1518"</f>
        <v>1518</v>
      </c>
      <c r="H206" t="str">
        <f>"REMOVED TREE/PCT #2"</f>
        <v>REMOVED TREE/PCT #2</v>
      </c>
      <c r="I206" s="2">
        <v>3300</v>
      </c>
      <c r="J206" t="str">
        <f>"REMOVED TREE/PCT #2"</f>
        <v>REMOVED TREE/PCT #2</v>
      </c>
    </row>
    <row r="207" spans="1:10" x14ac:dyDescent="0.3">
      <c r="A207" t="str">
        <f>"001769"</f>
        <v>001769</v>
      </c>
      <c r="B207" t="s">
        <v>56</v>
      </c>
      <c r="C207">
        <v>71135</v>
      </c>
      <c r="D207" s="2">
        <v>1000</v>
      </c>
      <c r="E207" s="1">
        <v>42912</v>
      </c>
      <c r="F207" t="s">
        <v>10</v>
      </c>
      <c r="G207" t="str">
        <f>"1519"</f>
        <v>1519</v>
      </c>
      <c r="H207" t="str">
        <f>"TREE REMOVAL/PCT#2"</f>
        <v>TREE REMOVAL/PCT#2</v>
      </c>
      <c r="I207" s="2">
        <v>1000</v>
      </c>
      <c r="J207" t="str">
        <f>"TREE REMOVAL/PCT#2"</f>
        <v>TREE REMOVAL/PCT#2</v>
      </c>
    </row>
    <row r="208" spans="1:10" x14ac:dyDescent="0.3">
      <c r="A208" t="str">
        <f>"004875"</f>
        <v>004875</v>
      </c>
      <c r="B208" t="s">
        <v>57</v>
      </c>
      <c r="C208">
        <v>70733</v>
      </c>
      <c r="D208" s="2">
        <v>48445.120000000003</v>
      </c>
      <c r="E208" s="1">
        <v>42898</v>
      </c>
      <c r="F208" t="s">
        <v>10</v>
      </c>
      <c r="G208" t="str">
        <f>"1"</f>
        <v>1</v>
      </c>
      <c r="H208" t="str">
        <f>"Juvenile Probation Repair"</f>
        <v>Juvenile Probation Repair</v>
      </c>
      <c r="I208" s="2">
        <v>48445.120000000003</v>
      </c>
      <c r="J208" t="str">
        <f>"Juvenile Probation Repair"</f>
        <v>Juvenile Probation Repair</v>
      </c>
    </row>
    <row r="209" spans="1:10" x14ac:dyDescent="0.3">
      <c r="A209" t="str">
        <f>"T8883"</f>
        <v>T8883</v>
      </c>
      <c r="B209" t="s">
        <v>58</v>
      </c>
      <c r="C209">
        <v>70734</v>
      </c>
      <c r="D209" s="2">
        <v>400</v>
      </c>
      <c r="E209" s="1">
        <v>42898</v>
      </c>
      <c r="F209" t="s">
        <v>10</v>
      </c>
      <c r="G209" t="str">
        <f>"373160"</f>
        <v>373160</v>
      </c>
      <c r="H209" t="str">
        <f>"INV 373160/UNIT 4716"</f>
        <v>INV 373160/UNIT 4716</v>
      </c>
      <c r="I209" s="2">
        <v>400</v>
      </c>
      <c r="J209" t="str">
        <f>"INV 373160/UNIT 4716"</f>
        <v>INV 373160/UNIT 4716</v>
      </c>
    </row>
    <row r="210" spans="1:10" x14ac:dyDescent="0.3">
      <c r="A210" t="str">
        <f>"T8883"</f>
        <v>T8883</v>
      </c>
      <c r="B210" t="s">
        <v>58</v>
      </c>
      <c r="C210">
        <v>71136</v>
      </c>
      <c r="D210" s="2">
        <v>150</v>
      </c>
      <c r="E210" s="1">
        <v>42912</v>
      </c>
      <c r="F210" t="s">
        <v>10</v>
      </c>
      <c r="G210" t="str">
        <f>"373163"</f>
        <v>373163</v>
      </c>
      <c r="H210" t="str">
        <f>"R&amp;R CURVED WINDOW REPLACEMENT"</f>
        <v>R&amp;R CURVED WINDOW REPLACEMENT</v>
      </c>
      <c r="I210" s="2">
        <v>150</v>
      </c>
      <c r="J210" t="str">
        <f>"R&amp;R CURVED WINDOW REPLACEMENT"</f>
        <v>R&amp;R CURVED WINDOW REPLACEMENT</v>
      </c>
    </row>
    <row r="211" spans="1:10" x14ac:dyDescent="0.3">
      <c r="A211" t="str">
        <f>"003354"</f>
        <v>003354</v>
      </c>
      <c r="B211" t="s">
        <v>59</v>
      </c>
      <c r="C211">
        <v>70735</v>
      </c>
      <c r="D211" s="2">
        <v>165</v>
      </c>
      <c r="E211" s="1">
        <v>42898</v>
      </c>
      <c r="F211" t="s">
        <v>10</v>
      </c>
      <c r="G211" t="s">
        <v>60</v>
      </c>
      <c r="H211">
        <v>19699</v>
      </c>
      <c r="I211" s="2" t="s">
        <v>61</v>
      </c>
      <c r="J211" t="str">
        <f>"100"</f>
        <v>100</v>
      </c>
    </row>
    <row r="212" spans="1:10" x14ac:dyDescent="0.3">
      <c r="A212" t="str">
        <f>"BCAD"</f>
        <v>BCAD</v>
      </c>
      <c r="B212" t="s">
        <v>62</v>
      </c>
      <c r="C212">
        <v>70736</v>
      </c>
      <c r="D212" s="2">
        <v>131029.43</v>
      </c>
      <c r="E212" s="1">
        <v>42898</v>
      </c>
      <c r="F212" t="s">
        <v>10</v>
      </c>
      <c r="G212" t="str">
        <f>"201706022574"</f>
        <v>201706022574</v>
      </c>
      <c r="H212" t="str">
        <f>"3RD QTR-JULY 1/SEPT 30  2017"</f>
        <v>3RD QTR-JULY 1/SEPT 30  2017</v>
      </c>
      <c r="I212" s="2">
        <v>131029.43</v>
      </c>
      <c r="J212" t="str">
        <f>"3RD QTR-JULY 1/SEPT 30  2017"</f>
        <v>3RD QTR-JULY 1/SEPT 30  2017</v>
      </c>
    </row>
    <row r="213" spans="1:10" x14ac:dyDescent="0.3">
      <c r="A213" t="str">
        <f>"T4016"</f>
        <v>T4016</v>
      </c>
      <c r="B213" t="s">
        <v>63</v>
      </c>
      <c r="C213">
        <v>70737</v>
      </c>
      <c r="D213" s="2">
        <v>50</v>
      </c>
      <c r="E213" s="1">
        <v>42898</v>
      </c>
      <c r="F213" t="s">
        <v>10</v>
      </c>
      <c r="G213" t="s">
        <v>64</v>
      </c>
      <c r="H213" t="s">
        <v>65</v>
      </c>
      <c r="I213" s="2" t="str">
        <f>"CERT MAIL SVC-3/14/2017"</f>
        <v>CERT MAIL SVC-3/14/2017</v>
      </c>
      <c r="J213" t="str">
        <f t="shared" ref="J213:J220" si="2">"995-4110"</f>
        <v>995-4110</v>
      </c>
    </row>
    <row r="214" spans="1:10" x14ac:dyDescent="0.3">
      <c r="A214" t="str">
        <f>"T1636"</f>
        <v>T1636</v>
      </c>
      <c r="B214" t="s">
        <v>66</v>
      </c>
      <c r="C214">
        <v>70738</v>
      </c>
      <c r="D214" s="2">
        <v>6625</v>
      </c>
      <c r="E214" s="1">
        <v>42898</v>
      </c>
      <c r="F214" t="s">
        <v>10</v>
      </c>
      <c r="G214" t="s">
        <v>64</v>
      </c>
      <c r="H214" t="s">
        <v>65</v>
      </c>
      <c r="I214" s="2" t="str">
        <f>"SERVICE/3-14-2017"</f>
        <v>SERVICE/3-14-2017</v>
      </c>
      <c r="J214" t="str">
        <f t="shared" si="2"/>
        <v>995-4110</v>
      </c>
    </row>
    <row r="215" spans="1:10" x14ac:dyDescent="0.3">
      <c r="A215" t="str">
        <f>""</f>
        <v/>
      </c>
      <c r="F215" t="s">
        <v>10</v>
      </c>
      <c r="G215" t="s">
        <v>64</v>
      </c>
      <c r="H215" t="s">
        <v>67</v>
      </c>
      <c r="I215" s="2" t="str">
        <f>"SERVICE 03/29/2017"</f>
        <v>SERVICE 03/29/2017</v>
      </c>
      <c r="J215" t="str">
        <f t="shared" si="2"/>
        <v>995-4110</v>
      </c>
    </row>
    <row r="216" spans="1:10" x14ac:dyDescent="0.3">
      <c r="A216" t="str">
        <f>""</f>
        <v/>
      </c>
      <c r="F216" t="s">
        <v>10</v>
      </c>
      <c r="G216" t="s">
        <v>68</v>
      </c>
      <c r="H216" t="s">
        <v>69</v>
      </c>
      <c r="I216" s="2" t="str">
        <f>"SERVICE-3/24/2017"</f>
        <v>SERVICE-3/24/2017</v>
      </c>
      <c r="J216" t="str">
        <f t="shared" si="2"/>
        <v>995-4110</v>
      </c>
    </row>
    <row r="217" spans="1:10" x14ac:dyDescent="0.3">
      <c r="A217" t="str">
        <f>""</f>
        <v/>
      </c>
      <c r="F217" t="s">
        <v>10</v>
      </c>
      <c r="G217" t="s">
        <v>68</v>
      </c>
      <c r="H217" t="s">
        <v>70</v>
      </c>
      <c r="I217" s="2" t="str">
        <f>"SERVICE 03/22/2017"</f>
        <v>SERVICE 03/22/2017</v>
      </c>
      <c r="J217" t="str">
        <f t="shared" si="2"/>
        <v>995-4110</v>
      </c>
    </row>
    <row r="218" spans="1:10" x14ac:dyDescent="0.3">
      <c r="A218" t="str">
        <f>""</f>
        <v/>
      </c>
      <c r="F218" t="s">
        <v>10</v>
      </c>
      <c r="G218" t="s">
        <v>68</v>
      </c>
      <c r="H218" t="s">
        <v>71</v>
      </c>
      <c r="I218" s="2" t="str">
        <f>"SERVICE-3/24/2017"</f>
        <v>SERVICE-3/24/2017</v>
      </c>
      <c r="J218" t="str">
        <f t="shared" si="2"/>
        <v>995-4110</v>
      </c>
    </row>
    <row r="219" spans="1:10" x14ac:dyDescent="0.3">
      <c r="A219" t="str">
        <f>""</f>
        <v/>
      </c>
      <c r="F219" t="s">
        <v>10</v>
      </c>
      <c r="G219" t="s">
        <v>68</v>
      </c>
      <c r="H219" t="s">
        <v>72</v>
      </c>
      <c r="I219" s="2" t="str">
        <f>"SERVICE/3-31-2017"</f>
        <v>SERVICE/3-31-2017</v>
      </c>
      <c r="J219" t="str">
        <f t="shared" si="2"/>
        <v>995-4110</v>
      </c>
    </row>
    <row r="220" spans="1:10" x14ac:dyDescent="0.3">
      <c r="A220" t="str">
        <f>""</f>
        <v/>
      </c>
      <c r="F220" t="s">
        <v>10</v>
      </c>
      <c r="G220" t="s">
        <v>68</v>
      </c>
      <c r="H220" t="s">
        <v>73</v>
      </c>
      <c r="I220" s="2" t="str">
        <f>"SERVICE 03/29/2017"</f>
        <v>SERVICE 03/29/2017</v>
      </c>
      <c r="J220" t="str">
        <f t="shared" si="2"/>
        <v>995-4110</v>
      </c>
    </row>
    <row r="221" spans="1:10" x14ac:dyDescent="0.3">
      <c r="A221" t="str">
        <f>""</f>
        <v/>
      </c>
      <c r="F221" t="s">
        <v>10</v>
      </c>
      <c r="G221" t="str">
        <f>"11861"</f>
        <v>11861</v>
      </c>
      <c r="H221" t="str">
        <f>"SERVICE 03/06/2017"</f>
        <v>SERVICE 03/06/2017</v>
      </c>
      <c r="I221" s="2">
        <v>725</v>
      </c>
      <c r="J221" t="str">
        <f>"SERVICE 03/06/2017"</f>
        <v>SERVICE 03/06/2017</v>
      </c>
    </row>
    <row r="222" spans="1:10" x14ac:dyDescent="0.3">
      <c r="A222" t="str">
        <f>""</f>
        <v/>
      </c>
      <c r="F222" t="s">
        <v>10</v>
      </c>
      <c r="G222" t="s">
        <v>74</v>
      </c>
      <c r="H222" t="s">
        <v>75</v>
      </c>
      <c r="I222" s="2" t="str">
        <f>"SERVICE-3/24/2017"</f>
        <v>SERVICE-3/24/2017</v>
      </c>
      <c r="J222" t="str">
        <f>"995-4110"</f>
        <v>995-4110</v>
      </c>
    </row>
    <row r="223" spans="1:10" x14ac:dyDescent="0.3">
      <c r="A223" t="str">
        <f>""</f>
        <v/>
      </c>
      <c r="F223" t="s">
        <v>10</v>
      </c>
      <c r="G223" t="s">
        <v>74</v>
      </c>
      <c r="H223" t="s">
        <v>76</v>
      </c>
      <c r="I223" s="2" t="str">
        <f>"SERVICE-3/24/2017"</f>
        <v>SERVICE-3/24/2017</v>
      </c>
      <c r="J223" t="str">
        <f>"995-4110"</f>
        <v>995-4110</v>
      </c>
    </row>
    <row r="224" spans="1:10" x14ac:dyDescent="0.3">
      <c r="A224" t="str">
        <f>""</f>
        <v/>
      </c>
      <c r="F224" t="s">
        <v>10</v>
      </c>
      <c r="G224" t="s">
        <v>74</v>
      </c>
      <c r="H224" t="s">
        <v>77</v>
      </c>
      <c r="I224" s="2" t="str">
        <f>"SERVICE-3/24/2017"</f>
        <v>SERVICE-3/24/2017</v>
      </c>
      <c r="J224" t="str">
        <f>"995-4110"</f>
        <v>995-4110</v>
      </c>
    </row>
    <row r="225" spans="1:10" x14ac:dyDescent="0.3">
      <c r="A225" t="str">
        <f>""</f>
        <v/>
      </c>
      <c r="F225" t="s">
        <v>10</v>
      </c>
      <c r="G225" t="s">
        <v>74</v>
      </c>
      <c r="H225" t="s">
        <v>78</v>
      </c>
      <c r="I225" s="2" t="str">
        <f>"SERVICE-3/24/2017"</f>
        <v>SERVICE-3/24/2017</v>
      </c>
      <c r="J225" t="str">
        <f>"995-4110"</f>
        <v>995-4110</v>
      </c>
    </row>
    <row r="226" spans="1:10" x14ac:dyDescent="0.3">
      <c r="A226" t="str">
        <f>""</f>
        <v/>
      </c>
      <c r="F226" t="s">
        <v>10</v>
      </c>
      <c r="G226" t="s">
        <v>74</v>
      </c>
      <c r="H226" t="s">
        <v>79</v>
      </c>
      <c r="I226" s="2" t="str">
        <f>"SERVICE 03/22/2017"</f>
        <v>SERVICE 03/22/2017</v>
      </c>
      <c r="J226" t="str">
        <f>"995-4110"</f>
        <v>995-4110</v>
      </c>
    </row>
    <row r="227" spans="1:10" x14ac:dyDescent="0.3">
      <c r="A227" t="str">
        <f>""</f>
        <v/>
      </c>
      <c r="F227" t="s">
        <v>10</v>
      </c>
      <c r="G227" t="str">
        <f>"12000"</f>
        <v>12000</v>
      </c>
      <c r="H227" t="str">
        <f>"SERVICE 03/06/2017"</f>
        <v>SERVICE 03/06/2017</v>
      </c>
      <c r="I227" s="2">
        <v>1125</v>
      </c>
      <c r="J227" t="str">
        <f>"SERVICE 03/06/2017"</f>
        <v>SERVICE 03/06/2017</v>
      </c>
    </row>
    <row r="228" spans="1:10" x14ac:dyDescent="0.3">
      <c r="A228" t="str">
        <f>""</f>
        <v/>
      </c>
      <c r="F228" t="s">
        <v>10</v>
      </c>
      <c r="G228" t="str">
        <f>"12226"</f>
        <v>12226</v>
      </c>
      <c r="H228" t="str">
        <f>"SERVICE 03/16/2017"</f>
        <v>SERVICE 03/16/2017</v>
      </c>
      <c r="I228" s="2">
        <v>65</v>
      </c>
      <c r="J228" t="str">
        <f>"SERVICE 03/16/2017"</f>
        <v>SERVICE 03/16/2017</v>
      </c>
    </row>
    <row r="229" spans="1:10" x14ac:dyDescent="0.3">
      <c r="A229" t="str">
        <f>""</f>
        <v/>
      </c>
      <c r="F229" t="s">
        <v>10</v>
      </c>
      <c r="G229" t="str">
        <f>"12364"</f>
        <v>12364</v>
      </c>
      <c r="H229" t="str">
        <f>"SERVICE 03/06/2017"</f>
        <v>SERVICE 03/06/2017</v>
      </c>
      <c r="I229" s="2">
        <v>275</v>
      </c>
      <c r="J229" t="str">
        <f>"SERVICE 03/06/2017"</f>
        <v>SERVICE 03/06/2017</v>
      </c>
    </row>
    <row r="230" spans="1:10" x14ac:dyDescent="0.3">
      <c r="A230" t="str">
        <f>""</f>
        <v/>
      </c>
      <c r="F230" t="s">
        <v>10</v>
      </c>
      <c r="G230" t="str">
        <f>"12366"</f>
        <v>12366</v>
      </c>
      <c r="H230" t="str">
        <f>"SERVICE 03/06/2017"</f>
        <v>SERVICE 03/06/2017</v>
      </c>
      <c r="I230" s="2">
        <v>350</v>
      </c>
      <c r="J230" t="str">
        <f>"SERVICE 03/06/2017"</f>
        <v>SERVICE 03/06/2017</v>
      </c>
    </row>
    <row r="231" spans="1:10" x14ac:dyDescent="0.3">
      <c r="A231" t="str">
        <f>""</f>
        <v/>
      </c>
      <c r="F231" t="s">
        <v>10</v>
      </c>
      <c r="G231" t="str">
        <f>"12370"</f>
        <v>12370</v>
      </c>
      <c r="H231" t="str">
        <f>"SERVICE-3/14/2017"</f>
        <v>SERVICE-3/14/2017</v>
      </c>
      <c r="I231" s="2">
        <v>460</v>
      </c>
      <c r="J231" t="str">
        <f>"SERVICE-3/14/2017"</f>
        <v>SERVICE-3/14/2017</v>
      </c>
    </row>
    <row r="232" spans="1:10" x14ac:dyDescent="0.3">
      <c r="A232" t="str">
        <f>""</f>
        <v/>
      </c>
      <c r="F232" t="s">
        <v>10</v>
      </c>
      <c r="G232" t="str">
        <f>"12411"</f>
        <v>12411</v>
      </c>
      <c r="H232" t="str">
        <f>"SERVICE/3-31-2017"</f>
        <v>SERVICE/3-31-2017</v>
      </c>
      <c r="I232" s="2">
        <v>75</v>
      </c>
      <c r="J232" t="str">
        <f>"SERVICE/3-31-2017"</f>
        <v>SERVICE/3-31-2017</v>
      </c>
    </row>
    <row r="233" spans="1:10" x14ac:dyDescent="0.3">
      <c r="A233" t="str">
        <f>""</f>
        <v/>
      </c>
      <c r="F233" t="s">
        <v>10</v>
      </c>
      <c r="G233" t="str">
        <f>"12414"</f>
        <v>12414</v>
      </c>
      <c r="H233" t="str">
        <f>"SERVICE 03/07/2017"</f>
        <v>SERVICE 03/07/2017</v>
      </c>
      <c r="I233" s="2">
        <v>200</v>
      </c>
      <c r="J233" t="str">
        <f>"SERVICE 03/07/2017"</f>
        <v>SERVICE 03/07/2017</v>
      </c>
    </row>
    <row r="234" spans="1:10" x14ac:dyDescent="0.3">
      <c r="A234" t="str">
        <f>""</f>
        <v/>
      </c>
      <c r="F234" t="s">
        <v>10</v>
      </c>
      <c r="G234" t="str">
        <f>"12420"</f>
        <v>12420</v>
      </c>
      <c r="H234" t="str">
        <f>"SERVICE 03/20/2017"</f>
        <v>SERVICE 03/20/2017</v>
      </c>
      <c r="I234" s="2">
        <v>150</v>
      </c>
      <c r="J234" t="str">
        <f>"SERVICE 03/20/2017"</f>
        <v>SERVICE 03/20/2017</v>
      </c>
    </row>
    <row r="235" spans="1:10" x14ac:dyDescent="0.3">
      <c r="A235" t="str">
        <f>""</f>
        <v/>
      </c>
      <c r="F235" t="s">
        <v>10</v>
      </c>
      <c r="G235" t="str">
        <f>"12443"</f>
        <v>12443</v>
      </c>
      <c r="H235" t="str">
        <f>"SERVICE 3/08/2017"</f>
        <v>SERVICE 3/08/2017</v>
      </c>
      <c r="I235" s="2">
        <v>350</v>
      </c>
      <c r="J235" t="str">
        <f>"SERVICE 3/08/2017"</f>
        <v>SERVICE 3/08/2017</v>
      </c>
    </row>
    <row r="236" spans="1:10" x14ac:dyDescent="0.3">
      <c r="A236" t="str">
        <f>""</f>
        <v/>
      </c>
      <c r="F236" t="s">
        <v>10</v>
      </c>
      <c r="G236" t="str">
        <f>"12509"</f>
        <v>12509</v>
      </c>
      <c r="H236" t="str">
        <f>"SERVICE 03/13/2017"</f>
        <v>SERVICE 03/13/2017</v>
      </c>
      <c r="I236" s="2">
        <v>75</v>
      </c>
      <c r="J236" t="str">
        <f>"SERVICE 03/13/2017"</f>
        <v>SERVICE 03/13/2017</v>
      </c>
    </row>
    <row r="237" spans="1:10" x14ac:dyDescent="0.3">
      <c r="A237" t="str">
        <f>""</f>
        <v/>
      </c>
      <c r="F237" t="s">
        <v>10</v>
      </c>
      <c r="G237" t="str">
        <f>"12556"</f>
        <v>12556</v>
      </c>
      <c r="H237" t="str">
        <f>"SERVICE 03/21/2017"</f>
        <v>SERVICE 03/21/2017</v>
      </c>
      <c r="I237" s="2">
        <v>75</v>
      </c>
      <c r="J237" t="str">
        <f>"SERVICE 03/21/2017"</f>
        <v>SERVICE 03/21/2017</v>
      </c>
    </row>
    <row r="238" spans="1:10" x14ac:dyDescent="0.3">
      <c r="A238" t="str">
        <f>""</f>
        <v/>
      </c>
      <c r="F238" t="s">
        <v>10</v>
      </c>
      <c r="G238" t="str">
        <f>"12643"</f>
        <v>12643</v>
      </c>
      <c r="H238" t="str">
        <f>"SERVICE 03/06/2017"</f>
        <v>SERVICE 03/06/2017</v>
      </c>
      <c r="I238" s="2">
        <v>150</v>
      </c>
      <c r="J238" t="str">
        <f>"SERVICE 03/06/2017"</f>
        <v>SERVICE 03/06/2017</v>
      </c>
    </row>
    <row r="239" spans="1:10" x14ac:dyDescent="0.3">
      <c r="A239" t="str">
        <f>"T1636"</f>
        <v>T1636</v>
      </c>
      <c r="B239" t="s">
        <v>66</v>
      </c>
      <c r="C239">
        <v>71137</v>
      </c>
      <c r="D239" s="2">
        <v>2089.14</v>
      </c>
      <c r="E239" s="1">
        <v>42912</v>
      </c>
      <c r="F239" t="s">
        <v>10</v>
      </c>
      <c r="G239" t="str">
        <f>"12440"</f>
        <v>12440</v>
      </c>
      <c r="H239" t="str">
        <f>"SERVICE-3/24/17"</f>
        <v>SERVICE-3/24/17</v>
      </c>
      <c r="I239" s="2">
        <v>275</v>
      </c>
      <c r="J239" t="str">
        <f>"SERVICE-3/24/17"</f>
        <v>SERVICE-3/24/17</v>
      </c>
    </row>
    <row r="240" spans="1:10" x14ac:dyDescent="0.3">
      <c r="A240" t="str">
        <f>""</f>
        <v/>
      </c>
      <c r="F240" t="s">
        <v>10</v>
      </c>
      <c r="G240" t="str">
        <f>"12444"</f>
        <v>12444</v>
      </c>
      <c r="H240" t="str">
        <f>"SERVICE-3/24/17"</f>
        <v>SERVICE-3/24/17</v>
      </c>
      <c r="I240" s="2">
        <v>275</v>
      </c>
      <c r="J240" t="str">
        <f>"SERVICE-3/24/17"</f>
        <v>SERVICE-3/24/17</v>
      </c>
    </row>
    <row r="241" spans="1:10" x14ac:dyDescent="0.3">
      <c r="A241" t="str">
        <f>""</f>
        <v/>
      </c>
      <c r="F241" t="s">
        <v>10</v>
      </c>
      <c r="G241" t="str">
        <f>"12473"</f>
        <v>12473</v>
      </c>
      <c r="H241" t="str">
        <f>"SERVICE-3/24/17"</f>
        <v>SERVICE-3/24/17</v>
      </c>
      <c r="I241" s="2">
        <v>275</v>
      </c>
      <c r="J241" t="str">
        <f>"SERVICE-3/24/17"</f>
        <v>SERVICE-3/24/17</v>
      </c>
    </row>
    <row r="242" spans="1:10" x14ac:dyDescent="0.3">
      <c r="A242" t="str">
        <f>""</f>
        <v/>
      </c>
      <c r="F242" t="s">
        <v>10</v>
      </c>
      <c r="G242" t="str">
        <f>"12492"</f>
        <v>12492</v>
      </c>
      <c r="H242" t="str">
        <f>"SERVICE-4/4/2017"</f>
        <v>SERVICE-4/4/2017</v>
      </c>
      <c r="I242" s="2">
        <v>150</v>
      </c>
      <c r="J242" t="str">
        <f>"SERVICE-4/4/2017"</f>
        <v>SERVICE-4/4/2017</v>
      </c>
    </row>
    <row r="243" spans="1:10" x14ac:dyDescent="0.3">
      <c r="A243" t="str">
        <f>""</f>
        <v/>
      </c>
      <c r="F243" t="s">
        <v>10</v>
      </c>
      <c r="G243" t="str">
        <f>"12501"</f>
        <v>12501</v>
      </c>
      <c r="H243" t="str">
        <f>"SERVICE-3/24/17"</f>
        <v>SERVICE-3/24/17</v>
      </c>
      <c r="I243" s="2">
        <v>275</v>
      </c>
      <c r="J243" t="str">
        <f>"SERVICE-3/24/17"</f>
        <v>SERVICE-3/24/17</v>
      </c>
    </row>
    <row r="244" spans="1:10" x14ac:dyDescent="0.3">
      <c r="A244" t="str">
        <f>""</f>
        <v/>
      </c>
      <c r="F244" t="s">
        <v>10</v>
      </c>
      <c r="G244" t="str">
        <f>"12503"</f>
        <v>12503</v>
      </c>
      <c r="H244" t="str">
        <f>"SERVICE-3/24/17"</f>
        <v>SERVICE-3/24/17</v>
      </c>
      <c r="I244" s="2">
        <v>200</v>
      </c>
      <c r="J244" t="str">
        <f>"SERVICE-3/24/17"</f>
        <v>SERVICE-3/24/17</v>
      </c>
    </row>
    <row r="245" spans="1:10" x14ac:dyDescent="0.3">
      <c r="A245" t="str">
        <f>""</f>
        <v/>
      </c>
      <c r="F245" t="s">
        <v>10</v>
      </c>
      <c r="G245" t="str">
        <f>"12522"</f>
        <v>12522</v>
      </c>
      <c r="H245" t="str">
        <f>"SERVICE-3/24/17"</f>
        <v>SERVICE-3/24/17</v>
      </c>
      <c r="I245" s="2">
        <v>200</v>
      </c>
      <c r="J245" t="str">
        <f>"SERVICE-3/24/17"</f>
        <v>SERVICE-3/24/17</v>
      </c>
    </row>
    <row r="246" spans="1:10" x14ac:dyDescent="0.3">
      <c r="A246" t="str">
        <f>""</f>
        <v/>
      </c>
      <c r="F246" t="s">
        <v>10</v>
      </c>
      <c r="G246" t="str">
        <f>"12648"</f>
        <v>12648</v>
      </c>
      <c r="H246" t="str">
        <f>"SERVICE-4/10/17"</f>
        <v>SERVICE-4/10/17</v>
      </c>
      <c r="I246" s="2">
        <v>225</v>
      </c>
      <c r="J246" t="str">
        <f>"SERVICE-4/10/17"</f>
        <v>SERVICE-4/10/17</v>
      </c>
    </row>
    <row r="247" spans="1:10" x14ac:dyDescent="0.3">
      <c r="A247" t="str">
        <f>""</f>
        <v/>
      </c>
      <c r="F247" t="s">
        <v>10</v>
      </c>
      <c r="G247" t="str">
        <f>"6925"</f>
        <v>6925</v>
      </c>
      <c r="H247" t="str">
        <f>"SERVICE-3/24/2017"</f>
        <v>SERVICE-3/24/2017</v>
      </c>
      <c r="I247" s="2">
        <v>135</v>
      </c>
      <c r="J247" t="str">
        <f>"SERVICE-3/24/2017"</f>
        <v>SERVICE-3/24/2017</v>
      </c>
    </row>
    <row r="248" spans="1:10" x14ac:dyDescent="0.3">
      <c r="A248" t="str">
        <f>""</f>
        <v/>
      </c>
      <c r="F248" t="s">
        <v>10</v>
      </c>
      <c r="G248" t="str">
        <f>"7398"</f>
        <v>7398</v>
      </c>
      <c r="H248" t="str">
        <f>"SERVICE-3/24/2017"</f>
        <v>SERVICE-3/24/2017</v>
      </c>
      <c r="I248" s="2">
        <v>65.069999999999993</v>
      </c>
      <c r="J248" t="str">
        <f>"SERVICE-3/24/2017"</f>
        <v>SERVICE-3/24/2017</v>
      </c>
    </row>
    <row r="249" spans="1:10" x14ac:dyDescent="0.3">
      <c r="A249" t="str">
        <f>""</f>
        <v/>
      </c>
      <c r="F249" t="s">
        <v>10</v>
      </c>
      <c r="G249" t="str">
        <f>"7400"</f>
        <v>7400</v>
      </c>
      <c r="H249" t="str">
        <f>"SERVICE (TAX CASE)-3/24/17"</f>
        <v>SERVICE (TAX CASE)-3/24/17</v>
      </c>
      <c r="I249" s="2">
        <v>14.07</v>
      </c>
      <c r="J249" t="str">
        <f>"SERVICE (TAX CASE)-3/24/17"</f>
        <v>SERVICE (TAX CASE)-3/24/17</v>
      </c>
    </row>
    <row r="250" spans="1:10" x14ac:dyDescent="0.3">
      <c r="A250" t="str">
        <f>"BASCO"</f>
        <v>BASCO</v>
      </c>
      <c r="B250" t="s">
        <v>80</v>
      </c>
      <c r="C250">
        <v>70739</v>
      </c>
      <c r="D250" s="2">
        <v>47</v>
      </c>
      <c r="E250" s="1">
        <v>42898</v>
      </c>
      <c r="F250" t="s">
        <v>10</v>
      </c>
      <c r="G250" t="str">
        <f>"9369"</f>
        <v>9369</v>
      </c>
      <c r="H250" t="str">
        <f>"SALE RECEIPT #9369"</f>
        <v>SALE RECEIPT #9369</v>
      </c>
      <c r="I250" s="2">
        <v>47</v>
      </c>
      <c r="J250" t="str">
        <f>"SALE RECEIPT #9369"</f>
        <v>SALE RECEIPT #9369</v>
      </c>
    </row>
    <row r="251" spans="1:10" x14ac:dyDescent="0.3">
      <c r="A251" t="str">
        <f>"BASCO"</f>
        <v>BASCO</v>
      </c>
      <c r="B251" t="s">
        <v>80</v>
      </c>
      <c r="C251">
        <v>71138</v>
      </c>
      <c r="D251" s="2">
        <v>1013.68</v>
      </c>
      <c r="E251" s="1">
        <v>42912</v>
      </c>
      <c r="F251" t="s">
        <v>10</v>
      </c>
      <c r="G251" t="str">
        <f>"201706203162"</f>
        <v>201706203162</v>
      </c>
      <c r="H251" t="str">
        <f>"ACCT#BC01/OFFICE SUPPLIES"</f>
        <v>ACCT#BC01/OFFICE SUPPLIES</v>
      </c>
      <c r="I251" s="2">
        <v>766.78</v>
      </c>
      <c r="J251" t="str">
        <f>"ACCT#BC01/OFFICE SUPPLIES"</f>
        <v>ACCT#BC01/OFFICE SUPPLIES</v>
      </c>
    </row>
    <row r="252" spans="1:10" x14ac:dyDescent="0.3">
      <c r="A252" t="str">
        <f>""</f>
        <v/>
      </c>
      <c r="G252" t="str">
        <f>""</f>
        <v/>
      </c>
      <c r="H252" t="str">
        <f>""</f>
        <v/>
      </c>
      <c r="J252" t="str">
        <f>"ACCT#BC01/OFFICE SUPPLIES"</f>
        <v>ACCT#BC01/OFFICE SUPPLIES</v>
      </c>
    </row>
    <row r="253" spans="1:10" x14ac:dyDescent="0.3">
      <c r="A253" t="str">
        <f>""</f>
        <v/>
      </c>
      <c r="G253" t="str">
        <f>""</f>
        <v/>
      </c>
      <c r="H253" t="str">
        <f>""</f>
        <v/>
      </c>
      <c r="J253" t="str">
        <f>"ACCT#BC01/OFFICE SUPPLIES"</f>
        <v>ACCT#BC01/OFFICE SUPPLIES</v>
      </c>
    </row>
    <row r="254" spans="1:10" x14ac:dyDescent="0.3">
      <c r="A254" t="str">
        <f>""</f>
        <v/>
      </c>
      <c r="G254" t="str">
        <f>""</f>
        <v/>
      </c>
      <c r="H254" t="str">
        <f>""</f>
        <v/>
      </c>
      <c r="J254" t="str">
        <f>"ACCT#BC01/OFFICE SUPPLIES"</f>
        <v>ACCT#BC01/OFFICE SUPPLIES</v>
      </c>
    </row>
    <row r="255" spans="1:10" x14ac:dyDescent="0.3">
      <c r="A255" t="str">
        <f>""</f>
        <v/>
      </c>
      <c r="G255" t="str">
        <f>""</f>
        <v/>
      </c>
      <c r="H255" t="str">
        <f>""</f>
        <v/>
      </c>
      <c r="J255" t="str">
        <f>"ACCT#BC01/OFFICE SUPPLIES"</f>
        <v>ACCT#BC01/OFFICE SUPPLIES</v>
      </c>
    </row>
    <row r="256" spans="1:10" x14ac:dyDescent="0.3">
      <c r="A256" t="str">
        <f>""</f>
        <v/>
      </c>
      <c r="F256" t="s">
        <v>10</v>
      </c>
      <c r="G256" t="str">
        <f>"201706203163"</f>
        <v>201706203163</v>
      </c>
      <c r="H256" t="str">
        <f>"ACCT#BC01/OFFICE SUPPLIES/PCT4"</f>
        <v>ACCT#BC01/OFFICE SUPPLIES/PCT4</v>
      </c>
      <c r="I256" s="2">
        <v>246.9</v>
      </c>
      <c r="J256" t="str">
        <f>"ACCT#BC01/OFFICE SUPPLIES/PCT4"</f>
        <v>ACCT#BC01/OFFICE SUPPLIES/PCT4</v>
      </c>
    </row>
    <row r="257" spans="1:10" x14ac:dyDescent="0.3">
      <c r="A257" t="str">
        <f>"004693"</f>
        <v>004693</v>
      </c>
      <c r="B257" t="s">
        <v>81</v>
      </c>
      <c r="C257">
        <v>70740</v>
      </c>
      <c r="D257" s="2">
        <v>75</v>
      </c>
      <c r="E257" s="1">
        <v>42898</v>
      </c>
      <c r="F257" t="s">
        <v>10</v>
      </c>
      <c r="G257" t="str">
        <f>"67"</f>
        <v>67</v>
      </c>
      <c r="H257" t="str">
        <f>"2017 DUES"</f>
        <v>2017 DUES</v>
      </c>
      <c r="I257" s="2">
        <v>75</v>
      </c>
      <c r="J257" t="str">
        <f>"2017 DUES"</f>
        <v>2017 DUES</v>
      </c>
    </row>
    <row r="258" spans="1:10" x14ac:dyDescent="0.3">
      <c r="A258" t="str">
        <f>"002612"</f>
        <v>002612</v>
      </c>
      <c r="B258" t="s">
        <v>82</v>
      </c>
      <c r="C258">
        <v>70741</v>
      </c>
      <c r="D258" s="2">
        <v>153.9</v>
      </c>
      <c r="E258" s="1">
        <v>42898</v>
      </c>
      <c r="F258" t="s">
        <v>10</v>
      </c>
      <c r="G258" t="str">
        <f>"201706022568"</f>
        <v>201706022568</v>
      </c>
      <c r="H258" t="str">
        <f>"LPHCP SIGNS"</f>
        <v>LPHCP SIGNS</v>
      </c>
      <c r="I258" s="2">
        <v>153.9</v>
      </c>
      <c r="J258" t="str">
        <f>"LPHCP SIGNS"</f>
        <v>LPHCP SIGNS</v>
      </c>
    </row>
    <row r="259" spans="1:10" x14ac:dyDescent="0.3">
      <c r="A259" t="str">
        <f>"004693"</f>
        <v>004693</v>
      </c>
      <c r="B259" t="s">
        <v>81</v>
      </c>
      <c r="C259">
        <v>71139</v>
      </c>
      <c r="D259" s="2">
        <v>150</v>
      </c>
      <c r="E259" s="1">
        <v>42912</v>
      </c>
      <c r="F259" t="s">
        <v>10</v>
      </c>
      <c r="G259" t="str">
        <f>"37"</f>
        <v>37</v>
      </c>
      <c r="H259" t="str">
        <f>"2017 DUES-SARAH LOUCKS"</f>
        <v>2017 DUES-SARAH LOUCKS</v>
      </c>
      <c r="I259" s="2">
        <v>75</v>
      </c>
      <c r="J259" t="str">
        <f>"2017 DUES-SARAH LOUCKS"</f>
        <v>2017 DUES-SARAH LOUCKS</v>
      </c>
    </row>
    <row r="260" spans="1:10" x14ac:dyDescent="0.3">
      <c r="A260" t="str">
        <f>""</f>
        <v/>
      </c>
      <c r="F260" t="s">
        <v>10</v>
      </c>
      <c r="G260" t="str">
        <f>"70"</f>
        <v>70</v>
      </c>
      <c r="H260" t="str">
        <f>"2017 DUES-ROSE PIETSCH"</f>
        <v>2017 DUES-ROSE PIETSCH</v>
      </c>
      <c r="I260" s="2">
        <v>75</v>
      </c>
      <c r="J260" t="str">
        <f>"2017 DUES"</f>
        <v>2017 DUES</v>
      </c>
    </row>
    <row r="261" spans="1:10" x14ac:dyDescent="0.3">
      <c r="A261" t="str">
        <f>"T8660"</f>
        <v>T8660</v>
      </c>
      <c r="B261" t="s">
        <v>83</v>
      </c>
      <c r="C261">
        <v>71140</v>
      </c>
      <c r="D261" s="2">
        <v>33.270000000000003</v>
      </c>
      <c r="E261" s="1">
        <v>42912</v>
      </c>
      <c r="F261" t="s">
        <v>10</v>
      </c>
      <c r="G261" t="str">
        <f>"201706213224"</f>
        <v>201706213224</v>
      </c>
      <c r="H261" t="str">
        <f>"INDIGENT HEALTH"</f>
        <v>INDIGENT HEALTH</v>
      </c>
      <c r="I261" s="2">
        <v>33.270000000000003</v>
      </c>
      <c r="J261" t="str">
        <f>"INDIGENT HEALTH"</f>
        <v>INDIGENT HEALTH</v>
      </c>
    </row>
    <row r="262" spans="1:10" x14ac:dyDescent="0.3">
      <c r="A262" t="str">
        <f>"T3799"</f>
        <v>T3799</v>
      </c>
      <c r="B262" t="s">
        <v>84</v>
      </c>
      <c r="C262">
        <v>70742</v>
      </c>
      <c r="D262" s="2">
        <v>930.53</v>
      </c>
      <c r="E262" s="1">
        <v>42898</v>
      </c>
      <c r="F262" t="s">
        <v>10</v>
      </c>
      <c r="G262" t="str">
        <f>"153"</f>
        <v>153</v>
      </c>
      <c r="H262" t="str">
        <f>"GAS/7 VEHICLES"</f>
        <v>GAS/7 VEHICLES</v>
      </c>
      <c r="I262" s="2">
        <v>930.53</v>
      </c>
      <c r="J262" t="str">
        <f>"GAS/7 VEHICLES"</f>
        <v>GAS/7 VEHICLES</v>
      </c>
    </row>
    <row r="263" spans="1:10" x14ac:dyDescent="0.3">
      <c r="A263" t="str">
        <f>"T13544"</f>
        <v>T13544</v>
      </c>
      <c r="B263" t="s">
        <v>85</v>
      </c>
      <c r="C263">
        <v>70743</v>
      </c>
      <c r="D263" s="2">
        <v>190.19</v>
      </c>
      <c r="E263" s="1">
        <v>42898</v>
      </c>
      <c r="F263" t="s">
        <v>10</v>
      </c>
      <c r="G263" t="str">
        <f>"201706072831"</f>
        <v>201706072831</v>
      </c>
      <c r="H263" t="str">
        <f>"INDIGENT HEALTH"</f>
        <v>INDIGENT HEALTH</v>
      </c>
      <c r="I263" s="2">
        <v>190.19</v>
      </c>
      <c r="J263" t="str">
        <f>"INDIGENT HEALTH"</f>
        <v>INDIGENT HEALTH</v>
      </c>
    </row>
    <row r="264" spans="1:10" x14ac:dyDescent="0.3">
      <c r="A264" t="str">
        <f>""</f>
        <v/>
      </c>
      <c r="G264" t="str">
        <f>""</f>
        <v/>
      </c>
      <c r="H264" t="str">
        <f>""</f>
        <v/>
      </c>
      <c r="J264" t="str">
        <f>"INDIGENT HEALTH"</f>
        <v>INDIGENT HEALTH</v>
      </c>
    </row>
    <row r="265" spans="1:10" x14ac:dyDescent="0.3">
      <c r="A265" t="str">
        <f>"000719"</f>
        <v>000719</v>
      </c>
      <c r="B265" t="s">
        <v>86</v>
      </c>
      <c r="C265">
        <v>71141</v>
      </c>
      <c r="D265" s="2">
        <v>366.77</v>
      </c>
      <c r="E265" s="1">
        <v>42912</v>
      </c>
      <c r="F265" t="s">
        <v>10</v>
      </c>
      <c r="G265" t="str">
        <f>"5065"</f>
        <v>5065</v>
      </c>
      <c r="H265" t="str">
        <f>"BEARINGS/BLADE/BOLT"</f>
        <v>BEARINGS/BLADE/BOLT</v>
      </c>
      <c r="I265" s="2">
        <v>209.5</v>
      </c>
      <c r="J265" t="str">
        <f>"BEARINGS/BLADE/BOLT"</f>
        <v>BEARINGS/BLADE/BOLT</v>
      </c>
    </row>
    <row r="266" spans="1:10" x14ac:dyDescent="0.3">
      <c r="A266" t="str">
        <f>""</f>
        <v/>
      </c>
      <c r="F266" t="s">
        <v>10</v>
      </c>
      <c r="G266" t="str">
        <f>"5181"</f>
        <v>5181</v>
      </c>
      <c r="H266" t="str">
        <f>"2 CYCLE MIX/STRING 22-195"</f>
        <v>2 CYCLE MIX/STRING 22-195</v>
      </c>
      <c r="I266" s="2">
        <v>55.27</v>
      </c>
      <c r="J266" t="str">
        <f>"2 CYCLE MIX/STRING 22-195"</f>
        <v>2 CYCLE MIX/STRING 22-195</v>
      </c>
    </row>
    <row r="267" spans="1:10" x14ac:dyDescent="0.3">
      <c r="A267" t="str">
        <f>""</f>
        <v/>
      </c>
      <c r="F267" t="s">
        <v>10</v>
      </c>
      <c r="G267" t="str">
        <f>"5198"</f>
        <v>5198</v>
      </c>
      <c r="H267" t="str">
        <f>"WEEDEATER HEADS/SHARPEN CHAINS"</f>
        <v>WEEDEATER HEADS/SHARPEN CHAINS</v>
      </c>
      <c r="I267" s="2">
        <v>102</v>
      </c>
      <c r="J267" t="str">
        <f>"WEEDEATER HEADS/SHARPEN CHAINS"</f>
        <v>WEEDEATER HEADS/SHARPEN CHAINS</v>
      </c>
    </row>
    <row r="268" spans="1:10" x14ac:dyDescent="0.3">
      <c r="A268" t="str">
        <f>"001542"</f>
        <v>001542</v>
      </c>
      <c r="B268" t="s">
        <v>87</v>
      </c>
      <c r="C268">
        <v>70744</v>
      </c>
      <c r="D268" s="2">
        <v>695</v>
      </c>
      <c r="E268" s="1">
        <v>42898</v>
      </c>
      <c r="F268" t="s">
        <v>10</v>
      </c>
      <c r="G268" t="str">
        <f>"201706022570"</f>
        <v>201706022570</v>
      </c>
      <c r="H268" t="str">
        <f>"CREMATION SERVICES"</f>
        <v>CREMATION SERVICES</v>
      </c>
      <c r="I268" s="2">
        <v>695</v>
      </c>
      <c r="J268" t="str">
        <f>"CREMATION SERVICES"</f>
        <v>CREMATION SERVICES</v>
      </c>
    </row>
    <row r="269" spans="1:10" x14ac:dyDescent="0.3">
      <c r="A269" t="str">
        <f>"002504"</f>
        <v>002504</v>
      </c>
      <c r="B269" t="s">
        <v>88</v>
      </c>
      <c r="C269">
        <v>70745</v>
      </c>
      <c r="D269" s="2">
        <v>223.6</v>
      </c>
      <c r="E269" s="1">
        <v>42898</v>
      </c>
      <c r="F269" t="s">
        <v>10</v>
      </c>
      <c r="G269" t="str">
        <f>"3957"</f>
        <v>3957</v>
      </c>
      <c r="H269" t="str">
        <f>"SIGNS/ELECTIONS DEPT"</f>
        <v>SIGNS/ELECTIONS DEPT</v>
      </c>
      <c r="I269" s="2">
        <v>223.6</v>
      </c>
      <c r="J269" t="str">
        <f>"SIGNS/ELECTIONS DEPT"</f>
        <v>SIGNS/ELECTIONS DEPT</v>
      </c>
    </row>
    <row r="270" spans="1:10" x14ac:dyDescent="0.3">
      <c r="A270" t="str">
        <f>"000485"</f>
        <v>000485</v>
      </c>
      <c r="B270" t="s">
        <v>89</v>
      </c>
      <c r="C270">
        <v>70746</v>
      </c>
      <c r="D270" s="2">
        <v>3325</v>
      </c>
      <c r="E270" s="1">
        <v>42898</v>
      </c>
      <c r="F270" t="s">
        <v>10</v>
      </c>
      <c r="G270" t="str">
        <f>"4699R"</f>
        <v>4699R</v>
      </c>
      <c r="H270" t="str">
        <f>"TREE REMOVAL SERVICES"</f>
        <v>TREE REMOVAL SERVICES</v>
      </c>
      <c r="I270" s="2">
        <v>3325</v>
      </c>
      <c r="J270" t="str">
        <f>"TREE SERVICES"</f>
        <v>TREE SERVICES</v>
      </c>
    </row>
    <row r="271" spans="1:10" x14ac:dyDescent="0.3">
      <c r="A271" t="str">
        <f>"BVH"</f>
        <v>BVH</v>
      </c>
      <c r="B271" t="s">
        <v>90</v>
      </c>
      <c r="C271">
        <v>71142</v>
      </c>
      <c r="D271" s="2">
        <v>293</v>
      </c>
      <c r="E271" s="1">
        <v>42912</v>
      </c>
      <c r="F271" t="s">
        <v>10</v>
      </c>
      <c r="G271" t="str">
        <f>"1076816"</f>
        <v>1076816</v>
      </c>
      <c r="H271" t="str">
        <f>"INV 1076816"</f>
        <v>INV 1076816</v>
      </c>
      <c r="I271" s="2">
        <v>168.75</v>
      </c>
      <c r="J271" t="str">
        <f>" INV 1076816"</f>
        <v xml:space="preserve"> INV 1076816</v>
      </c>
    </row>
    <row r="272" spans="1:10" x14ac:dyDescent="0.3">
      <c r="A272" t="str">
        <f>""</f>
        <v/>
      </c>
      <c r="G272" t="str">
        <f>""</f>
        <v/>
      </c>
      <c r="H272" t="str">
        <f>""</f>
        <v/>
      </c>
      <c r="J272" t="str">
        <f>"CREDIT OVER-PAYMENT"</f>
        <v>CREDIT OVER-PAYMENT</v>
      </c>
    </row>
    <row r="273" spans="1:10" x14ac:dyDescent="0.3">
      <c r="A273" t="str">
        <f>""</f>
        <v/>
      </c>
      <c r="F273" t="s">
        <v>10</v>
      </c>
      <c r="G273" t="str">
        <f>"1086470"</f>
        <v>1086470</v>
      </c>
      <c r="H273" t="str">
        <f>"INV 1086470"</f>
        <v>INV 1086470</v>
      </c>
      <c r="I273" s="2">
        <v>124.25</v>
      </c>
      <c r="J273" t="str">
        <f>"INV 1086470"</f>
        <v>INV 1086470</v>
      </c>
    </row>
    <row r="274" spans="1:10" x14ac:dyDescent="0.3">
      <c r="A274" t="str">
        <f>"000110"</f>
        <v>000110</v>
      </c>
      <c r="B274" t="s">
        <v>91</v>
      </c>
      <c r="C274">
        <v>70747</v>
      </c>
      <c r="D274" s="2">
        <v>2122.33</v>
      </c>
      <c r="E274" s="1">
        <v>42898</v>
      </c>
      <c r="F274" t="s">
        <v>10</v>
      </c>
      <c r="G274" t="str">
        <f>"201706052591"</f>
        <v>201706052591</v>
      </c>
      <c r="H274" t="str">
        <f>"INV BCK GRD SVCS FOR MAY 2017"</f>
        <v>INV BCK GRD SVCS FOR MAY 2017</v>
      </c>
      <c r="I274" s="2">
        <v>262.5</v>
      </c>
      <c r="J274" t="str">
        <f>"INV BCK GRD SVCS FOR MAY 2017"</f>
        <v>INV BCK GRD SVCS FOR MAY 2017</v>
      </c>
    </row>
    <row r="275" spans="1:10" x14ac:dyDescent="0.3">
      <c r="A275" t="str">
        <f>""</f>
        <v/>
      </c>
      <c r="F275" t="s">
        <v>10</v>
      </c>
      <c r="G275" t="str">
        <f>"BCK GRD INV MAY'17"</f>
        <v>BCK GRD INV MAY'17</v>
      </c>
      <c r="H275" t="str">
        <f>"MAY INVOICE"</f>
        <v>MAY INVOICE</v>
      </c>
      <c r="I275" s="2">
        <v>1859.83</v>
      </c>
      <c r="J275" t="str">
        <f>"LE"</f>
        <v>LE</v>
      </c>
    </row>
    <row r="276" spans="1:10" x14ac:dyDescent="0.3">
      <c r="A276" t="str">
        <f>""</f>
        <v/>
      </c>
      <c r="G276" t="str">
        <f>""</f>
        <v/>
      </c>
      <c r="H276" t="str">
        <f>""</f>
        <v/>
      </c>
      <c r="J276" t="str">
        <f>"JAIL"</f>
        <v>JAIL</v>
      </c>
    </row>
    <row r="277" spans="1:10" x14ac:dyDescent="0.3">
      <c r="A277" t="str">
        <f>"BGI"</f>
        <v>BGI</v>
      </c>
      <c r="B277" t="s">
        <v>92</v>
      </c>
      <c r="C277">
        <v>70748</v>
      </c>
      <c r="D277" s="2">
        <v>1141.5999999999999</v>
      </c>
      <c r="E277" s="1">
        <v>42898</v>
      </c>
      <c r="F277" t="s">
        <v>10</v>
      </c>
      <c r="G277" t="str">
        <f>"201706083030"</f>
        <v>201706083030</v>
      </c>
      <c r="H277" t="str">
        <f>"Laser Checks"</f>
        <v>Laser Checks</v>
      </c>
      <c r="I277" s="2">
        <v>1141.5999999999999</v>
      </c>
      <c r="J277" t="str">
        <f>"Laser Checks-20 000"</f>
        <v>Laser Checks-20 000</v>
      </c>
    </row>
    <row r="278" spans="1:10" x14ac:dyDescent="0.3">
      <c r="A278" t="str">
        <f>""</f>
        <v/>
      </c>
      <c r="G278" t="str">
        <f>""</f>
        <v/>
      </c>
      <c r="H278" t="str">
        <f>""</f>
        <v/>
      </c>
      <c r="J278" t="str">
        <f>"Freight"</f>
        <v>Freight</v>
      </c>
    </row>
    <row r="279" spans="1:10" x14ac:dyDescent="0.3">
      <c r="A279" t="str">
        <f>"003473"</f>
        <v>003473</v>
      </c>
      <c r="B279" t="s">
        <v>93</v>
      </c>
      <c r="C279">
        <v>70749</v>
      </c>
      <c r="D279" s="2">
        <v>70</v>
      </c>
      <c r="E279" s="1">
        <v>42898</v>
      </c>
      <c r="F279" t="s">
        <v>10</v>
      </c>
      <c r="G279" t="s">
        <v>68</v>
      </c>
      <c r="H279" t="s">
        <v>73</v>
      </c>
      <c r="I279" s="2" t="str">
        <f>"SERVICE 03/29/2017"</f>
        <v>SERVICE 03/29/2017</v>
      </c>
      <c r="J279" t="str">
        <f>"995-4110"</f>
        <v>995-4110</v>
      </c>
    </row>
    <row r="280" spans="1:10" x14ac:dyDescent="0.3">
      <c r="A280" t="str">
        <f>"KEITH"</f>
        <v>KEITH</v>
      </c>
      <c r="B280" t="s">
        <v>94</v>
      </c>
      <c r="C280">
        <v>70750</v>
      </c>
      <c r="D280" s="2">
        <v>1884.01</v>
      </c>
      <c r="E280" s="1">
        <v>42898</v>
      </c>
      <c r="F280" t="s">
        <v>10</v>
      </c>
      <c r="G280" t="str">
        <f>"74323989"</f>
        <v>74323989</v>
      </c>
      <c r="H280" t="str">
        <f>"INVOICE 74323989 FOOD"</f>
        <v>INVOICE 74323989 FOOD</v>
      </c>
      <c r="I280" s="2">
        <v>1074.42</v>
      </c>
      <c r="J280" t="str">
        <f>"INVOICE 74323989 FOOF"</f>
        <v>INVOICE 74323989 FOOF</v>
      </c>
    </row>
    <row r="281" spans="1:10" x14ac:dyDescent="0.3">
      <c r="A281" t="str">
        <f>""</f>
        <v/>
      </c>
      <c r="F281" t="s">
        <v>10</v>
      </c>
      <c r="G281" t="str">
        <f>"INV74332468"</f>
        <v>INV74332468</v>
      </c>
      <c r="H281" t="str">
        <f>"FOOD INV74332468"</f>
        <v>FOOD INV74332468</v>
      </c>
      <c r="I281" s="2">
        <v>809.59</v>
      </c>
      <c r="J281" t="str">
        <f>"FOOD INV74332468"</f>
        <v>FOOD INV74332468</v>
      </c>
    </row>
    <row r="282" spans="1:10" x14ac:dyDescent="0.3">
      <c r="A282" t="str">
        <f>"KEITH"</f>
        <v>KEITH</v>
      </c>
      <c r="B282" t="s">
        <v>94</v>
      </c>
      <c r="C282">
        <v>71143</v>
      </c>
      <c r="D282" s="2">
        <v>3081.83</v>
      </c>
      <c r="E282" s="1">
        <v>42912</v>
      </c>
      <c r="F282" t="s">
        <v>10</v>
      </c>
      <c r="G282" t="str">
        <f>"74339326"</f>
        <v>74339326</v>
      </c>
      <c r="H282" t="str">
        <f>"FOOD INV74339326"</f>
        <v>FOOD INV74339326</v>
      </c>
      <c r="I282" s="2">
        <v>1131.82</v>
      </c>
      <c r="J282" t="str">
        <f>"FOOD INV74339326"</f>
        <v>FOOD INV74339326</v>
      </c>
    </row>
    <row r="283" spans="1:10" x14ac:dyDescent="0.3">
      <c r="A283" t="str">
        <f>""</f>
        <v/>
      </c>
      <c r="F283" t="s">
        <v>10</v>
      </c>
      <c r="G283" t="str">
        <f>"74346516"</f>
        <v>74346516</v>
      </c>
      <c r="H283" t="str">
        <f>"FOOD INV74346516"</f>
        <v>FOOD INV74346516</v>
      </c>
      <c r="I283" s="2">
        <v>1037.44</v>
      </c>
      <c r="J283" t="str">
        <f>"FOOD INV74346516"</f>
        <v>FOOD INV74346516</v>
      </c>
    </row>
    <row r="284" spans="1:10" x14ac:dyDescent="0.3">
      <c r="A284" t="str">
        <f>""</f>
        <v/>
      </c>
      <c r="F284" t="s">
        <v>10</v>
      </c>
      <c r="G284" t="str">
        <f>"74353797"</f>
        <v>74353797</v>
      </c>
      <c r="H284" t="str">
        <f>"INV74353797 FOOD"</f>
        <v>INV74353797 FOOD</v>
      </c>
      <c r="I284" s="2">
        <v>912.57</v>
      </c>
      <c r="J284" t="str">
        <f>"INV74353797 FOOD"</f>
        <v>INV74353797 FOOD</v>
      </c>
    </row>
    <row r="285" spans="1:10" x14ac:dyDescent="0.3">
      <c r="A285" t="str">
        <f>"004075"</f>
        <v>004075</v>
      </c>
      <c r="B285" t="s">
        <v>95</v>
      </c>
      <c r="C285">
        <v>70751</v>
      </c>
      <c r="D285" s="2">
        <v>2447.46</v>
      </c>
      <c r="E285" s="1">
        <v>42898</v>
      </c>
      <c r="F285" t="s">
        <v>10</v>
      </c>
      <c r="G285" t="str">
        <f>"167315-00"</f>
        <v>167315-00</v>
      </c>
      <c r="H285" t="str">
        <f>"INV167315 FOOD"</f>
        <v>INV167315 FOOD</v>
      </c>
      <c r="I285" s="2">
        <v>2447.46</v>
      </c>
      <c r="J285" t="str">
        <f>"INV167315 FOOD"</f>
        <v>INV167315 FOOD</v>
      </c>
    </row>
    <row r="286" spans="1:10" x14ac:dyDescent="0.3">
      <c r="A286" t="str">
        <f>"001112"</f>
        <v>001112</v>
      </c>
      <c r="B286" t="s">
        <v>96</v>
      </c>
      <c r="C286">
        <v>70752</v>
      </c>
      <c r="D286" s="2">
        <v>57.95</v>
      </c>
      <c r="E286" s="1">
        <v>42898</v>
      </c>
      <c r="F286" t="s">
        <v>10</v>
      </c>
      <c r="G286" t="str">
        <f>"2717402"</f>
        <v>2717402</v>
      </c>
      <c r="H286" t="str">
        <f>"Stmt# 01465920170602"</f>
        <v>Stmt# 01465920170602</v>
      </c>
      <c r="I286" s="2">
        <v>57.95</v>
      </c>
      <c r="J286" t="str">
        <f>"Inv# 2717402"</f>
        <v>Inv# 2717402</v>
      </c>
    </row>
    <row r="287" spans="1:10" x14ac:dyDescent="0.3">
      <c r="A287" t="str">
        <f>"001112"</f>
        <v>001112</v>
      </c>
      <c r="B287" t="s">
        <v>96</v>
      </c>
      <c r="C287">
        <v>71144</v>
      </c>
      <c r="D287" s="2">
        <v>179.98</v>
      </c>
      <c r="E287" s="1">
        <v>42912</v>
      </c>
      <c r="F287" t="s">
        <v>10</v>
      </c>
      <c r="G287" t="str">
        <f>"2771630"</f>
        <v>2771630</v>
      </c>
      <c r="H287" t="str">
        <f>"Blu-ray Rewriter"</f>
        <v>Blu-ray Rewriter</v>
      </c>
      <c r="I287" s="2">
        <v>179.98</v>
      </c>
      <c r="J287" t="str">
        <f>"LG BP50NB40"</f>
        <v>LG BP50NB40</v>
      </c>
    </row>
    <row r="288" spans="1:10" x14ac:dyDescent="0.3">
      <c r="A288" t="str">
        <f>"T9232"</f>
        <v>T9232</v>
      </c>
      <c r="B288" t="s">
        <v>97</v>
      </c>
      <c r="C288">
        <v>70753</v>
      </c>
      <c r="D288" s="2">
        <v>747.92</v>
      </c>
      <c r="E288" s="1">
        <v>42898</v>
      </c>
      <c r="F288" t="s">
        <v>10</v>
      </c>
      <c r="G288" t="str">
        <f>"618043"</f>
        <v>618043</v>
      </c>
      <c r="H288" t="str">
        <f>"BETAZYME/BILLY GOAT"</f>
        <v>BETAZYME/BILLY GOAT</v>
      </c>
      <c r="I288" s="2">
        <v>747.92</v>
      </c>
      <c r="J288" t="str">
        <f>"BETAZYME/BILLY GOAT"</f>
        <v>BETAZYME/BILLY GOAT</v>
      </c>
    </row>
    <row r="289" spans="1:10" x14ac:dyDescent="0.3">
      <c r="A289" t="str">
        <f>"T12436"</f>
        <v>T12436</v>
      </c>
      <c r="B289" t="s">
        <v>98</v>
      </c>
      <c r="C289">
        <v>71145</v>
      </c>
      <c r="D289" s="2">
        <v>1561.5</v>
      </c>
      <c r="E289" s="1">
        <v>42912</v>
      </c>
      <c r="F289" t="s">
        <v>10</v>
      </c>
      <c r="G289" t="str">
        <f>"201706213182"</f>
        <v>201706213182</v>
      </c>
      <c r="H289" t="str">
        <f>"14-16889/GUARDIAN AD LITEM"</f>
        <v>14-16889/GUARDIAN AD LITEM</v>
      </c>
      <c r="I289" s="2">
        <v>1561.5</v>
      </c>
      <c r="J289" t="str">
        <f>"14-16889/GUARDIAN AD LITEM"</f>
        <v>14-16889/GUARDIAN AD LITEM</v>
      </c>
    </row>
    <row r="290" spans="1:10" x14ac:dyDescent="0.3">
      <c r="A290" t="str">
        <f>"002443"</f>
        <v>002443</v>
      </c>
      <c r="B290" t="s">
        <v>99</v>
      </c>
      <c r="C290">
        <v>70754</v>
      </c>
      <c r="D290" s="2">
        <v>215</v>
      </c>
      <c r="E290" s="1">
        <v>42898</v>
      </c>
      <c r="F290" t="s">
        <v>10</v>
      </c>
      <c r="G290" t="s">
        <v>64</v>
      </c>
      <c r="H290" t="s">
        <v>65</v>
      </c>
      <c r="I290" s="2" t="str">
        <f>"SERVICE/3-14-2017"</f>
        <v>SERVICE/3-14-2017</v>
      </c>
      <c r="J290" t="str">
        <f>"995-4110"</f>
        <v>995-4110</v>
      </c>
    </row>
    <row r="291" spans="1:10" x14ac:dyDescent="0.3">
      <c r="A291" t="str">
        <f>""</f>
        <v/>
      </c>
      <c r="F291" t="s">
        <v>10</v>
      </c>
      <c r="G291" t="str">
        <f>"12366"</f>
        <v>12366</v>
      </c>
      <c r="H291" t="str">
        <f>"SERVICE 03/06/2017"</f>
        <v>SERVICE 03/06/2017</v>
      </c>
      <c r="I291" s="2">
        <v>80</v>
      </c>
      <c r="J291" t="str">
        <f>"SERVICE 03/06/2017"</f>
        <v>SERVICE 03/06/2017</v>
      </c>
    </row>
    <row r="292" spans="1:10" x14ac:dyDescent="0.3">
      <c r="A292" t="str">
        <f>""</f>
        <v/>
      </c>
      <c r="F292" t="s">
        <v>10</v>
      </c>
      <c r="G292" t="str">
        <f>"12643"</f>
        <v>12643</v>
      </c>
      <c r="H292" t="str">
        <f>"SERVICE 03/06/2017"</f>
        <v>SERVICE 03/06/2017</v>
      </c>
      <c r="I292" s="2">
        <v>75</v>
      </c>
      <c r="J292" t="str">
        <f>"SERVICE 03/06/2017"</f>
        <v>SERVICE 03/06/2017</v>
      </c>
    </row>
    <row r="293" spans="1:10" x14ac:dyDescent="0.3">
      <c r="A293" t="str">
        <f>"002443"</f>
        <v>002443</v>
      </c>
      <c r="B293" t="s">
        <v>99</v>
      </c>
      <c r="C293">
        <v>71146</v>
      </c>
      <c r="D293" s="2">
        <v>75</v>
      </c>
      <c r="E293" s="1">
        <v>42912</v>
      </c>
      <c r="F293" t="s">
        <v>10</v>
      </c>
      <c r="G293" t="str">
        <f>"12440"</f>
        <v>12440</v>
      </c>
      <c r="H293" t="str">
        <f>"SERVICE-3/24/17"</f>
        <v>SERVICE-3/24/17</v>
      </c>
      <c r="I293" s="2">
        <v>75</v>
      </c>
      <c r="J293" t="str">
        <f>"SERVICE-3/24/17"</f>
        <v>SERVICE-3/24/17</v>
      </c>
    </row>
    <row r="294" spans="1:10" x14ac:dyDescent="0.3">
      <c r="A294" t="str">
        <f>"004147"</f>
        <v>004147</v>
      </c>
      <c r="B294" t="s">
        <v>100</v>
      </c>
      <c r="C294">
        <v>70755</v>
      </c>
      <c r="D294" s="2">
        <v>1737.7</v>
      </c>
      <c r="E294" s="1">
        <v>42898</v>
      </c>
      <c r="F294" t="s">
        <v>10</v>
      </c>
      <c r="G294" t="str">
        <f>"3843"</f>
        <v>3843</v>
      </c>
      <c r="H294" t="str">
        <f>"CHECK MOWER AND REPAIRS/PCT4"</f>
        <v>CHECK MOWER AND REPAIRS/PCT4</v>
      </c>
      <c r="I294" s="2">
        <v>1559.33</v>
      </c>
      <c r="J294" t="str">
        <f>"CHECK MOWER AND REPAIRS/PCT4"</f>
        <v>CHECK MOWER AND REPAIRS/PCT4</v>
      </c>
    </row>
    <row r="295" spans="1:10" x14ac:dyDescent="0.3">
      <c r="A295" t="str">
        <f>""</f>
        <v/>
      </c>
      <c r="F295" t="s">
        <v>10</v>
      </c>
      <c r="G295" t="str">
        <f>"3894"</f>
        <v>3894</v>
      </c>
      <c r="H295" t="str">
        <f>"REPLACED BROKEN BELT 2003 FORD"</f>
        <v>REPLACED BROKEN BELT 2003 FORD</v>
      </c>
      <c r="I295" s="2">
        <v>103.37</v>
      </c>
      <c r="J295" t="str">
        <f>"REPLACED BROKEN BELT 2003 FORD"</f>
        <v>REPLACED BROKEN BELT 2003 FORD</v>
      </c>
    </row>
    <row r="296" spans="1:10" x14ac:dyDescent="0.3">
      <c r="A296" t="str">
        <f>""</f>
        <v/>
      </c>
      <c r="F296" t="s">
        <v>10</v>
      </c>
      <c r="G296" t="str">
        <f>"3914"</f>
        <v>3914</v>
      </c>
      <c r="H296" t="str">
        <f>"CHECK A/C/ADD FREON/PCT 4"</f>
        <v>CHECK A/C/ADD FREON/PCT 4</v>
      </c>
      <c r="I296" s="2">
        <v>75</v>
      </c>
      <c r="J296" t="str">
        <f>"CHECK A/C/ADD FREON/PCT 4"</f>
        <v>CHECK A/C/ADD FREON/PCT 4</v>
      </c>
    </row>
    <row r="297" spans="1:10" x14ac:dyDescent="0.3">
      <c r="A297" t="str">
        <f>"000593"</f>
        <v>000593</v>
      </c>
      <c r="B297" t="s">
        <v>101</v>
      </c>
      <c r="C297">
        <v>70756</v>
      </c>
      <c r="D297" s="2">
        <v>954.38</v>
      </c>
      <c r="E297" s="1">
        <v>42898</v>
      </c>
      <c r="F297" t="s">
        <v>10</v>
      </c>
      <c r="G297" t="str">
        <f>"84078928422"</f>
        <v>84078928422</v>
      </c>
      <c r="H297" t="str">
        <f>"INV84078928422 BAKERY"</f>
        <v>INV84078928422 BAKERY</v>
      </c>
      <c r="I297" s="2">
        <v>297.42</v>
      </c>
      <c r="J297" t="str">
        <f>"INV84078928422 BAKERY"</f>
        <v>INV84078928422 BAKERY</v>
      </c>
    </row>
    <row r="298" spans="1:10" x14ac:dyDescent="0.3">
      <c r="A298" t="str">
        <f>""</f>
        <v/>
      </c>
      <c r="F298" t="s">
        <v>10</v>
      </c>
      <c r="G298" t="str">
        <f>"84078928566/8487"</f>
        <v>84078928566/8487</v>
      </c>
      <c r="H298" t="str">
        <f>"BAKERY"</f>
        <v>BAKERY</v>
      </c>
      <c r="I298" s="2">
        <v>359.54</v>
      </c>
      <c r="J298" t="str">
        <f>"INV84078928566"</f>
        <v>INV84078928566</v>
      </c>
    </row>
    <row r="299" spans="1:10" x14ac:dyDescent="0.3">
      <c r="A299" t="str">
        <f>""</f>
        <v/>
      </c>
      <c r="G299" t="str">
        <f>""</f>
        <v/>
      </c>
      <c r="H299" t="str">
        <f>""</f>
        <v/>
      </c>
      <c r="J299" t="str">
        <f>"INVOICE 84078928487"</f>
        <v>INVOICE 84078928487</v>
      </c>
    </row>
    <row r="300" spans="1:10" x14ac:dyDescent="0.3">
      <c r="A300" t="str">
        <f>""</f>
        <v/>
      </c>
      <c r="F300" t="s">
        <v>10</v>
      </c>
      <c r="G300" t="str">
        <f>"INV840789238389"</f>
        <v>INV840789238389</v>
      </c>
      <c r="H300" t="str">
        <f>"BAKERY INV840789238389"</f>
        <v>BAKERY INV840789238389</v>
      </c>
      <c r="I300" s="2">
        <v>297.42</v>
      </c>
      <c r="J300" t="str">
        <f>"BAKERY INV840789238389"</f>
        <v>BAKERY INV840789238389</v>
      </c>
    </row>
    <row r="301" spans="1:10" x14ac:dyDescent="0.3">
      <c r="A301" t="str">
        <f>"000593"</f>
        <v>000593</v>
      </c>
      <c r="B301" t="s">
        <v>101</v>
      </c>
      <c r="C301">
        <v>71147</v>
      </c>
      <c r="D301" s="2">
        <v>603.54</v>
      </c>
      <c r="E301" s="1">
        <v>42912</v>
      </c>
      <c r="F301" t="s">
        <v>10</v>
      </c>
      <c r="G301" t="str">
        <f>"84078928663/753"</f>
        <v>84078928663/753</v>
      </c>
      <c r="H301" t="str">
        <f>"FOOD"</f>
        <v>FOOD</v>
      </c>
      <c r="I301" s="2">
        <v>603.54</v>
      </c>
      <c r="J301" t="str">
        <f>"INV84078928663 FOOD"</f>
        <v>INV84078928663 FOOD</v>
      </c>
    </row>
    <row r="302" spans="1:10" x14ac:dyDescent="0.3">
      <c r="A302" t="str">
        <f>""</f>
        <v/>
      </c>
      <c r="G302" t="str">
        <f>""</f>
        <v/>
      </c>
      <c r="H302" t="str">
        <f>""</f>
        <v/>
      </c>
      <c r="J302" t="str">
        <f>"INV84078928753"</f>
        <v>INV84078928753</v>
      </c>
    </row>
    <row r="303" spans="1:10" x14ac:dyDescent="0.3">
      <c r="A303" t="str">
        <f>"003732"</f>
        <v>003732</v>
      </c>
      <c r="B303" t="s">
        <v>102</v>
      </c>
      <c r="C303">
        <v>70757</v>
      </c>
      <c r="D303" s="2">
        <v>2409.7399999999998</v>
      </c>
      <c r="E303" s="1">
        <v>42898</v>
      </c>
      <c r="F303" t="s">
        <v>10</v>
      </c>
      <c r="G303" t="str">
        <f>"201706012472"</f>
        <v>201706012472</v>
      </c>
      <c r="H303" t="str">
        <f>"54 782"</f>
        <v>54 782</v>
      </c>
      <c r="I303" s="2">
        <v>250</v>
      </c>
      <c r="J303" t="str">
        <f>"54 782"</f>
        <v>54 782</v>
      </c>
    </row>
    <row r="304" spans="1:10" x14ac:dyDescent="0.3">
      <c r="A304" t="str">
        <f>""</f>
        <v/>
      </c>
      <c r="F304" t="s">
        <v>10</v>
      </c>
      <c r="G304" t="str">
        <f>"201706012473"</f>
        <v>201706012473</v>
      </c>
      <c r="H304" t="str">
        <f>"AC-2017-0506B"</f>
        <v>AC-2017-0506B</v>
      </c>
      <c r="I304" s="2">
        <v>75</v>
      </c>
      <c r="J304" t="str">
        <f>"AC-2017-0506B"</f>
        <v>AC-2017-0506B</v>
      </c>
    </row>
    <row r="305" spans="1:10" x14ac:dyDescent="0.3">
      <c r="A305" t="str">
        <f>""</f>
        <v/>
      </c>
      <c r="F305" t="s">
        <v>10</v>
      </c>
      <c r="G305" t="str">
        <f>"201706072832"</f>
        <v>201706072832</v>
      </c>
      <c r="H305" t="str">
        <f>"J-3060"</f>
        <v>J-3060</v>
      </c>
      <c r="I305" s="2">
        <v>406.25</v>
      </c>
      <c r="J305" t="str">
        <f>"J-3060"</f>
        <v>J-3060</v>
      </c>
    </row>
    <row r="306" spans="1:10" x14ac:dyDescent="0.3">
      <c r="A306" t="str">
        <f>""</f>
        <v/>
      </c>
      <c r="F306" t="s">
        <v>10</v>
      </c>
      <c r="G306" t="str">
        <f>"201706072834"</f>
        <v>201706072834</v>
      </c>
      <c r="H306" t="str">
        <f>"16-17713"</f>
        <v>16-17713</v>
      </c>
      <c r="I306" s="2">
        <v>100</v>
      </c>
      <c r="J306" t="str">
        <f>"16-17713"</f>
        <v>16-17713</v>
      </c>
    </row>
    <row r="307" spans="1:10" x14ac:dyDescent="0.3">
      <c r="A307" t="str">
        <f>""</f>
        <v/>
      </c>
      <c r="F307" t="s">
        <v>10</v>
      </c>
      <c r="G307" t="str">
        <f>"201706072836"</f>
        <v>201706072836</v>
      </c>
      <c r="H307" t="str">
        <f>"16-17894"</f>
        <v>16-17894</v>
      </c>
      <c r="I307" s="2">
        <v>100</v>
      </c>
      <c r="J307" t="str">
        <f>"16-17894"</f>
        <v>16-17894</v>
      </c>
    </row>
    <row r="308" spans="1:10" x14ac:dyDescent="0.3">
      <c r="A308" t="str">
        <f>""</f>
        <v/>
      </c>
      <c r="F308" t="s">
        <v>10</v>
      </c>
      <c r="G308" t="str">
        <f>"201706072837"</f>
        <v>201706072837</v>
      </c>
      <c r="H308" t="str">
        <f>"AC-2016-0203"</f>
        <v>AC-2016-0203</v>
      </c>
      <c r="I308" s="2">
        <v>250</v>
      </c>
      <c r="J308" t="str">
        <f>"AC-2016-0203"</f>
        <v>AC-2016-0203</v>
      </c>
    </row>
    <row r="309" spans="1:10" x14ac:dyDescent="0.3">
      <c r="A309" t="str">
        <f>""</f>
        <v/>
      </c>
      <c r="F309" t="s">
        <v>10</v>
      </c>
      <c r="G309" t="str">
        <f>"201706072838"</f>
        <v>201706072838</v>
      </c>
      <c r="H309" t="str">
        <f>"16-17591"</f>
        <v>16-17591</v>
      </c>
      <c r="I309" s="2">
        <v>978.49</v>
      </c>
      <c r="J309" t="str">
        <f>"16-17591"</f>
        <v>16-17591</v>
      </c>
    </row>
    <row r="310" spans="1:10" x14ac:dyDescent="0.3">
      <c r="A310" t="str">
        <f>""</f>
        <v/>
      </c>
      <c r="F310" t="s">
        <v>10</v>
      </c>
      <c r="G310" t="str">
        <f>"201706072840"</f>
        <v>201706072840</v>
      </c>
      <c r="H310" t="str">
        <f>"AC-2017-0128B"</f>
        <v>AC-2017-0128B</v>
      </c>
      <c r="I310" s="2">
        <v>250</v>
      </c>
      <c r="J310" t="str">
        <f>"AC-2017-0128B"</f>
        <v>AC-2017-0128B</v>
      </c>
    </row>
    <row r="311" spans="1:10" x14ac:dyDescent="0.3">
      <c r="A311" t="str">
        <f>"003732"</f>
        <v>003732</v>
      </c>
      <c r="B311" t="s">
        <v>102</v>
      </c>
      <c r="C311">
        <v>71148</v>
      </c>
      <c r="D311" s="2">
        <v>475</v>
      </c>
      <c r="E311" s="1">
        <v>42912</v>
      </c>
      <c r="F311" t="s">
        <v>10</v>
      </c>
      <c r="G311" t="str">
        <f>"201706213183"</f>
        <v>201706213183</v>
      </c>
      <c r="H311" t="str">
        <f>"40715-5/407185-4"</f>
        <v>40715-5/407185-4</v>
      </c>
      <c r="I311" s="2">
        <v>375</v>
      </c>
      <c r="J311" t="str">
        <f>"40715-5/407185-4"</f>
        <v>40715-5/407185-4</v>
      </c>
    </row>
    <row r="312" spans="1:10" x14ac:dyDescent="0.3">
      <c r="A312" t="str">
        <f>""</f>
        <v/>
      </c>
      <c r="F312" t="s">
        <v>10</v>
      </c>
      <c r="G312" t="str">
        <f>"201706213184"</f>
        <v>201706213184</v>
      </c>
      <c r="H312" t="str">
        <f>"16-17820"</f>
        <v>16-17820</v>
      </c>
      <c r="I312" s="2">
        <v>100</v>
      </c>
      <c r="J312" t="str">
        <f>"16-17820"</f>
        <v>16-17820</v>
      </c>
    </row>
    <row r="313" spans="1:10" x14ac:dyDescent="0.3">
      <c r="A313" t="str">
        <f>"001135"</f>
        <v>001135</v>
      </c>
      <c r="B313" t="s">
        <v>103</v>
      </c>
      <c r="C313">
        <v>70758</v>
      </c>
      <c r="D313" s="2">
        <v>737.26</v>
      </c>
      <c r="E313" s="1">
        <v>42898</v>
      </c>
      <c r="F313" t="s">
        <v>10</v>
      </c>
      <c r="G313" t="str">
        <f>"201706052617"</f>
        <v>201706052617</v>
      </c>
      <c r="H313" t="str">
        <f>"CRIMESTOPPER FEES FOR MAY 2017"</f>
        <v>CRIMESTOPPER FEES FOR MAY 2017</v>
      </c>
      <c r="I313" s="2">
        <v>737.26</v>
      </c>
      <c r="J313" t="str">
        <f>"CRIMESTOPPER FEES FOR MAY 2017"</f>
        <v>CRIMESTOPPER FEES FOR MAY 2017</v>
      </c>
    </row>
    <row r="314" spans="1:10" x14ac:dyDescent="0.3">
      <c r="A314" t="str">
        <f>"BEC"</f>
        <v>BEC</v>
      </c>
      <c r="B314" t="s">
        <v>104</v>
      </c>
      <c r="C314">
        <v>71095</v>
      </c>
      <c r="D314" s="2">
        <v>3193.42</v>
      </c>
      <c r="E314" s="1">
        <v>42906</v>
      </c>
      <c r="F314" t="s">
        <v>10</v>
      </c>
      <c r="G314" t="str">
        <f>"201706203172"</f>
        <v>201706203172</v>
      </c>
      <c r="H314" t="str">
        <f>"ACCT #5000057374 - 06/05/2017"</f>
        <v>ACCT #5000057374 - 06/05/2017</v>
      </c>
      <c r="I314" s="2">
        <v>2228.31</v>
      </c>
      <c r="J314" t="str">
        <f>"ACCT #5000057374 - 06/05/2017"</f>
        <v>ACCT #5000057374 - 06/05/2017</v>
      </c>
    </row>
    <row r="315" spans="1:10" x14ac:dyDescent="0.3">
      <c r="A315" t="str">
        <f>""</f>
        <v/>
      </c>
      <c r="G315" t="str">
        <f>""</f>
        <v/>
      </c>
      <c r="H315" t="str">
        <f>""</f>
        <v/>
      </c>
      <c r="J315" t="str">
        <f>"ACCT #5000057374 - 06/05/2017"</f>
        <v>ACCT #5000057374 - 06/05/2017</v>
      </c>
    </row>
    <row r="316" spans="1:10" x14ac:dyDescent="0.3">
      <c r="A316" t="str">
        <f>""</f>
        <v/>
      </c>
      <c r="G316" t="str">
        <f>""</f>
        <v/>
      </c>
      <c r="H316" t="str">
        <f>""</f>
        <v/>
      </c>
      <c r="J316" t="str">
        <f>"ACCT #5000057374 - 06/05/2017"</f>
        <v>ACCT #5000057374 - 06/05/2017</v>
      </c>
    </row>
    <row r="317" spans="1:10" x14ac:dyDescent="0.3">
      <c r="A317" t="str">
        <f>""</f>
        <v/>
      </c>
      <c r="F317" t="s">
        <v>10</v>
      </c>
      <c r="G317" t="str">
        <f>"201706203174"</f>
        <v>201706203174</v>
      </c>
      <c r="H317" t="str">
        <f>"ACCT #5500033554 - 06/05/2017"</f>
        <v>ACCT #5500033554 - 06/05/2017</v>
      </c>
      <c r="I317" s="2">
        <v>379.24</v>
      </c>
      <c r="J317" t="str">
        <f>"ACCT #5500033554 - 06/05/2017"</f>
        <v>ACCT #5500033554 - 06/05/2017</v>
      </c>
    </row>
    <row r="318" spans="1:10" x14ac:dyDescent="0.3">
      <c r="A318" t="str">
        <f>""</f>
        <v/>
      </c>
      <c r="F318" t="s">
        <v>10</v>
      </c>
      <c r="G318" t="str">
        <f>"201706203175"</f>
        <v>201706203175</v>
      </c>
      <c r="H318" t="str">
        <f>"ACCT #5000274849 - 06/05/2017"</f>
        <v>ACCT #5000274849 - 06/05/2017</v>
      </c>
      <c r="I318" s="2">
        <v>585.87</v>
      </c>
      <c r="J318" t="str">
        <f>"ACCT #5000274849 - 06/05/2017"</f>
        <v>ACCT #5000274849 - 06/05/2017</v>
      </c>
    </row>
    <row r="319" spans="1:10" x14ac:dyDescent="0.3">
      <c r="A319" t="str">
        <f>"T5975"</f>
        <v>T5975</v>
      </c>
      <c r="B319" t="s">
        <v>105</v>
      </c>
      <c r="C319">
        <v>71149</v>
      </c>
      <c r="D319" s="2">
        <v>5250</v>
      </c>
      <c r="E319" s="1">
        <v>42912</v>
      </c>
      <c r="F319" t="s">
        <v>10</v>
      </c>
      <c r="G319" t="str">
        <f>"5-2017"</f>
        <v>5-2017</v>
      </c>
      <c r="H319" t="str">
        <f>"COUNSELING INVOICE 5-2017"</f>
        <v>COUNSELING INVOICE 5-2017</v>
      </c>
      <c r="I319" s="2">
        <v>1275</v>
      </c>
      <c r="J319" t="str">
        <f>"COUNSELING INVOICE 5-2017"</f>
        <v>COUNSELING INVOICE 5-2017</v>
      </c>
    </row>
    <row r="320" spans="1:10" x14ac:dyDescent="0.3">
      <c r="A320" t="str">
        <f>""</f>
        <v/>
      </c>
      <c r="F320" t="s">
        <v>10</v>
      </c>
      <c r="G320" t="str">
        <f>"JAN/FEB/MAR SERV"</f>
        <v>JAN/FEB/MAR SERV</v>
      </c>
      <c r="H320" t="str">
        <f>"INMATE COUNSELING"</f>
        <v>INMATE COUNSELING</v>
      </c>
      <c r="I320" s="2">
        <v>3975</v>
      </c>
      <c r="J320" t="str">
        <f>"JAN SERVICE"</f>
        <v>JAN SERVICE</v>
      </c>
    </row>
    <row r="321" spans="1:10" x14ac:dyDescent="0.3">
      <c r="A321" t="str">
        <f>""</f>
        <v/>
      </c>
      <c r="G321" t="str">
        <f>""</f>
        <v/>
      </c>
      <c r="H321" t="str">
        <f>""</f>
        <v/>
      </c>
      <c r="J321" t="str">
        <f>"FEBRUARY SERVICE"</f>
        <v>FEBRUARY SERVICE</v>
      </c>
    </row>
    <row r="322" spans="1:10" x14ac:dyDescent="0.3">
      <c r="A322" t="str">
        <f>""</f>
        <v/>
      </c>
      <c r="G322" t="str">
        <f>""</f>
        <v/>
      </c>
      <c r="H322" t="str">
        <f>""</f>
        <v/>
      </c>
      <c r="J322" t="str">
        <f>"MARCH/APRIL SERVICE"</f>
        <v>MARCH/APRIL SERVICE</v>
      </c>
    </row>
    <row r="323" spans="1:10" x14ac:dyDescent="0.3">
      <c r="A323" t="str">
        <f>"001367"</f>
        <v>001367</v>
      </c>
      <c r="B323" t="s">
        <v>106</v>
      </c>
      <c r="C323">
        <v>70759</v>
      </c>
      <c r="D323" s="2">
        <v>7097.19</v>
      </c>
      <c r="E323" s="1">
        <v>42898</v>
      </c>
      <c r="F323" t="s">
        <v>10</v>
      </c>
      <c r="G323" t="str">
        <f>"INV 5276/UNIT 0417"</f>
        <v>INV 5276/UNIT 0417</v>
      </c>
      <c r="H323" t="str">
        <f>"INV 5276/UNIT 0417"</f>
        <v>INV 5276/UNIT 0417</v>
      </c>
      <c r="I323" s="2">
        <v>275</v>
      </c>
      <c r="J323" t="str">
        <f>"INV 5276/UNIT 0417"</f>
        <v>INV 5276/UNIT 0417</v>
      </c>
    </row>
    <row r="324" spans="1:10" x14ac:dyDescent="0.3">
      <c r="A324" t="str">
        <f>""</f>
        <v/>
      </c>
      <c r="F324" t="s">
        <v>10</v>
      </c>
      <c r="G324" t="str">
        <f>"INV 5296/UNIT 0121"</f>
        <v>INV 5296/UNIT 0121</v>
      </c>
      <c r="H324" t="str">
        <f>"INV 5296/UNIT 0121"</f>
        <v>INV 5296/UNIT 0121</v>
      </c>
      <c r="I324" s="2">
        <v>128.69999999999999</v>
      </c>
      <c r="J324" t="str">
        <f>"INV 5296/UNIT 0121"</f>
        <v>INV 5296/UNIT 0121</v>
      </c>
    </row>
    <row r="325" spans="1:10" x14ac:dyDescent="0.3">
      <c r="A325" t="str">
        <f>""</f>
        <v/>
      </c>
      <c r="F325" t="s">
        <v>10</v>
      </c>
      <c r="G325" t="str">
        <f>"INV 5297/UNIT 126"</f>
        <v>INV 5297/UNIT 126</v>
      </c>
      <c r="H325" t="str">
        <f>"INV 5297/UNIT 126"</f>
        <v>INV 5297/UNIT 126</v>
      </c>
      <c r="I325" s="2">
        <v>200.16</v>
      </c>
      <c r="J325" t="str">
        <f>"INV 5297/UNIT 126"</f>
        <v>INV 5297/UNIT 126</v>
      </c>
    </row>
    <row r="326" spans="1:10" x14ac:dyDescent="0.3">
      <c r="A326" t="str">
        <f>""</f>
        <v/>
      </c>
      <c r="F326" t="s">
        <v>10</v>
      </c>
      <c r="G326" t="str">
        <f>"INV 5299/UNIT 120"</f>
        <v>INV 5299/UNIT 120</v>
      </c>
      <c r="H326" t="str">
        <f>"INV 5299/UNIT 120"</f>
        <v>INV 5299/UNIT 120</v>
      </c>
      <c r="I326" s="2">
        <v>275.01</v>
      </c>
      <c r="J326" t="str">
        <f>"INV 5299/UNIT 120"</f>
        <v>INV 5299/UNIT 120</v>
      </c>
    </row>
    <row r="327" spans="1:10" x14ac:dyDescent="0.3">
      <c r="A327" t="str">
        <f>""</f>
        <v/>
      </c>
      <c r="F327" t="s">
        <v>10</v>
      </c>
      <c r="G327" t="str">
        <f>"INV 5356/UNIT 119"</f>
        <v>INV 5356/UNIT 119</v>
      </c>
      <c r="H327" t="str">
        <f>"INV 5356/UNIT  119"</f>
        <v>INV 5356/UNIT  119</v>
      </c>
      <c r="I327" s="2">
        <v>102.03</v>
      </c>
      <c r="J327" t="str">
        <f>"INV 5356/UNIT  119"</f>
        <v>INV 5356/UNIT  119</v>
      </c>
    </row>
    <row r="328" spans="1:10" x14ac:dyDescent="0.3">
      <c r="A328" t="str">
        <f>""</f>
        <v/>
      </c>
      <c r="F328" t="s">
        <v>10</v>
      </c>
      <c r="G328" t="str">
        <f>"INV 5387/UNIT 0123"</f>
        <v>INV 5387/UNIT 0123</v>
      </c>
      <c r="H328" t="str">
        <f>"INV 5387/UNIT 0123"</f>
        <v>INV 5387/UNIT 0123</v>
      </c>
      <c r="I328" s="2">
        <v>275.01</v>
      </c>
      <c r="J328" t="str">
        <f>"INV 5387/UNIT 0123"</f>
        <v>INV 5387/UNIT 0123</v>
      </c>
    </row>
    <row r="329" spans="1:10" x14ac:dyDescent="0.3">
      <c r="A329" t="str">
        <f>""</f>
        <v/>
      </c>
      <c r="F329" t="s">
        <v>10</v>
      </c>
      <c r="G329" t="str">
        <f>"INV 5393/UNIT 125"</f>
        <v>INV 5393/UNIT 125</v>
      </c>
      <c r="H329" t="str">
        <f>"INV 5393/UNIT 125"</f>
        <v>INV 5393/UNIT 125</v>
      </c>
      <c r="I329" s="2">
        <v>128.69999999999999</v>
      </c>
      <c r="J329" t="str">
        <f>"INV 5393/UNIT 125"</f>
        <v>INV 5393/UNIT 125</v>
      </c>
    </row>
    <row r="330" spans="1:10" x14ac:dyDescent="0.3">
      <c r="A330" t="str">
        <f>""</f>
        <v/>
      </c>
      <c r="F330" t="s">
        <v>10</v>
      </c>
      <c r="G330" t="str">
        <f>"INV 5406/UNIT 123"</f>
        <v>INV 5406/UNIT 123</v>
      </c>
      <c r="H330" t="str">
        <f>"INV 5406/UNIT 123"</f>
        <v>INV 5406/UNIT 123</v>
      </c>
      <c r="I330" s="2">
        <v>898.29</v>
      </c>
      <c r="J330" t="str">
        <f>"INV 5406/UNIT 123"</f>
        <v>INV 5406/UNIT 123</v>
      </c>
    </row>
    <row r="331" spans="1:10" x14ac:dyDescent="0.3">
      <c r="A331" t="str">
        <f>""</f>
        <v/>
      </c>
      <c r="F331" t="s">
        <v>10</v>
      </c>
      <c r="G331" t="str">
        <f>"INV 5417/UNIT 124"</f>
        <v>INV 5417/UNIT 124</v>
      </c>
      <c r="H331" t="str">
        <f>"INV 5417/UNIT 124"</f>
        <v>INV 5417/UNIT 124</v>
      </c>
      <c r="I331" s="2">
        <v>1128</v>
      </c>
      <c r="J331" t="str">
        <f>"INV 5417/UNIT 124"</f>
        <v>INV 5417/UNIT 124</v>
      </c>
    </row>
    <row r="332" spans="1:10" x14ac:dyDescent="0.3">
      <c r="A332" t="str">
        <f>""</f>
        <v/>
      </c>
      <c r="F332" t="s">
        <v>10</v>
      </c>
      <c r="G332" t="str">
        <f>"INV 5441/UNIT 8948"</f>
        <v>INV 5441/UNIT 8948</v>
      </c>
      <c r="H332" t="str">
        <f>"INV 5441/UNIT 8948"</f>
        <v>INV 5441/UNIT 8948</v>
      </c>
      <c r="I332" s="2">
        <v>147.41</v>
      </c>
      <c r="J332" t="str">
        <f>"INV 5441/UNIT 8948"</f>
        <v>INV 5441/UNIT 8948</v>
      </c>
    </row>
    <row r="333" spans="1:10" x14ac:dyDescent="0.3">
      <c r="A333" t="str">
        <f>""</f>
        <v/>
      </c>
      <c r="F333" t="s">
        <v>10</v>
      </c>
      <c r="G333" t="str">
        <f>"INV 5454/UNIT 0118"</f>
        <v>INV 5454/UNIT 0118</v>
      </c>
      <c r="H333" t="str">
        <f>"INV 5454/UNIT 0118"</f>
        <v>INV 5454/UNIT 0118</v>
      </c>
      <c r="I333" s="2">
        <v>948.76</v>
      </c>
      <c r="J333" t="str">
        <f>"INV 5454/UNIT 0118"</f>
        <v>INV 5454/UNIT 0118</v>
      </c>
    </row>
    <row r="334" spans="1:10" x14ac:dyDescent="0.3">
      <c r="A334" t="str">
        <f>""</f>
        <v/>
      </c>
      <c r="F334" t="s">
        <v>10</v>
      </c>
      <c r="G334" t="str">
        <f>"INV 5463/ UNIT3102"</f>
        <v>INV 5463/ UNIT3102</v>
      </c>
      <c r="H334" t="str">
        <f>"INV 5463/UNIT 3102"</f>
        <v>INV 5463/UNIT 3102</v>
      </c>
      <c r="I334" s="2">
        <v>329.26</v>
      </c>
      <c r="J334" t="str">
        <f>"INV 5463/UNIT 3102"</f>
        <v>INV 5463/UNIT 3102</v>
      </c>
    </row>
    <row r="335" spans="1:10" x14ac:dyDescent="0.3">
      <c r="A335" t="str">
        <f>""</f>
        <v/>
      </c>
      <c r="F335" t="s">
        <v>10</v>
      </c>
      <c r="G335" t="str">
        <f>"INV 5469/UNIT 0313"</f>
        <v>INV 5469/UNIT 0313</v>
      </c>
      <c r="H335" t="str">
        <f>"INV 5469/UNIT 0313"</f>
        <v>INV 5469/UNIT 0313</v>
      </c>
      <c r="I335" s="2">
        <v>230.26</v>
      </c>
      <c r="J335" t="str">
        <f>"INV 5469/UNIT 0313"</f>
        <v>INV 5469/UNIT 0313</v>
      </c>
    </row>
    <row r="336" spans="1:10" x14ac:dyDescent="0.3">
      <c r="A336" t="str">
        <f>""</f>
        <v/>
      </c>
      <c r="F336" t="s">
        <v>10</v>
      </c>
      <c r="G336" t="str">
        <f>"MULT VEHICLE MAINT"</f>
        <v>MULT VEHICLE MAINT</v>
      </c>
      <c r="H336" t="str">
        <f>"INV 5414/UNIT0124"</f>
        <v>INV 5414/UNIT0124</v>
      </c>
      <c r="I336" s="2">
        <v>917.43</v>
      </c>
      <c r="J336" t="str">
        <f>"INV 5414/UNIT0124"</f>
        <v>INV 5414/UNIT0124</v>
      </c>
    </row>
    <row r="337" spans="1:10" x14ac:dyDescent="0.3">
      <c r="A337" t="str">
        <f>""</f>
        <v/>
      </c>
      <c r="G337" t="str">
        <f>""</f>
        <v/>
      </c>
      <c r="H337" t="str">
        <f>""</f>
        <v/>
      </c>
      <c r="J337" t="str">
        <f>"INV 5428/UNIT 98"</f>
        <v>INV 5428/UNIT 98</v>
      </c>
    </row>
    <row r="338" spans="1:10" x14ac:dyDescent="0.3">
      <c r="A338" t="str">
        <f>""</f>
        <v/>
      </c>
      <c r="G338" t="str">
        <f>""</f>
        <v/>
      </c>
      <c r="H338" t="str">
        <f>""</f>
        <v/>
      </c>
      <c r="J338" t="str">
        <f>"INV 5430/UNIT 3805"</f>
        <v>INV 5430/UNIT 3805</v>
      </c>
    </row>
    <row r="339" spans="1:10" x14ac:dyDescent="0.3">
      <c r="A339" t="str">
        <f>""</f>
        <v/>
      </c>
      <c r="G339" t="str">
        <f>""</f>
        <v/>
      </c>
      <c r="H339" t="str">
        <f>""</f>
        <v/>
      </c>
      <c r="J339" t="str">
        <f>"INV 5432/UNIT 1663"</f>
        <v>INV 5432/UNIT 1663</v>
      </c>
    </row>
    <row r="340" spans="1:10" x14ac:dyDescent="0.3">
      <c r="A340" t="str">
        <f>""</f>
        <v/>
      </c>
      <c r="G340" t="str">
        <f>""</f>
        <v/>
      </c>
      <c r="H340" t="str">
        <f>""</f>
        <v/>
      </c>
      <c r="J340" t="str">
        <f>"INV 5439/UNIT 8948"</f>
        <v>INV 5439/UNIT 8948</v>
      </c>
    </row>
    <row r="341" spans="1:10" x14ac:dyDescent="0.3">
      <c r="A341" t="str">
        <f>""</f>
        <v/>
      </c>
      <c r="G341" t="str">
        <f>""</f>
        <v/>
      </c>
      <c r="H341" t="str">
        <f>""</f>
        <v/>
      </c>
      <c r="J341" t="str">
        <f>"INV 5443/UNIT 81"</f>
        <v>INV 5443/UNIT 81</v>
      </c>
    </row>
    <row r="342" spans="1:10" x14ac:dyDescent="0.3">
      <c r="A342" t="str">
        <f>""</f>
        <v/>
      </c>
      <c r="G342" t="str">
        <f>""</f>
        <v/>
      </c>
      <c r="H342" t="str">
        <f>""</f>
        <v/>
      </c>
      <c r="J342" t="str">
        <f>"INV 5448/UNIT 6556"</f>
        <v>INV 5448/UNIT 6556</v>
      </c>
    </row>
    <row r="343" spans="1:10" x14ac:dyDescent="0.3">
      <c r="A343" t="str">
        <f>""</f>
        <v/>
      </c>
      <c r="G343" t="str">
        <f>""</f>
        <v/>
      </c>
      <c r="H343" t="str">
        <f>""</f>
        <v/>
      </c>
      <c r="J343" t="str">
        <f>"INV 5452/UNIT 124"</f>
        <v>INV 5452/UNIT 124</v>
      </c>
    </row>
    <row r="344" spans="1:10" x14ac:dyDescent="0.3">
      <c r="A344" t="str">
        <f>""</f>
        <v/>
      </c>
      <c r="G344" t="str">
        <f>""</f>
        <v/>
      </c>
      <c r="H344" t="str">
        <f>""</f>
        <v/>
      </c>
      <c r="J344" t="str">
        <f>"INV 5461/UNIT 9379"</f>
        <v>INV 5461/UNIT 9379</v>
      </c>
    </row>
    <row r="345" spans="1:10" x14ac:dyDescent="0.3">
      <c r="A345" t="str">
        <f>""</f>
        <v/>
      </c>
      <c r="G345" t="str">
        <f>""</f>
        <v/>
      </c>
      <c r="H345" t="str">
        <f>""</f>
        <v/>
      </c>
      <c r="J345" t="str">
        <f>"INV 5462/UNIT 3102"</f>
        <v>INV 5462/UNIT 3102</v>
      </c>
    </row>
    <row r="346" spans="1:10" x14ac:dyDescent="0.3">
      <c r="A346" t="str">
        <f>""</f>
        <v/>
      </c>
      <c r="G346" t="str">
        <f>""</f>
        <v/>
      </c>
      <c r="H346" t="str">
        <f>""</f>
        <v/>
      </c>
      <c r="J346" t="str">
        <f>"INV 5466/UNIT 0312"</f>
        <v>INV 5466/UNIT 0312</v>
      </c>
    </row>
    <row r="347" spans="1:10" x14ac:dyDescent="0.3">
      <c r="A347" t="str">
        <f>""</f>
        <v/>
      </c>
      <c r="G347" t="str">
        <f>""</f>
        <v/>
      </c>
      <c r="H347" t="str">
        <f>""</f>
        <v/>
      </c>
      <c r="J347" t="str">
        <f>"INV 5468/UNIT 0313"</f>
        <v>INV 5468/UNIT 0313</v>
      </c>
    </row>
    <row r="348" spans="1:10" x14ac:dyDescent="0.3">
      <c r="A348" t="str">
        <f>""</f>
        <v/>
      </c>
      <c r="G348" t="str">
        <f>""</f>
        <v/>
      </c>
      <c r="H348" t="str">
        <f>""</f>
        <v/>
      </c>
      <c r="J348" t="str">
        <f>"INV 5470/UNIT 0121"</f>
        <v>INV 5470/UNIT 0121</v>
      </c>
    </row>
    <row r="349" spans="1:10" x14ac:dyDescent="0.3">
      <c r="A349" t="str">
        <f>""</f>
        <v/>
      </c>
      <c r="G349" t="str">
        <f>""</f>
        <v/>
      </c>
      <c r="H349" t="str">
        <f>""</f>
        <v/>
      </c>
      <c r="J349" t="str">
        <f>"INV 5471/UNIT 1669"</f>
        <v>INV 5471/UNIT 1669</v>
      </c>
    </row>
    <row r="350" spans="1:10" x14ac:dyDescent="0.3">
      <c r="A350" t="str">
        <f>""</f>
        <v/>
      </c>
      <c r="F350" t="s">
        <v>10</v>
      </c>
      <c r="G350" t="str">
        <f>"MULTI SHER VEHICLE"</f>
        <v>MULTI SHER VEHICLE</v>
      </c>
      <c r="H350" t="str">
        <f>"INV5290/UNIT 6523"</f>
        <v>INV5290/UNIT 6523</v>
      </c>
      <c r="I350" s="2">
        <v>1113.17</v>
      </c>
      <c r="J350" t="str">
        <f>"INV 5290/UNIT 6523"</f>
        <v>INV 5290/UNIT 6523</v>
      </c>
    </row>
    <row r="351" spans="1:10" x14ac:dyDescent="0.3">
      <c r="A351" t="str">
        <f>""</f>
        <v/>
      </c>
      <c r="G351" t="str">
        <f>""</f>
        <v/>
      </c>
      <c r="H351" t="str">
        <f>""</f>
        <v/>
      </c>
      <c r="J351" t="str">
        <f>"INV  5295/UNIT 9648"</f>
        <v>INV  5295/UNIT 9648</v>
      </c>
    </row>
    <row r="352" spans="1:10" x14ac:dyDescent="0.3">
      <c r="A352" t="str">
        <f>""</f>
        <v/>
      </c>
      <c r="G352" t="str">
        <f>""</f>
        <v/>
      </c>
      <c r="H352" t="str">
        <f>""</f>
        <v/>
      </c>
      <c r="J352" t="str">
        <f>"INV 5302/UNIT 4102"</f>
        <v>INV 5302/UNIT 4102</v>
      </c>
    </row>
    <row r="353" spans="1:10" x14ac:dyDescent="0.3">
      <c r="A353" t="str">
        <f>""</f>
        <v/>
      </c>
      <c r="G353" t="str">
        <f>""</f>
        <v/>
      </c>
      <c r="H353" t="str">
        <f>""</f>
        <v/>
      </c>
      <c r="J353" t="str">
        <f>"INV 5304/UNIT 0117"</f>
        <v>INV 5304/UNIT 0117</v>
      </c>
    </row>
    <row r="354" spans="1:10" x14ac:dyDescent="0.3">
      <c r="A354" t="str">
        <f>""</f>
        <v/>
      </c>
      <c r="G354" t="str">
        <f>""</f>
        <v/>
      </c>
      <c r="H354" t="str">
        <f>""</f>
        <v/>
      </c>
      <c r="J354" t="str">
        <f>"INV 5309/UNIT 1669"</f>
        <v>INV 5309/UNIT 1669</v>
      </c>
    </row>
    <row r="355" spans="1:10" x14ac:dyDescent="0.3">
      <c r="A355" t="str">
        <f>""</f>
        <v/>
      </c>
      <c r="G355" t="str">
        <f>""</f>
        <v/>
      </c>
      <c r="H355" t="str">
        <f>""</f>
        <v/>
      </c>
      <c r="J355" t="str">
        <f>"INV 531/UNIT 0311"</f>
        <v>INV 531/UNIT 0311</v>
      </c>
    </row>
    <row r="356" spans="1:10" x14ac:dyDescent="0.3">
      <c r="A356" t="str">
        <f>""</f>
        <v/>
      </c>
      <c r="G356" t="str">
        <f>""</f>
        <v/>
      </c>
      <c r="H356" t="str">
        <f>""</f>
        <v/>
      </c>
      <c r="J356" t="str">
        <f>"INV 5325/UNIT 1666"</f>
        <v>INV 5325/UNIT 1666</v>
      </c>
    </row>
    <row r="357" spans="1:10" x14ac:dyDescent="0.3">
      <c r="A357" t="str">
        <f>""</f>
        <v/>
      </c>
      <c r="G357" t="str">
        <f>""</f>
        <v/>
      </c>
      <c r="H357" t="str">
        <f>""</f>
        <v/>
      </c>
      <c r="J357" t="str">
        <f>"INV 5330/UNIT 3804"</f>
        <v>INV 5330/UNIT 3804</v>
      </c>
    </row>
    <row r="358" spans="1:10" x14ac:dyDescent="0.3">
      <c r="A358" t="str">
        <f>""</f>
        <v/>
      </c>
      <c r="G358" t="str">
        <f>""</f>
        <v/>
      </c>
      <c r="H358" t="str">
        <f>""</f>
        <v/>
      </c>
      <c r="J358" t="str">
        <f>"INV 5331/UNIT 0118"</f>
        <v>INV 5331/UNIT 0118</v>
      </c>
    </row>
    <row r="359" spans="1:10" x14ac:dyDescent="0.3">
      <c r="A359" t="str">
        <f>""</f>
        <v/>
      </c>
      <c r="G359" t="str">
        <f>""</f>
        <v/>
      </c>
      <c r="H359" t="str">
        <f>""</f>
        <v/>
      </c>
      <c r="J359" t="str">
        <f>"INV 5335/UNIT 1673"</f>
        <v>INV 5335/UNIT 1673</v>
      </c>
    </row>
    <row r="360" spans="1:10" x14ac:dyDescent="0.3">
      <c r="A360" t="str">
        <f>""</f>
        <v/>
      </c>
      <c r="G360" t="str">
        <f>""</f>
        <v/>
      </c>
      <c r="H360" t="str">
        <f>""</f>
        <v/>
      </c>
      <c r="J360" t="str">
        <f>"INV 5339/UNIT 4431"</f>
        <v>INV 5339/UNIT 4431</v>
      </c>
    </row>
    <row r="361" spans="1:10" x14ac:dyDescent="0.3">
      <c r="A361" t="str">
        <f>""</f>
        <v/>
      </c>
      <c r="G361" t="str">
        <f>""</f>
        <v/>
      </c>
      <c r="H361" t="str">
        <f>""</f>
        <v/>
      </c>
      <c r="J361" t="str">
        <f>"IN 5361/UNIT 0119"</f>
        <v>IN 5361/UNIT 0119</v>
      </c>
    </row>
    <row r="362" spans="1:10" x14ac:dyDescent="0.3">
      <c r="A362" t="str">
        <f>""</f>
        <v/>
      </c>
      <c r="G362" t="str">
        <f>""</f>
        <v/>
      </c>
      <c r="H362" t="str">
        <f>""</f>
        <v/>
      </c>
      <c r="J362" t="str">
        <f>"INV 5373/UNIT 122"</f>
        <v>INV 5373/UNIT 122</v>
      </c>
    </row>
    <row r="363" spans="1:10" x14ac:dyDescent="0.3">
      <c r="A363" t="str">
        <f>""</f>
        <v/>
      </c>
      <c r="G363" t="str">
        <f>""</f>
        <v/>
      </c>
      <c r="H363" t="str">
        <f>""</f>
        <v/>
      </c>
      <c r="J363" t="str">
        <f>"INV 5375/UNIT 81"</f>
        <v>INV 5375/UNIT 81</v>
      </c>
    </row>
    <row r="364" spans="1:10" x14ac:dyDescent="0.3">
      <c r="A364" t="str">
        <f>""</f>
        <v/>
      </c>
      <c r="G364" t="str">
        <f>""</f>
        <v/>
      </c>
      <c r="H364" t="str">
        <f>""</f>
        <v/>
      </c>
      <c r="J364" t="str">
        <f>"INV 5376/UNIT 0127"</f>
        <v>INV 5376/UNIT 0127</v>
      </c>
    </row>
    <row r="365" spans="1:10" x14ac:dyDescent="0.3">
      <c r="A365" t="str">
        <f>""</f>
        <v/>
      </c>
      <c r="G365" t="str">
        <f>""</f>
        <v/>
      </c>
      <c r="H365" t="str">
        <f>""</f>
        <v/>
      </c>
      <c r="J365" t="str">
        <f>"INV 5386/UNIT 0123"</f>
        <v>INV 5386/UNIT 0123</v>
      </c>
    </row>
    <row r="366" spans="1:10" x14ac:dyDescent="0.3">
      <c r="A366" t="str">
        <f>""</f>
        <v/>
      </c>
      <c r="G366" t="str">
        <f>""</f>
        <v/>
      </c>
      <c r="H366" t="str">
        <f>""</f>
        <v/>
      </c>
      <c r="J366" t="str">
        <f>"INV 5398/UNIT 1672"</f>
        <v>INV 5398/UNIT 1672</v>
      </c>
    </row>
    <row r="367" spans="1:10" x14ac:dyDescent="0.3">
      <c r="A367" t="str">
        <f>""</f>
        <v/>
      </c>
      <c r="G367" t="str">
        <f>""</f>
        <v/>
      </c>
      <c r="H367" t="str">
        <f>""</f>
        <v/>
      </c>
      <c r="J367" t="str">
        <f>"INV 5399/UNIT 1630"</f>
        <v>INV 5399/UNIT 1630</v>
      </c>
    </row>
    <row r="368" spans="1:10" x14ac:dyDescent="0.3">
      <c r="A368" t="str">
        <f>""</f>
        <v/>
      </c>
      <c r="G368" t="str">
        <f>""</f>
        <v/>
      </c>
      <c r="H368" t="str">
        <f>""</f>
        <v/>
      </c>
      <c r="J368" t="str">
        <f>"INV 5400/UNIT 1666"</f>
        <v>INV 5400/UNIT 1666</v>
      </c>
    </row>
    <row r="369" spans="1:10" x14ac:dyDescent="0.3">
      <c r="A369" t="str">
        <f>""</f>
        <v/>
      </c>
      <c r="G369" t="str">
        <f>""</f>
        <v/>
      </c>
      <c r="H369" t="str">
        <f>""</f>
        <v/>
      </c>
      <c r="J369" t="str">
        <f>"INV 5402/UNIT 6520"</f>
        <v>INV 5402/UNIT 6520</v>
      </c>
    </row>
    <row r="370" spans="1:10" x14ac:dyDescent="0.3">
      <c r="A370" t="str">
        <f>""</f>
        <v/>
      </c>
      <c r="G370" t="str">
        <f>""</f>
        <v/>
      </c>
      <c r="H370" t="str">
        <f>""</f>
        <v/>
      </c>
      <c r="J370" t="str">
        <f>"INV 5409/UNIT 4362"</f>
        <v>INV 5409/UNIT 4362</v>
      </c>
    </row>
    <row r="371" spans="1:10" x14ac:dyDescent="0.3">
      <c r="A371" t="str">
        <f>""</f>
        <v/>
      </c>
      <c r="G371" t="str">
        <f>""</f>
        <v/>
      </c>
      <c r="H371" t="str">
        <f>""</f>
        <v/>
      </c>
      <c r="J371" t="str">
        <f>"INV 5410/UNIT 126"</f>
        <v>INV 5410/UNIT 126</v>
      </c>
    </row>
    <row r="372" spans="1:10" x14ac:dyDescent="0.3">
      <c r="A372" t="str">
        <f>""</f>
        <v/>
      </c>
      <c r="G372" t="str">
        <f>""</f>
        <v/>
      </c>
      <c r="H372" t="str">
        <f>""</f>
        <v/>
      </c>
      <c r="J372" t="str">
        <f>"INV 5412/UNIT 123"</f>
        <v>INV 5412/UNIT 123</v>
      </c>
    </row>
    <row r="373" spans="1:10" x14ac:dyDescent="0.3">
      <c r="A373" t="str">
        <f>""</f>
        <v/>
      </c>
      <c r="G373" t="str">
        <f>""</f>
        <v/>
      </c>
      <c r="H373" t="str">
        <f>""</f>
        <v/>
      </c>
      <c r="J373" t="str">
        <f>"INV 5415/UNIT 1631"</f>
        <v>INV 5415/UNIT 1631</v>
      </c>
    </row>
    <row r="374" spans="1:10" x14ac:dyDescent="0.3">
      <c r="A374" t="str">
        <f>""</f>
        <v/>
      </c>
      <c r="G374" t="str">
        <f>""</f>
        <v/>
      </c>
      <c r="H374" t="str">
        <f>""</f>
        <v/>
      </c>
      <c r="J374" t="str">
        <f>"INV 5425/UNIT 6499"</f>
        <v>INV 5425/UNIT 6499</v>
      </c>
    </row>
    <row r="375" spans="1:10" x14ac:dyDescent="0.3">
      <c r="A375" t="str">
        <f>"001367"</f>
        <v>001367</v>
      </c>
      <c r="B375" t="s">
        <v>106</v>
      </c>
      <c r="C375">
        <v>71150</v>
      </c>
      <c r="D375" s="2">
        <v>10230.719999999999</v>
      </c>
      <c r="E375" s="1">
        <v>42912</v>
      </c>
      <c r="F375" t="s">
        <v>10</v>
      </c>
      <c r="G375" t="str">
        <f>"5366"</f>
        <v>5366</v>
      </c>
      <c r="H375" t="str">
        <f>"TRANSMISSION/'08 DODGE"</f>
        <v>TRANSMISSION/'08 DODGE</v>
      </c>
      <c r="I375" s="2">
        <v>5474</v>
      </c>
      <c r="J375" t="str">
        <f>"TRANSMISSION/'08 DODGE"</f>
        <v>TRANSMISSION/'08 DODGE</v>
      </c>
    </row>
    <row r="376" spans="1:10" x14ac:dyDescent="0.3">
      <c r="A376" t="str">
        <f>""</f>
        <v/>
      </c>
      <c r="F376" t="s">
        <v>10</v>
      </c>
      <c r="G376" t="str">
        <f>"5408"</f>
        <v>5408</v>
      </c>
      <c r="H376" t="str">
        <f>"INV 5408/UNIT 4362"</f>
        <v>INV 5408/UNIT 4362</v>
      </c>
      <c r="I376" s="2">
        <v>604.61</v>
      </c>
      <c r="J376" t="str">
        <f>"INV 5408/UNIT 4362"</f>
        <v>INV 5408/UNIT 4362</v>
      </c>
    </row>
    <row r="377" spans="1:10" x14ac:dyDescent="0.3">
      <c r="A377" t="str">
        <f>""</f>
        <v/>
      </c>
      <c r="F377" t="s">
        <v>10</v>
      </c>
      <c r="G377" t="str">
        <f>"5418/UNIT 0125"</f>
        <v>5418/UNIT 0125</v>
      </c>
      <c r="H377" t="str">
        <f>"INV 5418/UNIT 0125"</f>
        <v>INV 5418/UNIT 0125</v>
      </c>
      <c r="I377" s="2">
        <v>128.69999999999999</v>
      </c>
      <c r="J377" t="str">
        <f>"INV 5418/UNIT 0125"</f>
        <v>INV 5418/UNIT 0125</v>
      </c>
    </row>
    <row r="378" spans="1:10" x14ac:dyDescent="0.3">
      <c r="A378" t="str">
        <f>""</f>
        <v/>
      </c>
      <c r="F378" t="s">
        <v>10</v>
      </c>
      <c r="G378" t="str">
        <f>"5467"</f>
        <v>5467</v>
      </c>
      <c r="H378" t="str">
        <f>"INV 5467/UNIT 0312"</f>
        <v>INV 5467/UNIT 0312</v>
      </c>
      <c r="I378" s="2">
        <v>259.04000000000002</v>
      </c>
      <c r="J378" t="str">
        <f>"INV 5467/UNIT 0312"</f>
        <v>INV 5467/UNIT 0312</v>
      </c>
    </row>
    <row r="379" spans="1:10" x14ac:dyDescent="0.3">
      <c r="A379" t="str">
        <f>""</f>
        <v/>
      </c>
      <c r="F379" t="s">
        <v>10</v>
      </c>
      <c r="G379" t="str">
        <f>"5522"</f>
        <v>5522</v>
      </c>
      <c r="H379" t="str">
        <f>"REPAIRS/2003 FREIGHTLINER"</f>
        <v>REPAIRS/2003 FREIGHTLINER</v>
      </c>
      <c r="I379" s="2">
        <v>31.72</v>
      </c>
      <c r="J379" t="str">
        <f>"REPAIRS/2003 FREIGHTLINER"</f>
        <v>REPAIRS/2003 FREIGHTLINER</v>
      </c>
    </row>
    <row r="380" spans="1:10" x14ac:dyDescent="0.3">
      <c r="A380" t="str">
        <f>""</f>
        <v/>
      </c>
      <c r="F380" t="s">
        <v>10</v>
      </c>
      <c r="G380" t="str">
        <f>"5537/UNIT 121"</f>
        <v>5537/UNIT 121</v>
      </c>
      <c r="H380" t="str">
        <f>"INV 5537/UNIT 121"</f>
        <v>INV 5537/UNIT 121</v>
      </c>
      <c r="I380" s="2">
        <v>280.19</v>
      </c>
      <c r="J380" t="str">
        <f>"INV 5537/UNIT 121"</f>
        <v>INV 5537/UNIT 121</v>
      </c>
    </row>
    <row r="381" spans="1:10" x14ac:dyDescent="0.3">
      <c r="A381" t="str">
        <f>""</f>
        <v/>
      </c>
      <c r="F381" t="s">
        <v>10</v>
      </c>
      <c r="G381" t="str">
        <f>"5542/UNIT 0313"</f>
        <v>5542/UNIT 0313</v>
      </c>
      <c r="H381" t="str">
        <f>"INV 5542/UNIT 0313"</f>
        <v>INV 5542/UNIT 0313</v>
      </c>
      <c r="I381" s="2">
        <v>328.61</v>
      </c>
      <c r="J381" t="str">
        <f>"INV 5542/UNIT 0313"</f>
        <v>INV 5542/UNIT 0313</v>
      </c>
    </row>
    <row r="382" spans="1:10" x14ac:dyDescent="0.3">
      <c r="A382" t="str">
        <f>""</f>
        <v/>
      </c>
      <c r="F382" t="s">
        <v>10</v>
      </c>
      <c r="G382" t="str">
        <f>"5544/UNIT 0117"</f>
        <v>5544/UNIT 0117</v>
      </c>
      <c r="H382" t="str">
        <f>"INV 5544/UNIT 0117"</f>
        <v>INV 5544/UNIT 0117</v>
      </c>
      <c r="I382" s="2">
        <v>1027</v>
      </c>
      <c r="J382" t="str">
        <f>"INV 5544/UNIT 0117"</f>
        <v>INV 5544/UNIT 0117</v>
      </c>
    </row>
    <row r="383" spans="1:10" x14ac:dyDescent="0.3">
      <c r="A383" t="str">
        <f>""</f>
        <v/>
      </c>
      <c r="F383" t="s">
        <v>10</v>
      </c>
      <c r="G383" t="str">
        <f>"MULTIPLE INVOICES"</f>
        <v>MULTIPLE INVOICES</v>
      </c>
      <c r="H383" t="str">
        <f>"INV RO1181/UNIT 80 - TRA"</f>
        <v>INV RO1181/UNIT 80 - TRA</v>
      </c>
      <c r="I383" s="2">
        <v>910.36</v>
      </c>
      <c r="J383" t="str">
        <f>"INV RO1181/UNIT 80 - TRA"</f>
        <v>INV RO1181/UNIT 80 - TRA</v>
      </c>
    </row>
    <row r="384" spans="1:10" x14ac:dyDescent="0.3">
      <c r="A384" t="str">
        <f>""</f>
        <v/>
      </c>
      <c r="G384" t="str">
        <f>""</f>
        <v/>
      </c>
      <c r="H384" t="str">
        <f>""</f>
        <v/>
      </c>
      <c r="J384" t="str">
        <f>"INV 5475/UNIT 4827"</f>
        <v>INV 5475/UNIT 4827</v>
      </c>
    </row>
    <row r="385" spans="1:10" x14ac:dyDescent="0.3">
      <c r="A385" t="str">
        <f>""</f>
        <v/>
      </c>
      <c r="G385" t="str">
        <f>""</f>
        <v/>
      </c>
      <c r="H385" t="str">
        <f>""</f>
        <v/>
      </c>
      <c r="J385" t="str">
        <f>"INV 5487/UNIT 6554"</f>
        <v>INV 5487/UNIT 6554</v>
      </c>
    </row>
    <row r="386" spans="1:10" x14ac:dyDescent="0.3">
      <c r="A386" t="str">
        <f>""</f>
        <v/>
      </c>
      <c r="G386" t="str">
        <f>""</f>
        <v/>
      </c>
      <c r="H386" t="str">
        <f>""</f>
        <v/>
      </c>
      <c r="J386" t="str">
        <f>"INV 5493/UNIT 4716"</f>
        <v>INV 5493/UNIT 4716</v>
      </c>
    </row>
    <row r="387" spans="1:10" x14ac:dyDescent="0.3">
      <c r="A387" t="str">
        <f>""</f>
        <v/>
      </c>
      <c r="G387" t="str">
        <f>""</f>
        <v/>
      </c>
      <c r="H387" t="str">
        <f>""</f>
        <v/>
      </c>
      <c r="J387" t="str">
        <f>"INV 5515/UNIT 6535"</f>
        <v>INV 5515/UNIT 6535</v>
      </c>
    </row>
    <row r="388" spans="1:10" x14ac:dyDescent="0.3">
      <c r="A388" t="str">
        <f>""</f>
        <v/>
      </c>
      <c r="G388" t="str">
        <f>""</f>
        <v/>
      </c>
      <c r="H388" t="str">
        <f>""</f>
        <v/>
      </c>
      <c r="J388" t="str">
        <f>"INV 5525/UNIT 6557"</f>
        <v>INV 5525/UNIT 6557</v>
      </c>
    </row>
    <row r="389" spans="1:10" x14ac:dyDescent="0.3">
      <c r="A389" t="str">
        <f>""</f>
        <v/>
      </c>
      <c r="G389" t="str">
        <f>""</f>
        <v/>
      </c>
      <c r="H389" t="str">
        <f>""</f>
        <v/>
      </c>
      <c r="J389" t="str">
        <f>"INV 5526/UNIT 6550"</f>
        <v>INV 5526/UNIT 6550</v>
      </c>
    </row>
    <row r="390" spans="1:10" x14ac:dyDescent="0.3">
      <c r="A390" t="str">
        <f>""</f>
        <v/>
      </c>
      <c r="G390" t="str">
        <f>""</f>
        <v/>
      </c>
      <c r="H390" t="str">
        <f>""</f>
        <v/>
      </c>
      <c r="J390" t="str">
        <f>"INV 5530/UNIT 6543"</f>
        <v>INV 5530/UNIT 6543</v>
      </c>
    </row>
    <row r="391" spans="1:10" x14ac:dyDescent="0.3">
      <c r="A391" t="str">
        <f>""</f>
        <v/>
      </c>
      <c r="G391" t="str">
        <f>""</f>
        <v/>
      </c>
      <c r="H391" t="str">
        <f>""</f>
        <v/>
      </c>
      <c r="J391" t="str">
        <f>"INV 5539/UNIT 1672"</f>
        <v>INV 5539/UNIT 1672</v>
      </c>
    </row>
    <row r="392" spans="1:10" x14ac:dyDescent="0.3">
      <c r="A392" t="str">
        <f>""</f>
        <v/>
      </c>
      <c r="G392" t="str">
        <f>""</f>
        <v/>
      </c>
      <c r="H392" t="str">
        <f>""</f>
        <v/>
      </c>
      <c r="J392" t="str">
        <f>"INV 5541/UNIT 6541"</f>
        <v>INV 5541/UNIT 6541</v>
      </c>
    </row>
    <row r="393" spans="1:10" x14ac:dyDescent="0.3">
      <c r="A393" t="str">
        <f>""</f>
        <v/>
      </c>
      <c r="G393" t="str">
        <f>""</f>
        <v/>
      </c>
      <c r="H393" t="str">
        <f>""</f>
        <v/>
      </c>
      <c r="J393" t="str">
        <f>"INV 5554/UNIT 6486"</f>
        <v>INV 5554/UNIT 6486</v>
      </c>
    </row>
    <row r="394" spans="1:10" x14ac:dyDescent="0.3">
      <c r="A394" t="str">
        <f>""</f>
        <v/>
      </c>
      <c r="G394" t="str">
        <f>""</f>
        <v/>
      </c>
      <c r="H394" t="str">
        <f>""</f>
        <v/>
      </c>
      <c r="J394" t="str">
        <f>"INV 5563/UNIT 1670"</f>
        <v>INV 5563/UNIT 1670</v>
      </c>
    </row>
    <row r="395" spans="1:10" x14ac:dyDescent="0.3">
      <c r="A395" t="str">
        <f>""</f>
        <v/>
      </c>
      <c r="G395" t="str">
        <f>""</f>
        <v/>
      </c>
      <c r="H395" t="str">
        <f>""</f>
        <v/>
      </c>
      <c r="J395" t="str">
        <f>"INV 5565/UNIT 4362"</f>
        <v>INV 5565/UNIT 4362</v>
      </c>
    </row>
    <row r="396" spans="1:10" x14ac:dyDescent="0.3">
      <c r="A396" t="str">
        <f>""</f>
        <v/>
      </c>
      <c r="G396" t="str">
        <f>""</f>
        <v/>
      </c>
      <c r="H396" t="str">
        <f>""</f>
        <v/>
      </c>
      <c r="J396" t="str">
        <f>"INV 5571/UNIT 0124"</f>
        <v>INV 5571/UNIT 0124</v>
      </c>
    </row>
    <row r="397" spans="1:10" x14ac:dyDescent="0.3">
      <c r="A397" t="str">
        <f>""</f>
        <v/>
      </c>
      <c r="G397" t="str">
        <f>""</f>
        <v/>
      </c>
      <c r="H397" t="str">
        <f>""</f>
        <v/>
      </c>
      <c r="J397" t="str">
        <f>"INV 5576/UNIT 3804"</f>
        <v>INV 5576/UNIT 3804</v>
      </c>
    </row>
    <row r="398" spans="1:10" x14ac:dyDescent="0.3">
      <c r="A398" t="str">
        <f>""</f>
        <v/>
      </c>
      <c r="G398" t="str">
        <f>""</f>
        <v/>
      </c>
      <c r="H398" t="str">
        <f>""</f>
        <v/>
      </c>
      <c r="J398" t="str">
        <f>"INV 5577/UNIT 0118"</f>
        <v>INV 5577/UNIT 0118</v>
      </c>
    </row>
    <row r="399" spans="1:10" x14ac:dyDescent="0.3">
      <c r="A399" t="str">
        <f>""</f>
        <v/>
      </c>
      <c r="G399" t="str">
        <f>""</f>
        <v/>
      </c>
      <c r="H399" t="str">
        <f>""</f>
        <v/>
      </c>
      <c r="J399" t="str">
        <f>"INV 5580/UNIT 5350"</f>
        <v>INV 5580/UNIT 5350</v>
      </c>
    </row>
    <row r="400" spans="1:10" x14ac:dyDescent="0.3">
      <c r="A400" t="str">
        <f>""</f>
        <v/>
      </c>
      <c r="G400" t="str">
        <f>""</f>
        <v/>
      </c>
      <c r="H400" t="str">
        <f>""</f>
        <v/>
      </c>
      <c r="J400" t="str">
        <f>"INV 5582/UNIT 3805"</f>
        <v>INV 5582/UNIT 3805</v>
      </c>
    </row>
    <row r="401" spans="1:10" x14ac:dyDescent="0.3">
      <c r="A401" t="str">
        <f>""</f>
        <v/>
      </c>
      <c r="F401" t="s">
        <v>10</v>
      </c>
      <c r="G401" t="str">
        <f>"RO1007"</f>
        <v>RO1007</v>
      </c>
      <c r="H401" t="str">
        <f>"RO 1007/TRAINING TRAILER"</f>
        <v>RO 1007/TRAINING TRAILER</v>
      </c>
      <c r="I401" s="2">
        <v>1186.49</v>
      </c>
      <c r="J401" t="str">
        <f>"RO 1007/TRAINING TRAILER"</f>
        <v>RO 1007/TRAINING TRAILER</v>
      </c>
    </row>
    <row r="402" spans="1:10" x14ac:dyDescent="0.3">
      <c r="A402" t="str">
        <f>"T11280"</f>
        <v>T11280</v>
      </c>
      <c r="B402" t="s">
        <v>107</v>
      </c>
      <c r="C402">
        <v>70760</v>
      </c>
      <c r="D402" s="2">
        <v>235</v>
      </c>
      <c r="E402" s="1">
        <v>42898</v>
      </c>
      <c r="F402" t="s">
        <v>10</v>
      </c>
      <c r="G402" t="str">
        <f>"201706052615"</f>
        <v>201706052615</v>
      </c>
      <c r="H402" t="str">
        <f>"STATE BAR DUES REIMBURSEMENT"</f>
        <v>STATE BAR DUES REIMBURSEMENT</v>
      </c>
      <c r="I402" s="2">
        <v>235</v>
      </c>
      <c r="J402" t="str">
        <f>"STATE BAR DUES REIMBURSEMENT"</f>
        <v>STATE BAR DUES REIMBURSEMENT</v>
      </c>
    </row>
    <row r="403" spans="1:10" x14ac:dyDescent="0.3">
      <c r="A403" t="str">
        <f>"T9216"</f>
        <v>T9216</v>
      </c>
      <c r="B403" t="s">
        <v>108</v>
      </c>
      <c r="C403">
        <v>70761</v>
      </c>
      <c r="D403" s="2">
        <v>250</v>
      </c>
      <c r="E403" s="1">
        <v>42898</v>
      </c>
      <c r="F403" t="s">
        <v>10</v>
      </c>
      <c r="G403" t="str">
        <f>"201706012474"</f>
        <v>201706012474</v>
      </c>
      <c r="H403" t="str">
        <f>"55 031"</f>
        <v>55 031</v>
      </c>
      <c r="I403" s="2">
        <v>250</v>
      </c>
      <c r="J403" t="str">
        <f>"55 031"</f>
        <v>55 031</v>
      </c>
    </row>
    <row r="404" spans="1:10" x14ac:dyDescent="0.3">
      <c r="A404" t="str">
        <f>"T9216"</f>
        <v>T9216</v>
      </c>
      <c r="B404" t="s">
        <v>108</v>
      </c>
      <c r="C404">
        <v>71151</v>
      </c>
      <c r="D404" s="2">
        <v>1000</v>
      </c>
      <c r="E404" s="1">
        <v>42912</v>
      </c>
      <c r="F404" t="s">
        <v>10</v>
      </c>
      <c r="G404" t="str">
        <f>"201706213185"</f>
        <v>201706213185</v>
      </c>
      <c r="H404" t="str">
        <f>"403237-6"</f>
        <v>403237-6</v>
      </c>
      <c r="I404" s="2">
        <v>250</v>
      </c>
      <c r="J404" t="str">
        <f>"403237-6"</f>
        <v>403237-6</v>
      </c>
    </row>
    <row r="405" spans="1:10" x14ac:dyDescent="0.3">
      <c r="A405" t="str">
        <f>""</f>
        <v/>
      </c>
      <c r="F405" t="s">
        <v>10</v>
      </c>
      <c r="G405" t="str">
        <f>"201706213186"</f>
        <v>201706213186</v>
      </c>
      <c r="H405" t="str">
        <f>"302182017A"</f>
        <v>302182017A</v>
      </c>
      <c r="I405" s="2">
        <v>250</v>
      </c>
      <c r="J405" t="str">
        <f>"302182017A"</f>
        <v>302182017A</v>
      </c>
    </row>
    <row r="406" spans="1:10" x14ac:dyDescent="0.3">
      <c r="A406" t="str">
        <f>""</f>
        <v/>
      </c>
      <c r="F406" t="s">
        <v>10</v>
      </c>
      <c r="G406" t="str">
        <f>"201706213187"</f>
        <v>201706213187</v>
      </c>
      <c r="H406" t="str">
        <f>"303132017C"</f>
        <v>303132017C</v>
      </c>
      <c r="I406" s="2">
        <v>250</v>
      </c>
      <c r="J406" t="str">
        <f>"303132017C"</f>
        <v>303132017C</v>
      </c>
    </row>
    <row r="407" spans="1:10" x14ac:dyDescent="0.3">
      <c r="A407" t="str">
        <f>""</f>
        <v/>
      </c>
      <c r="F407" t="s">
        <v>10</v>
      </c>
      <c r="G407" t="str">
        <f>"201706213188"</f>
        <v>201706213188</v>
      </c>
      <c r="H407" t="str">
        <f>"1JP2517B"</f>
        <v>1JP2517B</v>
      </c>
      <c r="I407" s="2">
        <v>250</v>
      </c>
      <c r="J407" t="str">
        <f>"1JP2517B"</f>
        <v>1JP2517B</v>
      </c>
    </row>
    <row r="408" spans="1:10" x14ac:dyDescent="0.3">
      <c r="A408" t="str">
        <f>"002356"</f>
        <v>002356</v>
      </c>
      <c r="B408" t="s">
        <v>109</v>
      </c>
      <c r="C408">
        <v>70762</v>
      </c>
      <c r="D408" s="2">
        <v>30</v>
      </c>
      <c r="E408" s="1">
        <v>42898</v>
      </c>
      <c r="F408" t="s">
        <v>10</v>
      </c>
      <c r="G408" t="str">
        <f>"17-18360"</f>
        <v>17-18360</v>
      </c>
      <c r="H408" t="str">
        <f>"SERVICE 05/16/2017"</f>
        <v>SERVICE 05/16/2017</v>
      </c>
      <c r="I408" s="2">
        <v>15</v>
      </c>
      <c r="J408" t="str">
        <f>"SERVICE 05/16/2017"</f>
        <v>SERVICE 05/16/2017</v>
      </c>
    </row>
    <row r="409" spans="1:10" x14ac:dyDescent="0.3">
      <c r="A409" t="str">
        <f>""</f>
        <v/>
      </c>
      <c r="F409" t="s">
        <v>10</v>
      </c>
      <c r="G409" t="str">
        <f>"17-18376"</f>
        <v>17-18376</v>
      </c>
      <c r="H409" t="str">
        <f>"SERVICE 05/23/2017"</f>
        <v>SERVICE 05/23/2017</v>
      </c>
      <c r="I409" s="2">
        <v>15</v>
      </c>
      <c r="J409" t="str">
        <f>"SERVICE 05/23/2017"</f>
        <v>SERVICE 05/23/2017</v>
      </c>
    </row>
    <row r="410" spans="1:10" x14ac:dyDescent="0.3">
      <c r="A410" t="str">
        <f>"005066"</f>
        <v>005066</v>
      </c>
      <c r="B410" t="s">
        <v>110</v>
      </c>
      <c r="C410">
        <v>70763</v>
      </c>
      <c r="D410" s="2">
        <v>215</v>
      </c>
      <c r="E410" s="1">
        <v>42898</v>
      </c>
      <c r="F410" t="s">
        <v>10</v>
      </c>
      <c r="G410" t="str">
        <f>"201706052626"</f>
        <v>201706052626</v>
      </c>
      <c r="H410" t="str">
        <f>"FERAL HOGS"</f>
        <v>FERAL HOGS</v>
      </c>
      <c r="I410" s="2">
        <v>160</v>
      </c>
      <c r="J410" t="str">
        <f>"FERAL HOGS"</f>
        <v>FERAL HOGS</v>
      </c>
    </row>
    <row r="411" spans="1:10" x14ac:dyDescent="0.3">
      <c r="A411" t="str">
        <f>""</f>
        <v/>
      </c>
      <c r="F411" t="s">
        <v>10</v>
      </c>
      <c r="G411" t="str">
        <f>"201706052627"</f>
        <v>201706052627</v>
      </c>
      <c r="H411" t="str">
        <f>"FERAL HOGS"</f>
        <v>FERAL HOGS</v>
      </c>
      <c r="I411" s="2">
        <v>50</v>
      </c>
      <c r="J411" t="str">
        <f>"FERAL HOGS"</f>
        <v>FERAL HOGS</v>
      </c>
    </row>
    <row r="412" spans="1:10" x14ac:dyDescent="0.3">
      <c r="A412" t="str">
        <f>""</f>
        <v/>
      </c>
      <c r="F412" t="s">
        <v>10</v>
      </c>
      <c r="G412" t="str">
        <f>"201706072970"</f>
        <v>201706072970</v>
      </c>
      <c r="H412" t="str">
        <f>"FERAL HOGS"</f>
        <v>FERAL HOGS</v>
      </c>
      <c r="I412" s="2">
        <v>5</v>
      </c>
      <c r="J412" t="str">
        <f>"FERAL HOGS"</f>
        <v>FERAL HOGS</v>
      </c>
    </row>
    <row r="413" spans="1:10" x14ac:dyDescent="0.3">
      <c r="A413" t="str">
        <f>"T5521"</f>
        <v>T5521</v>
      </c>
      <c r="B413" t="s">
        <v>111</v>
      </c>
      <c r="C413">
        <v>70764</v>
      </c>
      <c r="D413" s="2">
        <v>620</v>
      </c>
      <c r="E413" s="1">
        <v>42898</v>
      </c>
      <c r="F413" t="s">
        <v>10</v>
      </c>
      <c r="G413" t="str">
        <f>"19358"</f>
        <v>19358</v>
      </c>
      <c r="H413" t="str">
        <f>"INV 19358"</f>
        <v>INV 19358</v>
      </c>
      <c r="I413" s="2">
        <v>400</v>
      </c>
      <c r="J413" t="str">
        <f>"C. SMITH"</f>
        <v>C. SMITH</v>
      </c>
    </row>
    <row r="414" spans="1:10" x14ac:dyDescent="0.3">
      <c r="A414" t="str">
        <f>""</f>
        <v/>
      </c>
      <c r="G414" t="str">
        <f>""</f>
        <v/>
      </c>
      <c r="H414" t="str">
        <f>""</f>
        <v/>
      </c>
      <c r="J414" t="str">
        <f>"E. SANCHEZ"</f>
        <v>E. SANCHEZ</v>
      </c>
    </row>
    <row r="415" spans="1:10" x14ac:dyDescent="0.3">
      <c r="A415" t="str">
        <f>""</f>
        <v/>
      </c>
      <c r="F415" t="s">
        <v>10</v>
      </c>
      <c r="G415" t="str">
        <f>"19359"</f>
        <v>19359</v>
      </c>
      <c r="H415" t="str">
        <f>"INV 19359"</f>
        <v>INV 19359</v>
      </c>
      <c r="I415" s="2">
        <v>20</v>
      </c>
      <c r="J415" t="str">
        <f>"INV 19359"</f>
        <v>INV 19359</v>
      </c>
    </row>
    <row r="416" spans="1:10" x14ac:dyDescent="0.3">
      <c r="A416" t="str">
        <f>""</f>
        <v/>
      </c>
      <c r="F416" t="s">
        <v>10</v>
      </c>
      <c r="G416" t="str">
        <f>"19366"</f>
        <v>19366</v>
      </c>
      <c r="H416" t="str">
        <f>"INV 19366"</f>
        <v>INV 19366</v>
      </c>
      <c r="I416" s="2">
        <v>200</v>
      </c>
      <c r="J416" t="str">
        <f>"INV 19366"</f>
        <v>INV 19366</v>
      </c>
    </row>
    <row r="417" spans="1:10" x14ac:dyDescent="0.3">
      <c r="A417" t="str">
        <f>"CBOA"</f>
        <v>CBOA</v>
      </c>
      <c r="B417" t="s">
        <v>112</v>
      </c>
      <c r="C417">
        <v>71152</v>
      </c>
      <c r="D417" s="2">
        <v>619.86</v>
      </c>
      <c r="E417" s="1">
        <v>42912</v>
      </c>
      <c r="F417" t="s">
        <v>10</v>
      </c>
      <c r="G417" t="str">
        <f>"495223"</f>
        <v>495223</v>
      </c>
      <c r="H417" t="str">
        <f>"ACCT#000690/PCT#2"</f>
        <v>ACCT#000690/PCT#2</v>
      </c>
      <c r="I417" s="2">
        <v>619.86</v>
      </c>
      <c r="J417" t="str">
        <f>"ACCT#000690/PCT#2"</f>
        <v>ACCT#000690/PCT#2</v>
      </c>
    </row>
    <row r="418" spans="1:10" x14ac:dyDescent="0.3">
      <c r="A418" t="str">
        <f>"002726"</f>
        <v>002726</v>
      </c>
      <c r="B418" t="s">
        <v>113</v>
      </c>
      <c r="C418">
        <v>70765</v>
      </c>
      <c r="D418" s="2">
        <v>3143.41</v>
      </c>
      <c r="E418" s="1">
        <v>42898</v>
      </c>
      <c r="F418" t="s">
        <v>10</v>
      </c>
      <c r="G418" t="str">
        <f>"TIB CC MULTI CHRGS"</f>
        <v>TIB CC MULTI CHRGS</v>
      </c>
      <c r="H418" t="str">
        <f>"Stmt 4/22/17 to 5/22/17"</f>
        <v>Stmt 4/22/17 to 5/22/17</v>
      </c>
      <c r="I418" s="2">
        <v>3143.41</v>
      </c>
      <c r="J418" t="str">
        <f>"Walmart"</f>
        <v>Walmart</v>
      </c>
    </row>
    <row r="419" spans="1:10" x14ac:dyDescent="0.3">
      <c r="A419" t="str">
        <f>""</f>
        <v/>
      </c>
      <c r="G419" t="str">
        <f>""</f>
        <v/>
      </c>
      <c r="H419" t="str">
        <f>""</f>
        <v/>
      </c>
      <c r="J419" t="str">
        <f>"Walmart"</f>
        <v>Walmart</v>
      </c>
    </row>
    <row r="420" spans="1:10" x14ac:dyDescent="0.3">
      <c r="A420" t="str">
        <f>""</f>
        <v/>
      </c>
      <c r="G420" t="str">
        <f>""</f>
        <v/>
      </c>
      <c r="H420" t="str">
        <f>""</f>
        <v/>
      </c>
      <c r="J420" t="str">
        <f>"TJ Maxx"</f>
        <v>TJ Maxx</v>
      </c>
    </row>
    <row r="421" spans="1:10" x14ac:dyDescent="0.3">
      <c r="A421" t="str">
        <f>""</f>
        <v/>
      </c>
      <c r="G421" t="str">
        <f>""</f>
        <v/>
      </c>
      <c r="H421" t="str">
        <f>""</f>
        <v/>
      </c>
      <c r="J421" t="str">
        <f>"Ross"</f>
        <v>Ross</v>
      </c>
    </row>
    <row r="422" spans="1:10" x14ac:dyDescent="0.3">
      <c r="A422" t="str">
        <f>""</f>
        <v/>
      </c>
      <c r="G422" t="str">
        <f>""</f>
        <v/>
      </c>
      <c r="H422" t="str">
        <f>""</f>
        <v/>
      </c>
      <c r="J422" t="str">
        <f>"Riverwalk-Laura"</f>
        <v>Riverwalk-Laura</v>
      </c>
    </row>
    <row r="423" spans="1:10" x14ac:dyDescent="0.3">
      <c r="A423" t="str">
        <f>""</f>
        <v/>
      </c>
      <c r="G423" t="str">
        <f>""</f>
        <v/>
      </c>
      <c r="H423" t="str">
        <f>""</f>
        <v/>
      </c>
      <c r="J423" t="str">
        <f>"Riverwalk-Maridel"</f>
        <v>Riverwalk-Maridel</v>
      </c>
    </row>
    <row r="424" spans="1:10" x14ac:dyDescent="0.3">
      <c r="A424" t="str">
        <f>""</f>
        <v/>
      </c>
      <c r="G424" t="str">
        <f>""</f>
        <v/>
      </c>
      <c r="H424" t="str">
        <f>""</f>
        <v/>
      </c>
      <c r="J424" t="str">
        <f>"Southwest Credit"</f>
        <v>Southwest Credit</v>
      </c>
    </row>
    <row r="425" spans="1:10" x14ac:dyDescent="0.3">
      <c r="A425" t="str">
        <f>""</f>
        <v/>
      </c>
      <c r="G425" t="str">
        <f>""</f>
        <v/>
      </c>
      <c r="H425" t="str">
        <f>""</f>
        <v/>
      </c>
      <c r="J425" t="str">
        <f>"GoDaddy"</f>
        <v>GoDaddy</v>
      </c>
    </row>
    <row r="426" spans="1:10" x14ac:dyDescent="0.3">
      <c r="A426" t="str">
        <f>""</f>
        <v/>
      </c>
      <c r="G426" t="str">
        <f>""</f>
        <v/>
      </c>
      <c r="H426" t="str">
        <f>""</f>
        <v/>
      </c>
      <c r="J426" t="str">
        <f>"Seminarweb Credit"</f>
        <v>Seminarweb Credit</v>
      </c>
    </row>
    <row r="427" spans="1:10" x14ac:dyDescent="0.3">
      <c r="A427" t="str">
        <f>""</f>
        <v/>
      </c>
      <c r="G427" t="str">
        <f>""</f>
        <v/>
      </c>
      <c r="H427" t="str">
        <f>""</f>
        <v/>
      </c>
      <c r="J427" t="str">
        <f>"Tex Dept License"</f>
        <v>Tex Dept License</v>
      </c>
    </row>
    <row r="428" spans="1:10" x14ac:dyDescent="0.3">
      <c r="A428" t="str">
        <f>""</f>
        <v/>
      </c>
      <c r="G428" t="str">
        <f>""</f>
        <v/>
      </c>
      <c r="H428" t="str">
        <f>""</f>
        <v/>
      </c>
      <c r="J428" t="str">
        <f>"SeminarWeb"</f>
        <v>SeminarWeb</v>
      </c>
    </row>
    <row r="429" spans="1:10" x14ac:dyDescent="0.3">
      <c r="A429" t="str">
        <f>""</f>
        <v/>
      </c>
      <c r="G429" t="str">
        <f>""</f>
        <v/>
      </c>
      <c r="H429" t="str">
        <f>""</f>
        <v/>
      </c>
      <c r="J429" t="str">
        <f>"SeminarWeb"</f>
        <v>SeminarWeb</v>
      </c>
    </row>
    <row r="430" spans="1:10" x14ac:dyDescent="0.3">
      <c r="A430" t="str">
        <f>""</f>
        <v/>
      </c>
      <c r="G430" t="str">
        <f>""</f>
        <v/>
      </c>
      <c r="H430" t="str">
        <f>""</f>
        <v/>
      </c>
      <c r="J430" t="str">
        <f>"Rosanna Garza"</f>
        <v>Rosanna Garza</v>
      </c>
    </row>
    <row r="431" spans="1:10" x14ac:dyDescent="0.3">
      <c r="A431" t="str">
        <f>""</f>
        <v/>
      </c>
      <c r="G431" t="str">
        <f>""</f>
        <v/>
      </c>
      <c r="H431" t="str">
        <f>""</f>
        <v/>
      </c>
      <c r="J431" t="str">
        <f>"Robert Bennet"</f>
        <v>Robert Bennet</v>
      </c>
    </row>
    <row r="432" spans="1:10" x14ac:dyDescent="0.3">
      <c r="A432" t="str">
        <f>""</f>
        <v/>
      </c>
      <c r="G432" t="str">
        <f>""</f>
        <v/>
      </c>
      <c r="H432" t="str">
        <f>""</f>
        <v/>
      </c>
      <c r="J432" t="str">
        <f>"Charles Adams"</f>
        <v>Charles Adams</v>
      </c>
    </row>
    <row r="433" spans="1:10" x14ac:dyDescent="0.3">
      <c r="A433" t="str">
        <f>""</f>
        <v/>
      </c>
      <c r="G433" t="str">
        <f>""</f>
        <v/>
      </c>
      <c r="H433" t="str">
        <f>""</f>
        <v/>
      </c>
      <c r="J433" t="str">
        <f>"Erika Dejesus"</f>
        <v>Erika Dejesus</v>
      </c>
    </row>
    <row r="434" spans="1:10" x14ac:dyDescent="0.3">
      <c r="A434" t="str">
        <f>""</f>
        <v/>
      </c>
      <c r="G434" t="str">
        <f>""</f>
        <v/>
      </c>
      <c r="H434" t="str">
        <f>""</f>
        <v/>
      </c>
      <c r="J434" t="str">
        <f>"Kenneth Leatherwood"</f>
        <v>Kenneth Leatherwood</v>
      </c>
    </row>
    <row r="435" spans="1:10" x14ac:dyDescent="0.3">
      <c r="A435" t="str">
        <f>""</f>
        <v/>
      </c>
      <c r="G435" t="str">
        <f>""</f>
        <v/>
      </c>
      <c r="H435" t="str">
        <f>""</f>
        <v/>
      </c>
      <c r="J435" t="str">
        <f>"Amazon"</f>
        <v>Amazon</v>
      </c>
    </row>
    <row r="436" spans="1:10" x14ac:dyDescent="0.3">
      <c r="A436" t="str">
        <f>""</f>
        <v/>
      </c>
      <c r="G436" t="str">
        <f>""</f>
        <v/>
      </c>
      <c r="H436" t="str">
        <f>""</f>
        <v/>
      </c>
      <c r="J436" t="str">
        <f>"Amazon"</f>
        <v>Amazon</v>
      </c>
    </row>
    <row r="437" spans="1:10" x14ac:dyDescent="0.3">
      <c r="A437" t="str">
        <f>""</f>
        <v/>
      </c>
      <c r="G437" t="str">
        <f>""</f>
        <v/>
      </c>
      <c r="H437" t="str">
        <f>""</f>
        <v/>
      </c>
      <c r="J437" t="str">
        <f>"Sames"</f>
        <v>Sames</v>
      </c>
    </row>
    <row r="438" spans="1:10" x14ac:dyDescent="0.3">
      <c r="A438" t="str">
        <f>""</f>
        <v/>
      </c>
      <c r="G438" t="str">
        <f>""</f>
        <v/>
      </c>
      <c r="H438" t="str">
        <f>""</f>
        <v/>
      </c>
      <c r="J438" t="str">
        <f>"Walmart"</f>
        <v>Walmart</v>
      </c>
    </row>
    <row r="439" spans="1:10" x14ac:dyDescent="0.3">
      <c r="A439" t="str">
        <f>""</f>
        <v/>
      </c>
      <c r="G439" t="str">
        <f>""</f>
        <v/>
      </c>
      <c r="H439" t="str">
        <f>""</f>
        <v/>
      </c>
      <c r="J439" t="str">
        <f>"Walmart"</f>
        <v>Walmart</v>
      </c>
    </row>
    <row r="440" spans="1:10" x14ac:dyDescent="0.3">
      <c r="A440" t="str">
        <f>""</f>
        <v/>
      </c>
      <c r="G440" t="str">
        <f>""</f>
        <v/>
      </c>
      <c r="H440" t="str">
        <f>""</f>
        <v/>
      </c>
      <c r="J440" t="str">
        <f>"Walmart"</f>
        <v>Walmart</v>
      </c>
    </row>
    <row r="441" spans="1:10" x14ac:dyDescent="0.3">
      <c r="A441" t="str">
        <f>""</f>
        <v/>
      </c>
      <c r="G441" t="str">
        <f>""</f>
        <v/>
      </c>
      <c r="H441" t="str">
        <f>""</f>
        <v/>
      </c>
      <c r="J441" t="str">
        <f>"UPS"</f>
        <v>UPS</v>
      </c>
    </row>
    <row r="442" spans="1:10" x14ac:dyDescent="0.3">
      <c r="A442" t="str">
        <f>"CARD"</f>
        <v>CARD</v>
      </c>
      <c r="B442" t="s">
        <v>113</v>
      </c>
      <c r="C442">
        <v>70766</v>
      </c>
      <c r="D442" s="2">
        <v>70.099999999999994</v>
      </c>
      <c r="E442" s="1">
        <v>42898</v>
      </c>
      <c r="F442" t="s">
        <v>10</v>
      </c>
      <c r="G442" t="str">
        <f>"MTHLY STMT"</f>
        <v>MTHLY STMT</v>
      </c>
      <c r="H442" t="str">
        <f>"STATEMENT 04/22-05/23/201"</f>
        <v>STATEMENT 04/22-05/23/201</v>
      </c>
      <c r="I442" s="2">
        <v>70.099999999999994</v>
      </c>
      <c r="J442" t="str">
        <f>"BEST BUY"</f>
        <v>BEST BUY</v>
      </c>
    </row>
    <row r="443" spans="1:10" x14ac:dyDescent="0.3">
      <c r="A443" t="str">
        <f>""</f>
        <v/>
      </c>
      <c r="G443" t="str">
        <f>""</f>
        <v/>
      </c>
      <c r="H443" t="str">
        <f>""</f>
        <v/>
      </c>
      <c r="J443" t="str">
        <f>"USPS - SHIPPING"</f>
        <v>USPS - SHIPPING</v>
      </c>
    </row>
    <row r="444" spans="1:10" x14ac:dyDescent="0.3">
      <c r="A444" t="str">
        <f>""</f>
        <v/>
      </c>
      <c r="G444" t="str">
        <f>""</f>
        <v/>
      </c>
      <c r="H444" t="str">
        <f>""</f>
        <v/>
      </c>
      <c r="J444" t="str">
        <f>"LODGING - DAYS INN"</f>
        <v>LODGING - DAYS INN</v>
      </c>
    </row>
    <row r="445" spans="1:10" x14ac:dyDescent="0.3">
      <c r="A445" t="str">
        <f>"005098"</f>
        <v>005098</v>
      </c>
      <c r="B445" t="s">
        <v>114</v>
      </c>
      <c r="C445">
        <v>70767</v>
      </c>
      <c r="D445" s="2">
        <v>165</v>
      </c>
      <c r="E445" s="1">
        <v>42898</v>
      </c>
      <c r="F445" t="s">
        <v>10</v>
      </c>
      <c r="G445" t="str">
        <f>"201706052628"</f>
        <v>201706052628</v>
      </c>
      <c r="H445" t="str">
        <f>"FERAL HOGS"</f>
        <v>FERAL HOGS</v>
      </c>
      <c r="I445" s="2">
        <v>165</v>
      </c>
      <c r="J445" t="str">
        <f>"FERAL HOGS"</f>
        <v>FERAL HOGS</v>
      </c>
    </row>
    <row r="446" spans="1:10" x14ac:dyDescent="0.3">
      <c r="A446" t="str">
        <f>"T4871"</f>
        <v>T4871</v>
      </c>
      <c r="B446" t="s">
        <v>115</v>
      </c>
      <c r="C446">
        <v>0</v>
      </c>
      <c r="D446" s="2">
        <v>778.66</v>
      </c>
      <c r="E446" s="1">
        <v>42912</v>
      </c>
      <c r="F446" t="s">
        <v>10</v>
      </c>
      <c r="G446" t="str">
        <f>"JFF3068"</f>
        <v>JFF3068</v>
      </c>
      <c r="H446" t="str">
        <f>"Quote# 1BRDQKG"</f>
        <v>Quote# 1BRDQKG</v>
      </c>
      <c r="I446" s="2">
        <v>778.66</v>
      </c>
      <c r="J446" t="str">
        <f>"Part# 3661529"</f>
        <v>Part# 3661529</v>
      </c>
    </row>
    <row r="447" spans="1:10" x14ac:dyDescent="0.3">
      <c r="A447" t="str">
        <f>"CTMF"</f>
        <v>CTMF</v>
      </c>
      <c r="B447" t="s">
        <v>116</v>
      </c>
      <c r="C447">
        <v>70768</v>
      </c>
      <c r="D447" s="2">
        <v>1728</v>
      </c>
      <c r="E447" s="1">
        <v>42898</v>
      </c>
      <c r="F447" t="s">
        <v>10</v>
      </c>
      <c r="G447" t="str">
        <f>"11224"</f>
        <v>11224</v>
      </c>
      <c r="H447" t="str">
        <f>"CUST #5404-2/ORDER #11224"</f>
        <v>CUST #5404-2/ORDER #11224</v>
      </c>
      <c r="I447" s="2">
        <v>1728</v>
      </c>
      <c r="J447" t="str">
        <f>"CUST #5404-2/ORDER #11224"</f>
        <v>CUST #5404-2/ORDER #11224</v>
      </c>
    </row>
    <row r="448" spans="1:10" x14ac:dyDescent="0.3">
      <c r="A448" t="str">
        <f>"T11934"</f>
        <v>T11934</v>
      </c>
      <c r="B448" t="s">
        <v>117</v>
      </c>
      <c r="C448">
        <v>70769</v>
      </c>
      <c r="D448" s="2">
        <v>105.25</v>
      </c>
      <c r="E448" s="1">
        <v>42898</v>
      </c>
      <c r="F448" t="s">
        <v>10</v>
      </c>
      <c r="G448" t="str">
        <f>"ORD#42038"</f>
        <v>ORD#42038</v>
      </c>
      <c r="H448" t="str">
        <f>"SALES ORDER 42038"</f>
        <v>SALES ORDER 42038</v>
      </c>
      <c r="I448" s="2">
        <v>105.25</v>
      </c>
      <c r="J448" t="str">
        <f>"SALES ORDER 42038"</f>
        <v>SALES ORDER 42038</v>
      </c>
    </row>
    <row r="449" spans="1:10" x14ac:dyDescent="0.3">
      <c r="A449" t="str">
        <f>"CTRPNT"</f>
        <v>CTRPNT</v>
      </c>
      <c r="B449" t="s">
        <v>118</v>
      </c>
      <c r="C449">
        <v>70693</v>
      </c>
      <c r="D449" s="2">
        <v>1490.79</v>
      </c>
      <c r="E449" s="1">
        <v>42893</v>
      </c>
      <c r="F449" t="s">
        <v>10</v>
      </c>
      <c r="G449" t="str">
        <f>"2959074-2-053017"</f>
        <v>2959074-2-053017</v>
      </c>
      <c r="H449" t="str">
        <f>"106 LOOP 150 W"</f>
        <v>106 LOOP 150 W</v>
      </c>
      <c r="I449" s="2">
        <v>40.659999999999997</v>
      </c>
      <c r="J449" t="str">
        <f>"106 LOOP 150 W"</f>
        <v>106 LOOP 150 W</v>
      </c>
    </row>
    <row r="450" spans="1:10" x14ac:dyDescent="0.3">
      <c r="A450" t="str">
        <f>""</f>
        <v/>
      </c>
      <c r="F450" t="s">
        <v>10</v>
      </c>
      <c r="G450" t="str">
        <f>"2974567-6-053017"</f>
        <v>2974567-6-053017</v>
      </c>
      <c r="H450" t="str">
        <f>"200 JACKSON ST"</f>
        <v>200 JACKSON ST</v>
      </c>
      <c r="I450" s="2">
        <v>1342.61</v>
      </c>
      <c r="J450" t="str">
        <f>"200 JACKSON ST"</f>
        <v>200 JACKSON ST</v>
      </c>
    </row>
    <row r="451" spans="1:10" x14ac:dyDescent="0.3">
      <c r="A451" t="str">
        <f>""</f>
        <v/>
      </c>
      <c r="F451" t="s">
        <v>10</v>
      </c>
      <c r="G451" t="str">
        <f>"3204433-1-052417"</f>
        <v>3204433-1-052417</v>
      </c>
      <c r="H451" t="str">
        <f>"901 PECAN STREET"</f>
        <v>901 PECAN STREET</v>
      </c>
      <c r="I451" s="2">
        <v>35.840000000000003</v>
      </c>
      <c r="J451" t="str">
        <f>"901 PECAN STREET"</f>
        <v>901 PECAN STREET</v>
      </c>
    </row>
    <row r="452" spans="1:10" x14ac:dyDescent="0.3">
      <c r="A452" t="str">
        <f>""</f>
        <v/>
      </c>
      <c r="F452" t="s">
        <v>10</v>
      </c>
      <c r="G452" t="str">
        <f>"3204434-9-053017"</f>
        <v>3204434-9-053017</v>
      </c>
      <c r="H452" t="str">
        <f>"104 LOOP 150 W"</f>
        <v>104 LOOP 150 W</v>
      </c>
      <c r="I452" s="2">
        <v>35.840000000000003</v>
      </c>
      <c r="J452" t="str">
        <f>"104 LOOP 150 W"</f>
        <v>104 LOOP 150 W</v>
      </c>
    </row>
    <row r="453" spans="1:10" x14ac:dyDescent="0.3">
      <c r="A453" t="str">
        <f>""</f>
        <v/>
      </c>
      <c r="F453" t="s">
        <v>10</v>
      </c>
      <c r="G453" t="str">
        <f>"64008901080-052417"</f>
        <v>64008901080-052417</v>
      </c>
      <c r="H453" t="str">
        <f>"1624 NE LOOP 230"</f>
        <v>1624 NE LOOP 230</v>
      </c>
      <c r="I453" s="2">
        <v>35.840000000000003</v>
      </c>
      <c r="J453" t="str">
        <f>"1624 NE LOOP 230"</f>
        <v>1624 NE LOOP 230</v>
      </c>
    </row>
    <row r="454" spans="1:10" x14ac:dyDescent="0.3">
      <c r="A454" t="str">
        <f>"CTRPNT"</f>
        <v>CTRPNT</v>
      </c>
      <c r="B454" t="s">
        <v>118</v>
      </c>
      <c r="C454">
        <v>71096</v>
      </c>
      <c r="D454" s="2">
        <v>111.26</v>
      </c>
      <c r="E454" s="1">
        <v>42906</v>
      </c>
      <c r="F454" t="s">
        <v>10</v>
      </c>
      <c r="G454" t="str">
        <f>"201706203176"</f>
        <v>201706203176</v>
      </c>
      <c r="H454" t="str">
        <f>"ACCT # 2814197-6 - 06/06/2017"</f>
        <v>ACCT # 2814197-6 - 06/06/2017</v>
      </c>
      <c r="I454" s="2">
        <v>35.840000000000003</v>
      </c>
      <c r="J454" t="str">
        <f>"ACCT # 2814197-6"</f>
        <v>ACCT # 2814197-6</v>
      </c>
    </row>
    <row r="455" spans="1:10" x14ac:dyDescent="0.3">
      <c r="A455" t="str">
        <f>""</f>
        <v/>
      </c>
      <c r="F455" t="s">
        <v>10</v>
      </c>
      <c r="G455" t="str">
        <f>"201706203177"</f>
        <v>201706203177</v>
      </c>
      <c r="H455" t="str">
        <f>"ACCT # 2959097-3 - 06/06/2017"</f>
        <v>ACCT # 2959097-3 - 06/06/2017</v>
      </c>
      <c r="I455" s="2">
        <v>36.22</v>
      </c>
      <c r="J455" t="str">
        <f>"ACCT # 2959097-3 - 06/06/2017"</f>
        <v>ACCT # 2959097-3 - 06/06/2017</v>
      </c>
    </row>
    <row r="456" spans="1:10" x14ac:dyDescent="0.3">
      <c r="A456" t="str">
        <f>""</f>
        <v/>
      </c>
      <c r="F456" t="s">
        <v>10</v>
      </c>
      <c r="G456" t="str">
        <f>"201706203178"</f>
        <v>201706203178</v>
      </c>
      <c r="H456" t="str">
        <f>"ACCT #6400893680-5-06/06/2017"</f>
        <v>ACCT #6400893680-5-06/06/2017</v>
      </c>
      <c r="I456" s="2">
        <v>39.200000000000003</v>
      </c>
      <c r="J456" t="str">
        <f>"ACCT #6400893680-5-06/06/2017"</f>
        <v>ACCT #6400893680-5-06/06/2017</v>
      </c>
    </row>
    <row r="457" spans="1:10" x14ac:dyDescent="0.3">
      <c r="A457" t="str">
        <f>"CENTEX"</f>
        <v>CENTEX</v>
      </c>
      <c r="B457" t="s">
        <v>119</v>
      </c>
      <c r="C457">
        <v>70770</v>
      </c>
      <c r="D457" s="2">
        <v>2788.54</v>
      </c>
      <c r="E457" s="1">
        <v>42898</v>
      </c>
      <c r="F457" t="s">
        <v>10</v>
      </c>
      <c r="G457" t="str">
        <f>"30118209"</f>
        <v>30118209</v>
      </c>
      <c r="H457" t="str">
        <f>"CUST #BASPCT3/CITY OF AUS BASE"</f>
        <v>CUST #BASPCT3/CITY OF AUS BASE</v>
      </c>
      <c r="I457" s="2">
        <v>2401.5300000000002</v>
      </c>
      <c r="J457" t="str">
        <f>"CUST #BASPCT3/CITY OF AUS BASE"</f>
        <v>CUST #BASPCT3/CITY OF AUS BASE</v>
      </c>
    </row>
    <row r="458" spans="1:10" x14ac:dyDescent="0.3">
      <c r="A458" t="str">
        <f>""</f>
        <v/>
      </c>
      <c r="F458" t="s">
        <v>10</v>
      </c>
      <c r="G458" t="str">
        <f>"30118275"</f>
        <v>30118275</v>
      </c>
      <c r="H458" t="str">
        <f>"CUST #BASPCT3/CITY OF AUS BASE"</f>
        <v>CUST #BASPCT3/CITY OF AUS BASE</v>
      </c>
      <c r="I458" s="2">
        <v>387.01</v>
      </c>
      <c r="J458" t="str">
        <f>"CUST #BASPCT3/CITY OF AUS BASE"</f>
        <v>CUST #BASPCT3/CITY OF AUS BASE</v>
      </c>
    </row>
    <row r="459" spans="1:10" x14ac:dyDescent="0.3">
      <c r="A459" t="str">
        <f>"CENTEX"</f>
        <v>CENTEX</v>
      </c>
      <c r="B459" t="s">
        <v>119</v>
      </c>
      <c r="C459">
        <v>71153</v>
      </c>
      <c r="D459" s="2">
        <v>26529.13</v>
      </c>
      <c r="E459" s="1">
        <v>42912</v>
      </c>
      <c r="F459" t="s">
        <v>10</v>
      </c>
      <c r="G459" t="str">
        <f>"30118236"</f>
        <v>30118236</v>
      </c>
      <c r="H459" t="str">
        <f t="shared" ref="H459:H469" si="3">"CUST#BASPCT3/CTY OF AUS BASE"</f>
        <v>CUST#BASPCT3/CTY OF AUS BASE</v>
      </c>
      <c r="I459" s="2">
        <v>1611.58</v>
      </c>
      <c r="J459" t="str">
        <f t="shared" ref="J459:J469" si="4">"CUST#BASPCT3/CTY OF AUS BASE"</f>
        <v>CUST#BASPCT3/CTY OF AUS BASE</v>
      </c>
    </row>
    <row r="460" spans="1:10" x14ac:dyDescent="0.3">
      <c r="A460" t="str">
        <f>""</f>
        <v/>
      </c>
      <c r="F460" t="s">
        <v>10</v>
      </c>
      <c r="G460" t="str">
        <f>"30118308"</f>
        <v>30118308</v>
      </c>
      <c r="H460" t="str">
        <f t="shared" si="3"/>
        <v>CUST#BASPCT3/CTY OF AUS BASE</v>
      </c>
      <c r="I460" s="2">
        <v>1598.89</v>
      </c>
      <c r="J460" t="str">
        <f t="shared" si="4"/>
        <v>CUST#BASPCT3/CTY OF AUS BASE</v>
      </c>
    </row>
    <row r="461" spans="1:10" x14ac:dyDescent="0.3">
      <c r="A461" t="str">
        <f>""</f>
        <v/>
      </c>
      <c r="F461" t="s">
        <v>10</v>
      </c>
      <c r="G461" t="str">
        <f>"30118341"</f>
        <v>30118341</v>
      </c>
      <c r="H461" t="str">
        <f t="shared" si="3"/>
        <v>CUST#BASPCT3/CTY OF AUS BASE</v>
      </c>
      <c r="I461" s="2">
        <v>2021.87</v>
      </c>
      <c r="J461" t="str">
        <f t="shared" si="4"/>
        <v>CUST#BASPCT3/CTY OF AUS BASE</v>
      </c>
    </row>
    <row r="462" spans="1:10" x14ac:dyDescent="0.3">
      <c r="A462" t="str">
        <f>""</f>
        <v/>
      </c>
      <c r="F462" t="s">
        <v>10</v>
      </c>
      <c r="G462" t="str">
        <f>"30118427"</f>
        <v>30118427</v>
      </c>
      <c r="H462" t="str">
        <f t="shared" si="3"/>
        <v>CUST#BASPCT3/CTY OF AUS BASE</v>
      </c>
      <c r="I462" s="2">
        <v>2398.3200000000002</v>
      </c>
      <c r="J462" t="str">
        <f t="shared" si="4"/>
        <v>CUST#BASPCT3/CTY OF AUS BASE</v>
      </c>
    </row>
    <row r="463" spans="1:10" x14ac:dyDescent="0.3">
      <c r="A463" t="str">
        <f>""</f>
        <v/>
      </c>
      <c r="F463" t="s">
        <v>10</v>
      </c>
      <c r="G463" t="str">
        <f>"30118457"</f>
        <v>30118457</v>
      </c>
      <c r="H463" t="str">
        <f t="shared" si="3"/>
        <v>CUST#BASPCT3/CTY OF AUS BASE</v>
      </c>
      <c r="I463" s="2">
        <v>2806.39</v>
      </c>
      <c r="J463" t="str">
        <f t="shared" si="4"/>
        <v>CUST#BASPCT3/CTY OF AUS BASE</v>
      </c>
    </row>
    <row r="464" spans="1:10" x14ac:dyDescent="0.3">
      <c r="A464" t="str">
        <f>""</f>
        <v/>
      </c>
      <c r="F464" t="s">
        <v>10</v>
      </c>
      <c r="G464" t="str">
        <f>"30118484"</f>
        <v>30118484</v>
      </c>
      <c r="H464" t="str">
        <f t="shared" si="3"/>
        <v>CUST#BASPCT3/CTY OF AUS BASE</v>
      </c>
      <c r="I464" s="2">
        <v>2361.1999999999998</v>
      </c>
      <c r="J464" t="str">
        <f t="shared" si="4"/>
        <v>CUST#BASPCT3/CTY OF AUS BASE</v>
      </c>
    </row>
    <row r="465" spans="1:10" x14ac:dyDescent="0.3">
      <c r="A465" t="str">
        <f>""</f>
        <v/>
      </c>
      <c r="F465" t="s">
        <v>10</v>
      </c>
      <c r="G465" t="str">
        <f>"30118566"</f>
        <v>30118566</v>
      </c>
      <c r="H465" t="str">
        <f t="shared" si="3"/>
        <v>CUST#BASPCT3/CTY OF AUS BASE</v>
      </c>
      <c r="I465" s="2">
        <v>1987.91</v>
      </c>
      <c r="J465" t="str">
        <f t="shared" si="4"/>
        <v>CUST#BASPCT3/CTY OF AUS BASE</v>
      </c>
    </row>
    <row r="466" spans="1:10" x14ac:dyDescent="0.3">
      <c r="A466" t="str">
        <f>""</f>
        <v/>
      </c>
      <c r="F466" t="s">
        <v>10</v>
      </c>
      <c r="G466" t="str">
        <f>"30118613"</f>
        <v>30118613</v>
      </c>
      <c r="H466" t="str">
        <f t="shared" si="3"/>
        <v>CUST#BASPCT3/CTY OF AUS BASE</v>
      </c>
      <c r="I466" s="2">
        <v>1570.45</v>
      </c>
      <c r="J466" t="str">
        <f t="shared" si="4"/>
        <v>CUST#BASPCT3/CTY OF AUS BASE</v>
      </c>
    </row>
    <row r="467" spans="1:10" x14ac:dyDescent="0.3">
      <c r="A467" t="str">
        <f>""</f>
        <v/>
      </c>
      <c r="F467" t="s">
        <v>10</v>
      </c>
      <c r="G467" t="str">
        <f>"30118634"</f>
        <v>30118634</v>
      </c>
      <c r="H467" t="str">
        <f t="shared" si="3"/>
        <v>CUST#BASPCT3/CTY OF AUS BASE</v>
      </c>
      <c r="I467" s="2">
        <v>2251.71</v>
      </c>
      <c r="J467" t="str">
        <f t="shared" si="4"/>
        <v>CUST#BASPCT3/CTY OF AUS BASE</v>
      </c>
    </row>
    <row r="468" spans="1:10" x14ac:dyDescent="0.3">
      <c r="A468" t="str">
        <f>""</f>
        <v/>
      </c>
      <c r="F468" t="s">
        <v>10</v>
      </c>
      <c r="G468" t="str">
        <f>"30118668"</f>
        <v>30118668</v>
      </c>
      <c r="H468" t="str">
        <f t="shared" si="3"/>
        <v>CUST#BASPCT3/CTY OF AUS BASE</v>
      </c>
      <c r="I468" s="2">
        <v>2430.1799999999998</v>
      </c>
      <c r="J468" t="str">
        <f t="shared" si="4"/>
        <v>CUST#BASPCT3/CTY OF AUS BASE</v>
      </c>
    </row>
    <row r="469" spans="1:10" x14ac:dyDescent="0.3">
      <c r="A469" t="str">
        <f>""</f>
        <v/>
      </c>
      <c r="F469" t="s">
        <v>10</v>
      </c>
      <c r="G469" t="str">
        <f>"30118725"</f>
        <v>30118725</v>
      </c>
      <c r="H469" t="str">
        <f t="shared" si="3"/>
        <v>CUST#BASPCT3/CTY OF AUS BASE</v>
      </c>
      <c r="I469" s="2">
        <v>1832.13</v>
      </c>
      <c r="J469" t="str">
        <f t="shared" si="4"/>
        <v>CUST#BASPCT3/CTY OF AUS BASE</v>
      </c>
    </row>
    <row r="470" spans="1:10" x14ac:dyDescent="0.3">
      <c r="A470" t="str">
        <f>""</f>
        <v/>
      </c>
      <c r="F470" t="s">
        <v>10</v>
      </c>
      <c r="G470" t="str">
        <f>"30118996"</f>
        <v>30118996</v>
      </c>
      <c r="H470" t="str">
        <f>"CUST#BASPCT3/BASE"</f>
        <v>CUST#BASPCT3/BASE</v>
      </c>
      <c r="I470" s="2">
        <v>2051.5500000000002</v>
      </c>
      <c r="J470" t="str">
        <f>"CUST#BASPCT3/BASE"</f>
        <v>CUST#BASPCT3/BASE</v>
      </c>
    </row>
    <row r="471" spans="1:10" x14ac:dyDescent="0.3">
      <c r="A471" t="str">
        <f>""</f>
        <v/>
      </c>
      <c r="F471" t="s">
        <v>10</v>
      </c>
      <c r="G471" t="str">
        <f>"30119017"</f>
        <v>30119017</v>
      </c>
      <c r="H471" t="str">
        <f>"CUST#BASPCT3/BASE"</f>
        <v>CUST#BASPCT3/BASE</v>
      </c>
      <c r="I471" s="2">
        <v>1606.95</v>
      </c>
      <c r="J471" t="str">
        <f>"CUST#BASPCT3/BASE"</f>
        <v>CUST#BASPCT3/BASE</v>
      </c>
    </row>
    <row r="472" spans="1:10" x14ac:dyDescent="0.3">
      <c r="A472" t="str">
        <f>"003739"</f>
        <v>003739</v>
      </c>
      <c r="B472" t="s">
        <v>120</v>
      </c>
      <c r="C472">
        <v>70771</v>
      </c>
      <c r="D472" s="2">
        <v>90</v>
      </c>
      <c r="E472" s="1">
        <v>42898</v>
      </c>
      <c r="F472" t="s">
        <v>10</v>
      </c>
      <c r="G472" t="str">
        <f>"0000043733"</f>
        <v>0000043733</v>
      </c>
      <c r="H472" t="str">
        <f>"Inv# 0000043733"</f>
        <v>Inv# 0000043733</v>
      </c>
      <c r="I472" s="2">
        <v>90</v>
      </c>
      <c r="J472" t="str">
        <f>"Inv# 0000043733"</f>
        <v>Inv# 0000043733</v>
      </c>
    </row>
    <row r="473" spans="1:10" x14ac:dyDescent="0.3">
      <c r="A473" t="str">
        <f>"003739"</f>
        <v>003739</v>
      </c>
      <c r="B473" t="s">
        <v>120</v>
      </c>
      <c r="C473">
        <v>71154</v>
      </c>
      <c r="D473" s="2">
        <v>1000.15</v>
      </c>
      <c r="E473" s="1">
        <v>42912</v>
      </c>
      <c r="F473" t="s">
        <v>10</v>
      </c>
      <c r="G473" t="str">
        <f>"43316 43404 43895"</f>
        <v>43316 43404 43895</v>
      </c>
      <c r="H473" t="str">
        <f>"Inv# 43316  43404  43895"</f>
        <v>Inv# 43316  43404  43895</v>
      </c>
      <c r="I473" s="2">
        <v>1000.15</v>
      </c>
      <c r="J473" t="str">
        <f>"Inv# 43316"</f>
        <v>Inv# 43316</v>
      </c>
    </row>
    <row r="474" spans="1:10" x14ac:dyDescent="0.3">
      <c r="A474" t="str">
        <f>""</f>
        <v/>
      </c>
      <c r="G474" t="str">
        <f>""</f>
        <v/>
      </c>
      <c r="H474" t="str">
        <f>""</f>
        <v/>
      </c>
      <c r="J474" t="str">
        <f>"Inv# 43404"</f>
        <v>Inv# 43404</v>
      </c>
    </row>
    <row r="475" spans="1:10" x14ac:dyDescent="0.3">
      <c r="A475" t="str">
        <f>""</f>
        <v/>
      </c>
      <c r="G475" t="str">
        <f>""</f>
        <v/>
      </c>
      <c r="H475" t="str">
        <f>""</f>
        <v/>
      </c>
      <c r="J475" t="str">
        <f>"Inv# 43895"</f>
        <v>Inv# 43895</v>
      </c>
    </row>
    <row r="476" spans="1:10" x14ac:dyDescent="0.3">
      <c r="A476" t="str">
        <f>"002795"</f>
        <v>002795</v>
      </c>
      <c r="B476" t="s">
        <v>121</v>
      </c>
      <c r="C476">
        <v>71155</v>
      </c>
      <c r="D476" s="2">
        <v>8400</v>
      </c>
      <c r="E476" s="1">
        <v>42912</v>
      </c>
      <c r="F476" t="s">
        <v>10</v>
      </c>
      <c r="G476" t="str">
        <f>"11741"</f>
        <v>11741</v>
      </c>
      <c r="H476" t="str">
        <f>"CTA 121-17: FULL AUTOPSY"</f>
        <v>CTA 121-17: FULL AUTOPSY</v>
      </c>
      <c r="I476" s="2">
        <v>2100</v>
      </c>
      <c r="J476" t="str">
        <f>"CTA 121-17: FULL AUTOPSY"</f>
        <v>CTA 121-17: FULL AUTOPSY</v>
      </c>
    </row>
    <row r="477" spans="1:10" x14ac:dyDescent="0.3">
      <c r="A477" t="str">
        <f>""</f>
        <v/>
      </c>
      <c r="F477" t="s">
        <v>10</v>
      </c>
      <c r="G477" t="str">
        <f>"11745"</f>
        <v>11745</v>
      </c>
      <c r="H477" t="str">
        <f>"CTA 093-17: FULL AUTOPSY"</f>
        <v>CTA 093-17: FULL AUTOPSY</v>
      </c>
      <c r="I477" s="2">
        <v>2100</v>
      </c>
      <c r="J477" t="str">
        <f>"CTA 093-17: FULL AUTOPSY"</f>
        <v>CTA 093-17: FULL AUTOPSY</v>
      </c>
    </row>
    <row r="478" spans="1:10" x14ac:dyDescent="0.3">
      <c r="A478" t="str">
        <f>""</f>
        <v/>
      </c>
      <c r="F478" t="s">
        <v>10</v>
      </c>
      <c r="G478" t="str">
        <f>"11746"</f>
        <v>11746</v>
      </c>
      <c r="H478" t="str">
        <f>"CTA 115-17: FULL AUTOPSY"</f>
        <v>CTA 115-17: FULL AUTOPSY</v>
      </c>
      <c r="I478" s="2">
        <v>2100</v>
      </c>
      <c r="J478" t="str">
        <f>"CTA 115-17: FULL AUTOPSY"</f>
        <v>CTA 115-17: FULL AUTOPSY</v>
      </c>
    </row>
    <row r="479" spans="1:10" x14ac:dyDescent="0.3">
      <c r="A479" t="str">
        <f>""</f>
        <v/>
      </c>
      <c r="F479" t="s">
        <v>10</v>
      </c>
      <c r="G479" t="str">
        <f>"11753"</f>
        <v>11753</v>
      </c>
      <c r="H479" t="str">
        <f>"CTA 207-17: FULL AUTOPSY"</f>
        <v>CTA 207-17: FULL AUTOPSY</v>
      </c>
      <c r="I479" s="2">
        <v>2100</v>
      </c>
      <c r="J479" t="str">
        <f>"CTA 207-17: FULL AUTOPSY"</f>
        <v>CTA 207-17: FULL AUTOPSY</v>
      </c>
    </row>
    <row r="480" spans="1:10" x14ac:dyDescent="0.3">
      <c r="A480" t="str">
        <f>"004648"</f>
        <v>004648</v>
      </c>
      <c r="B480" t="s">
        <v>122</v>
      </c>
      <c r="C480">
        <v>70772</v>
      </c>
      <c r="D480" s="2">
        <v>751.62</v>
      </c>
      <c r="E480" s="1">
        <v>42898</v>
      </c>
      <c r="F480" t="s">
        <v>10</v>
      </c>
      <c r="G480" t="str">
        <f>"201706072810"</f>
        <v>201706072810</v>
      </c>
      <c r="H480" t="str">
        <f>"17-18119"</f>
        <v>17-18119</v>
      </c>
      <c r="I480" s="2">
        <v>204.12</v>
      </c>
      <c r="J480" t="str">
        <f>"17-18119"</f>
        <v>17-18119</v>
      </c>
    </row>
    <row r="481" spans="1:10" x14ac:dyDescent="0.3">
      <c r="A481" t="str">
        <f>""</f>
        <v/>
      </c>
      <c r="F481" t="s">
        <v>10</v>
      </c>
      <c r="G481" t="str">
        <f>"201706072811"</f>
        <v>201706072811</v>
      </c>
      <c r="H481" t="str">
        <f>"17-18229"</f>
        <v>17-18229</v>
      </c>
      <c r="I481" s="2">
        <v>100</v>
      </c>
      <c r="J481" t="str">
        <f>"17-18229"</f>
        <v>17-18229</v>
      </c>
    </row>
    <row r="482" spans="1:10" x14ac:dyDescent="0.3">
      <c r="A482" t="str">
        <f>""</f>
        <v/>
      </c>
      <c r="F482" t="s">
        <v>10</v>
      </c>
      <c r="G482" t="str">
        <f>"201706072812"</f>
        <v>201706072812</v>
      </c>
      <c r="H482" t="str">
        <f>"15-17513"</f>
        <v>15-17513</v>
      </c>
      <c r="I482" s="2">
        <v>347.5</v>
      </c>
      <c r="J482" t="str">
        <f>"15-17513"</f>
        <v>15-17513</v>
      </c>
    </row>
    <row r="483" spans="1:10" x14ac:dyDescent="0.3">
      <c r="A483" t="str">
        <f>""</f>
        <v/>
      </c>
      <c r="F483" t="s">
        <v>10</v>
      </c>
      <c r="G483" t="str">
        <f>"201706072813"</f>
        <v>201706072813</v>
      </c>
      <c r="H483" t="str">
        <f>"16-17934"</f>
        <v>16-17934</v>
      </c>
      <c r="I483" s="2">
        <v>100</v>
      </c>
      <c r="J483" t="str">
        <f>"16-17934"</f>
        <v>16-17934</v>
      </c>
    </row>
    <row r="484" spans="1:10" x14ac:dyDescent="0.3">
      <c r="A484" t="str">
        <f>"T11408"</f>
        <v>T11408</v>
      </c>
      <c r="B484" t="s">
        <v>123</v>
      </c>
      <c r="C484">
        <v>70773</v>
      </c>
      <c r="D484" s="2">
        <v>85</v>
      </c>
      <c r="E484" s="1">
        <v>42898</v>
      </c>
      <c r="F484" t="s">
        <v>10</v>
      </c>
      <c r="G484" t="str">
        <f>"201706052629"</f>
        <v>201706052629</v>
      </c>
      <c r="H484" t="str">
        <f>"FERAL HOGS"</f>
        <v>FERAL HOGS</v>
      </c>
      <c r="I484" s="2">
        <v>45</v>
      </c>
      <c r="J484" t="str">
        <f>"FERAL HOGS"</f>
        <v>FERAL HOGS</v>
      </c>
    </row>
    <row r="485" spans="1:10" x14ac:dyDescent="0.3">
      <c r="A485" t="str">
        <f>""</f>
        <v/>
      </c>
      <c r="F485" t="s">
        <v>10</v>
      </c>
      <c r="G485" t="str">
        <f>"201706052630"</f>
        <v>201706052630</v>
      </c>
      <c r="H485" t="str">
        <f>"FERAL HOGS"</f>
        <v>FERAL HOGS</v>
      </c>
      <c r="I485" s="2">
        <v>40</v>
      </c>
      <c r="J485" t="str">
        <f>"FERAL HOGS"</f>
        <v>FERAL HOGS</v>
      </c>
    </row>
    <row r="486" spans="1:10" x14ac:dyDescent="0.3">
      <c r="A486" t="str">
        <f>"T11831"</f>
        <v>T11831</v>
      </c>
      <c r="B486" t="s">
        <v>124</v>
      </c>
      <c r="C486">
        <v>71156</v>
      </c>
      <c r="D486" s="2">
        <v>996</v>
      </c>
      <c r="E486" s="1">
        <v>42912</v>
      </c>
      <c r="F486" t="s">
        <v>10</v>
      </c>
      <c r="G486" t="str">
        <f>"0141994  014163"</f>
        <v>0141994  014163</v>
      </c>
      <c r="H486" t="str">
        <f>"JAIL/CANVAS SLIP ONS"</f>
        <v>JAIL/CANVAS SLIP ONS</v>
      </c>
      <c r="I486" s="2">
        <v>996</v>
      </c>
      <c r="J486" t="str">
        <f>"IN0141994-IN"</f>
        <v>IN0141994-IN</v>
      </c>
    </row>
    <row r="487" spans="1:10" x14ac:dyDescent="0.3">
      <c r="A487" t="str">
        <f>""</f>
        <v/>
      </c>
      <c r="G487" t="str">
        <f>""</f>
        <v/>
      </c>
      <c r="H487" t="str">
        <f>""</f>
        <v/>
      </c>
      <c r="J487" t="str">
        <f>"INV 0141635-IN"</f>
        <v>INV 0141635-IN</v>
      </c>
    </row>
    <row r="488" spans="1:10" x14ac:dyDescent="0.3">
      <c r="A488" t="str">
        <f>"005112"</f>
        <v>005112</v>
      </c>
      <c r="B488" t="s">
        <v>125</v>
      </c>
      <c r="C488">
        <v>70774</v>
      </c>
      <c r="D488" s="2">
        <v>10</v>
      </c>
      <c r="E488" s="1">
        <v>42898</v>
      </c>
      <c r="F488" t="s">
        <v>10</v>
      </c>
      <c r="G488" t="str">
        <f>"201706072971"</f>
        <v>201706072971</v>
      </c>
      <c r="H488" t="str">
        <f>"FERAL HOGS"</f>
        <v>FERAL HOGS</v>
      </c>
      <c r="I488" s="2">
        <v>10</v>
      </c>
      <c r="J488" t="str">
        <f>"FERAL HOGS"</f>
        <v>FERAL HOGS</v>
      </c>
    </row>
    <row r="489" spans="1:10" x14ac:dyDescent="0.3">
      <c r="A489" t="str">
        <f>"T7886"</f>
        <v>T7886</v>
      </c>
      <c r="B489" t="s">
        <v>126</v>
      </c>
      <c r="C489">
        <v>70775</v>
      </c>
      <c r="D489" s="2">
        <v>294.5</v>
      </c>
      <c r="E489" s="1">
        <v>42898</v>
      </c>
      <c r="F489" t="s">
        <v>10</v>
      </c>
      <c r="G489" t="str">
        <f>"000080"</f>
        <v>000080</v>
      </c>
      <c r="H489" t="str">
        <f>"KLORMAN HAND UNIT/TABS"</f>
        <v>KLORMAN HAND UNIT/TABS</v>
      </c>
      <c r="I489" s="2">
        <v>294.5</v>
      </c>
      <c r="J489" t="str">
        <f>"KLORMAN HAND UNIT/TABS"</f>
        <v>KLORMAN HAND UNIT/TABS</v>
      </c>
    </row>
    <row r="490" spans="1:10" x14ac:dyDescent="0.3">
      <c r="A490" t="str">
        <f>"T9145"</f>
        <v>T9145</v>
      </c>
      <c r="B490" t="s">
        <v>127</v>
      </c>
      <c r="C490">
        <v>70776</v>
      </c>
      <c r="D490" s="2">
        <v>5075</v>
      </c>
      <c r="E490" s="1">
        <v>42898</v>
      </c>
      <c r="F490" t="s">
        <v>10</v>
      </c>
      <c r="G490" t="str">
        <f>"201706012475"</f>
        <v>201706012475</v>
      </c>
      <c r="H490" t="str">
        <f>"54 177"</f>
        <v>54 177</v>
      </c>
      <c r="I490" s="2">
        <v>250</v>
      </c>
      <c r="J490" t="str">
        <f>"54 177"</f>
        <v>54 177</v>
      </c>
    </row>
    <row r="491" spans="1:10" x14ac:dyDescent="0.3">
      <c r="A491" t="str">
        <f>""</f>
        <v/>
      </c>
      <c r="F491" t="s">
        <v>10</v>
      </c>
      <c r="G491" t="str">
        <f>"201706012476"</f>
        <v>201706012476</v>
      </c>
      <c r="H491" t="str">
        <f>"15 070"</f>
        <v>15 070</v>
      </c>
      <c r="I491" s="2">
        <v>1100</v>
      </c>
      <c r="J491" t="str">
        <f>"15 070"</f>
        <v>15 070</v>
      </c>
    </row>
    <row r="492" spans="1:10" x14ac:dyDescent="0.3">
      <c r="A492" t="str">
        <f>""</f>
        <v/>
      </c>
      <c r="F492" t="s">
        <v>10</v>
      </c>
      <c r="G492" t="str">
        <f>"201706012477"</f>
        <v>201706012477</v>
      </c>
      <c r="H492" t="str">
        <f>"405274.217"</f>
        <v>405274.217</v>
      </c>
      <c r="I492" s="2">
        <v>400</v>
      </c>
      <c r="J492" t="str">
        <f>"405274.217"</f>
        <v>405274.217</v>
      </c>
    </row>
    <row r="493" spans="1:10" x14ac:dyDescent="0.3">
      <c r="A493" t="str">
        <f>""</f>
        <v/>
      </c>
      <c r="F493" t="s">
        <v>10</v>
      </c>
      <c r="G493" t="str">
        <f>"201706012478"</f>
        <v>201706012478</v>
      </c>
      <c r="H493" t="str">
        <f>"411155-2M"</f>
        <v>411155-2M</v>
      </c>
      <c r="I493" s="2">
        <v>400</v>
      </c>
      <c r="J493" t="str">
        <f>"411155-2M"</f>
        <v>411155-2M</v>
      </c>
    </row>
    <row r="494" spans="1:10" x14ac:dyDescent="0.3">
      <c r="A494" t="str">
        <f>""</f>
        <v/>
      </c>
      <c r="F494" t="s">
        <v>10</v>
      </c>
      <c r="G494" t="str">
        <f>"201706012479"</f>
        <v>201706012479</v>
      </c>
      <c r="H494" t="str">
        <f>"CH-20160625B"</f>
        <v>CH-20160625B</v>
      </c>
      <c r="I494" s="2">
        <v>400</v>
      </c>
      <c r="J494" t="str">
        <f>"CH-20160625B"</f>
        <v>CH-20160625B</v>
      </c>
    </row>
    <row r="495" spans="1:10" x14ac:dyDescent="0.3">
      <c r="A495" t="str">
        <f>""</f>
        <v/>
      </c>
      <c r="F495" t="s">
        <v>10</v>
      </c>
      <c r="G495" t="str">
        <f>"201706012480"</f>
        <v>201706012480</v>
      </c>
      <c r="H495" t="str">
        <f>"17-S-00888"</f>
        <v>17-S-00888</v>
      </c>
      <c r="I495" s="2">
        <v>400</v>
      </c>
      <c r="J495" t="str">
        <f>"17-S-00888"</f>
        <v>17-S-00888</v>
      </c>
    </row>
    <row r="496" spans="1:10" x14ac:dyDescent="0.3">
      <c r="A496" t="str">
        <f>""</f>
        <v/>
      </c>
      <c r="F496" t="s">
        <v>10</v>
      </c>
      <c r="G496" t="str">
        <f>"201706012481"</f>
        <v>201706012481</v>
      </c>
      <c r="H496" t="str">
        <f>"CH-20151205B"</f>
        <v>CH-20151205B</v>
      </c>
      <c r="I496" s="2">
        <v>400</v>
      </c>
      <c r="J496" t="str">
        <f>"CH-20151205B"</f>
        <v>CH-20151205B</v>
      </c>
    </row>
    <row r="497" spans="1:10" x14ac:dyDescent="0.3">
      <c r="A497" t="str">
        <f>""</f>
        <v/>
      </c>
      <c r="F497" t="s">
        <v>10</v>
      </c>
      <c r="G497" t="str">
        <f>"201706012482"</f>
        <v>201706012482</v>
      </c>
      <c r="H497" t="str">
        <f>"CH-20160121A"</f>
        <v>CH-20160121A</v>
      </c>
      <c r="I497" s="2">
        <v>400</v>
      </c>
      <c r="J497" t="str">
        <f>"CH-20160121A"</f>
        <v>CH-20160121A</v>
      </c>
    </row>
    <row r="498" spans="1:10" x14ac:dyDescent="0.3">
      <c r="A498" t="str">
        <f>""</f>
        <v/>
      </c>
      <c r="F498" t="s">
        <v>10</v>
      </c>
      <c r="G498" t="str">
        <f>"201706012483"</f>
        <v>201706012483</v>
      </c>
      <c r="H498" t="str">
        <f>"20160403"</f>
        <v>20160403</v>
      </c>
      <c r="I498" s="2">
        <v>400</v>
      </c>
      <c r="J498" t="str">
        <f>"20160403"</f>
        <v>20160403</v>
      </c>
    </row>
    <row r="499" spans="1:10" x14ac:dyDescent="0.3">
      <c r="A499" t="str">
        <f>""</f>
        <v/>
      </c>
      <c r="F499" t="s">
        <v>10</v>
      </c>
      <c r="G499" t="str">
        <f>"201706072842"</f>
        <v>201706072842</v>
      </c>
      <c r="H499" t="str">
        <f>"16-17784"</f>
        <v>16-17784</v>
      </c>
      <c r="I499" s="2">
        <v>100</v>
      </c>
      <c r="J499" t="str">
        <f>"16-17784"</f>
        <v>16-17784</v>
      </c>
    </row>
    <row r="500" spans="1:10" x14ac:dyDescent="0.3">
      <c r="A500" t="str">
        <f>""</f>
        <v/>
      </c>
      <c r="F500" t="s">
        <v>10</v>
      </c>
      <c r="G500" t="str">
        <f>"201706072843"</f>
        <v>201706072843</v>
      </c>
      <c r="H500" t="str">
        <f>"16-17765"</f>
        <v>16-17765</v>
      </c>
      <c r="I500" s="2">
        <v>100</v>
      </c>
      <c r="J500" t="str">
        <f>"16-17765"</f>
        <v>16-17765</v>
      </c>
    </row>
    <row r="501" spans="1:10" x14ac:dyDescent="0.3">
      <c r="A501" t="str">
        <f>""</f>
        <v/>
      </c>
      <c r="F501" t="s">
        <v>10</v>
      </c>
      <c r="G501" t="str">
        <f>"201706072845"</f>
        <v>201706072845</v>
      </c>
      <c r="H501" t="str">
        <f>"16-17591"</f>
        <v>16-17591</v>
      </c>
      <c r="I501" s="2">
        <v>625</v>
      </c>
      <c r="J501" t="str">
        <f>"16-17591"</f>
        <v>16-17591</v>
      </c>
    </row>
    <row r="502" spans="1:10" x14ac:dyDescent="0.3">
      <c r="A502" t="str">
        <f>""</f>
        <v/>
      </c>
      <c r="F502" t="s">
        <v>10</v>
      </c>
      <c r="G502" t="str">
        <f>"201706072847"</f>
        <v>201706072847</v>
      </c>
      <c r="H502" t="str">
        <f>"17-18119"</f>
        <v>17-18119</v>
      </c>
      <c r="I502" s="2">
        <v>100</v>
      </c>
      <c r="J502" t="str">
        <f>"17-18119"</f>
        <v>17-18119</v>
      </c>
    </row>
    <row r="503" spans="1:10" x14ac:dyDescent="0.3">
      <c r="A503" t="str">
        <f>"T9145"</f>
        <v>T9145</v>
      </c>
      <c r="B503" t="s">
        <v>127</v>
      </c>
      <c r="C503">
        <v>71157</v>
      </c>
      <c r="D503" s="2">
        <v>4650</v>
      </c>
      <c r="E503" s="1">
        <v>42912</v>
      </c>
      <c r="F503" t="s">
        <v>10</v>
      </c>
      <c r="G503" t="str">
        <f>"201706143077"</f>
        <v>201706143077</v>
      </c>
      <c r="H503" t="str">
        <f>"C16-0077"</f>
        <v>C16-0077</v>
      </c>
      <c r="I503" s="2">
        <v>250</v>
      </c>
      <c r="J503" t="str">
        <f>"C16-0077"</f>
        <v>C16-0077</v>
      </c>
    </row>
    <row r="504" spans="1:10" x14ac:dyDescent="0.3">
      <c r="A504" t="str">
        <f>""</f>
        <v/>
      </c>
      <c r="F504" t="s">
        <v>10</v>
      </c>
      <c r="G504" t="str">
        <f>"201706143078"</f>
        <v>201706143078</v>
      </c>
      <c r="H504" t="str">
        <f>"55 220"</f>
        <v>55 220</v>
      </c>
      <c r="I504" s="2">
        <v>250</v>
      </c>
      <c r="J504" t="str">
        <f>"55 220"</f>
        <v>55 220</v>
      </c>
    </row>
    <row r="505" spans="1:10" x14ac:dyDescent="0.3">
      <c r="A505" t="str">
        <f>""</f>
        <v/>
      </c>
      <c r="F505" t="s">
        <v>10</v>
      </c>
      <c r="G505" t="str">
        <f>"201706143079"</f>
        <v>201706143079</v>
      </c>
      <c r="H505" t="str">
        <f>"302172017A"</f>
        <v>302172017A</v>
      </c>
      <c r="I505" s="2">
        <v>250</v>
      </c>
      <c r="J505" t="str">
        <f>"302172017A"</f>
        <v>302172017A</v>
      </c>
    </row>
    <row r="506" spans="1:10" x14ac:dyDescent="0.3">
      <c r="A506" t="str">
        <f>""</f>
        <v/>
      </c>
      <c r="F506" t="s">
        <v>10</v>
      </c>
      <c r="G506" t="str">
        <f>"201706143080"</f>
        <v>201706143080</v>
      </c>
      <c r="H506" t="str">
        <f>"CA-2014026"</f>
        <v>CA-2014026</v>
      </c>
      <c r="I506" s="2">
        <v>250</v>
      </c>
      <c r="J506" t="str">
        <f>"CA-2014026"</f>
        <v>CA-2014026</v>
      </c>
    </row>
    <row r="507" spans="1:10" x14ac:dyDescent="0.3">
      <c r="A507" t="str">
        <f>""</f>
        <v/>
      </c>
      <c r="F507" t="s">
        <v>10</v>
      </c>
      <c r="G507" t="str">
        <f>"201706143081"</f>
        <v>201706143081</v>
      </c>
      <c r="H507" t="str">
        <f>"C160039"</f>
        <v>C160039</v>
      </c>
      <c r="I507" s="2">
        <v>250</v>
      </c>
      <c r="J507" t="str">
        <f>"C160039"</f>
        <v>C160039</v>
      </c>
    </row>
    <row r="508" spans="1:10" x14ac:dyDescent="0.3">
      <c r="A508" t="str">
        <f>""</f>
        <v/>
      </c>
      <c r="F508" t="s">
        <v>10</v>
      </c>
      <c r="G508" t="str">
        <f>"201706143082"</f>
        <v>201706143082</v>
      </c>
      <c r="H508" t="str">
        <f>"405274-1M"</f>
        <v>405274-1M</v>
      </c>
      <c r="I508" s="2">
        <v>400</v>
      </c>
      <c r="J508" t="str">
        <f>"405274-1M"</f>
        <v>405274-1M</v>
      </c>
    </row>
    <row r="509" spans="1:10" x14ac:dyDescent="0.3">
      <c r="A509" t="str">
        <f>""</f>
        <v/>
      </c>
      <c r="F509" t="s">
        <v>10</v>
      </c>
      <c r="G509" t="str">
        <f>"201706143083"</f>
        <v>201706143083</v>
      </c>
      <c r="H509" t="str">
        <f>"303142017F"</f>
        <v>303142017F</v>
      </c>
      <c r="I509" s="2">
        <v>150</v>
      </c>
      <c r="J509" t="str">
        <f>"303142017F"</f>
        <v>303142017F</v>
      </c>
    </row>
    <row r="510" spans="1:10" x14ac:dyDescent="0.3">
      <c r="A510" t="str">
        <f>""</f>
        <v/>
      </c>
      <c r="F510" t="s">
        <v>10</v>
      </c>
      <c r="G510" t="str">
        <f>"201706163118"</f>
        <v>201706163118</v>
      </c>
      <c r="H510" t="str">
        <f>"16093"</f>
        <v>16093</v>
      </c>
      <c r="I510" s="2">
        <v>400</v>
      </c>
      <c r="J510" t="str">
        <f>"16093"</f>
        <v>16093</v>
      </c>
    </row>
    <row r="511" spans="1:10" x14ac:dyDescent="0.3">
      <c r="A511" t="str">
        <f>""</f>
        <v/>
      </c>
      <c r="F511" t="s">
        <v>10</v>
      </c>
      <c r="G511" t="str">
        <f>"201706163119"</f>
        <v>201706163119</v>
      </c>
      <c r="H511" t="str">
        <f>"16 247"</f>
        <v>16 247</v>
      </c>
      <c r="I511" s="2">
        <v>400</v>
      </c>
      <c r="J511" t="str">
        <f>"16 247"</f>
        <v>16 247</v>
      </c>
    </row>
    <row r="512" spans="1:10" x14ac:dyDescent="0.3">
      <c r="A512" t="str">
        <f>""</f>
        <v/>
      </c>
      <c r="F512" t="s">
        <v>10</v>
      </c>
      <c r="G512" t="str">
        <f>"201706163120"</f>
        <v>201706163120</v>
      </c>
      <c r="H512" t="str">
        <f>"55 219"</f>
        <v>55 219</v>
      </c>
      <c r="I512" s="2">
        <v>250</v>
      </c>
      <c r="J512" t="str">
        <f>"55 219"</f>
        <v>55 219</v>
      </c>
    </row>
    <row r="513" spans="1:10" x14ac:dyDescent="0.3">
      <c r="A513" t="str">
        <f>""</f>
        <v/>
      </c>
      <c r="F513" t="s">
        <v>10</v>
      </c>
      <c r="G513" t="str">
        <f>"201706213189"</f>
        <v>201706213189</v>
      </c>
      <c r="H513" t="str">
        <f>"1JP5241717/17-18405-17-18423"</f>
        <v>1JP5241717/17-18405-17-18423</v>
      </c>
      <c r="I513" s="2">
        <v>1800</v>
      </c>
      <c r="J513" t="str">
        <f>"1JP5241717/17-18405-17-18423"</f>
        <v>1JP5241717/17-18405-17-18423</v>
      </c>
    </row>
    <row r="514" spans="1:10" x14ac:dyDescent="0.3">
      <c r="A514" t="str">
        <f>"005030"</f>
        <v>005030</v>
      </c>
      <c r="B514" t="s">
        <v>128</v>
      </c>
      <c r="C514">
        <v>70777</v>
      </c>
      <c r="D514" s="2">
        <v>44.58</v>
      </c>
      <c r="E514" s="1">
        <v>42898</v>
      </c>
      <c r="F514" t="s">
        <v>10</v>
      </c>
      <c r="G514" t="str">
        <f>"1003"</f>
        <v>1003</v>
      </c>
      <c r="H514" t="str">
        <f>"OSTER CRYOGEN-X SIZE 50 BLADE"</f>
        <v>OSTER CRYOGEN-X SIZE 50 BLADE</v>
      </c>
      <c r="I514" s="2">
        <v>44.58</v>
      </c>
      <c r="J514" t="str">
        <f>"OSTER CRYOGEN-X SIZE 50 BLADE"</f>
        <v>OSTER CRYOGEN-X SIZE 50 BLADE</v>
      </c>
    </row>
    <row r="515" spans="1:10" x14ac:dyDescent="0.3">
      <c r="A515" t="str">
        <f>"T14263"</f>
        <v>T14263</v>
      </c>
      <c r="B515" t="s">
        <v>129</v>
      </c>
      <c r="C515">
        <v>71158</v>
      </c>
      <c r="D515" s="2">
        <v>750</v>
      </c>
      <c r="E515" s="1">
        <v>42912</v>
      </c>
      <c r="F515" t="s">
        <v>10</v>
      </c>
      <c r="G515" t="str">
        <f>"201706193140"</f>
        <v>201706193140</v>
      </c>
      <c r="H515" t="str">
        <f>"REVIEW SURVEY/TAHITIAN VILLAGE"</f>
        <v>REVIEW SURVEY/TAHITIAN VILLAGE</v>
      </c>
      <c r="I515" s="2">
        <v>300</v>
      </c>
      <c r="J515" t="str">
        <f>"REVIEW SURVEY/TAHITIAN VILLAGE"</f>
        <v>REVIEW SURVEY/TAHITIAN VILLAGE</v>
      </c>
    </row>
    <row r="516" spans="1:10" x14ac:dyDescent="0.3">
      <c r="A516" t="str">
        <f>""</f>
        <v/>
      </c>
      <c r="F516" t="s">
        <v>10</v>
      </c>
      <c r="G516" t="str">
        <f>"201706193141"</f>
        <v>201706193141</v>
      </c>
      <c r="H516" t="str">
        <f>"OFFICE CONSULT/CONTRACT PREP"</f>
        <v>OFFICE CONSULT/CONTRACT PREP</v>
      </c>
      <c r="I516" s="2">
        <v>450</v>
      </c>
      <c r="J516" t="str">
        <f>"OFFICE CONSULT/CONTRACT PREP"</f>
        <v>OFFICE CONSULT/CONTRACT PREP</v>
      </c>
    </row>
    <row r="517" spans="1:10" x14ac:dyDescent="0.3">
      <c r="A517" t="str">
        <f>"000694"</f>
        <v>000694</v>
      </c>
      <c r="B517" t="s">
        <v>130</v>
      </c>
      <c r="C517">
        <v>71159</v>
      </c>
      <c r="D517" s="2">
        <v>1974</v>
      </c>
      <c r="E517" s="1">
        <v>42912</v>
      </c>
      <c r="F517" t="s">
        <v>10</v>
      </c>
      <c r="G517" t="str">
        <f>"3517"</f>
        <v>3517</v>
      </c>
      <c r="H517" t="str">
        <f>"DOCUCLASS/HR"</f>
        <v>DOCUCLASS/HR</v>
      </c>
      <c r="I517" s="2">
        <v>1974</v>
      </c>
      <c r="J517" t="str">
        <f>"DOCUCLASS/HR"</f>
        <v>DOCUCLASS/HR</v>
      </c>
    </row>
    <row r="518" spans="1:10" x14ac:dyDescent="0.3">
      <c r="A518" t="str">
        <f>""</f>
        <v/>
      </c>
      <c r="G518" t="str">
        <f>""</f>
        <v/>
      </c>
      <c r="H518" t="str">
        <f>""</f>
        <v/>
      </c>
      <c r="J518" t="str">
        <f>"DOCUCLASS/HR"</f>
        <v>DOCUCLASS/HR</v>
      </c>
    </row>
    <row r="519" spans="1:10" x14ac:dyDescent="0.3">
      <c r="A519" t="str">
        <f>"004228"</f>
        <v>004228</v>
      </c>
      <c r="B519" t="s">
        <v>131</v>
      </c>
      <c r="C519">
        <v>70778</v>
      </c>
      <c r="D519" s="2">
        <v>63.25</v>
      </c>
      <c r="E519" s="1">
        <v>42898</v>
      </c>
      <c r="F519" t="s">
        <v>10</v>
      </c>
      <c r="G519" t="str">
        <f>"201706022560"</f>
        <v>201706022560</v>
      </c>
      <c r="H519" t="str">
        <f>"VISITOR GUIDE MAILING/TOURISM"</f>
        <v>VISITOR GUIDE MAILING/TOURISM</v>
      </c>
      <c r="I519" s="2">
        <v>63.25</v>
      </c>
      <c r="J519" t="str">
        <f>"VISITOR GUIDE MAILING/TOURISM"</f>
        <v>VISITOR GUIDE MAILING/TOURISM</v>
      </c>
    </row>
    <row r="520" spans="1:10" x14ac:dyDescent="0.3">
      <c r="A520" t="str">
        <f>"004228"</f>
        <v>004228</v>
      </c>
      <c r="B520" t="s">
        <v>131</v>
      </c>
      <c r="C520">
        <v>71160</v>
      </c>
      <c r="D520" s="2">
        <v>470.68</v>
      </c>
      <c r="E520" s="1">
        <v>42912</v>
      </c>
      <c r="F520" t="s">
        <v>10</v>
      </c>
      <c r="G520" t="str">
        <f>"201706163128"</f>
        <v>201706163128</v>
      </c>
      <c r="H520" t="str">
        <f>"REIMBURSEMENT"</f>
        <v>REIMBURSEMENT</v>
      </c>
      <c r="I520" s="2">
        <v>402.2</v>
      </c>
      <c r="J520" t="str">
        <f>"REIMBURSEMENT"</f>
        <v>REIMBURSEMENT</v>
      </c>
    </row>
    <row r="521" spans="1:10" x14ac:dyDescent="0.3">
      <c r="A521" t="str">
        <f>""</f>
        <v/>
      </c>
      <c r="F521" t="s">
        <v>10</v>
      </c>
      <c r="G521" t="str">
        <f>"201706163129"</f>
        <v>201706163129</v>
      </c>
      <c r="H521" t="str">
        <f>"REIMBURSEMENT-MILEAGE"</f>
        <v>REIMBURSEMENT-MILEAGE</v>
      </c>
      <c r="I521" s="2">
        <v>68.48</v>
      </c>
      <c r="J521" t="str">
        <f>"REIMBURSEMENT-MILEAGE"</f>
        <v>REIMBURSEMENT-MILEAGE</v>
      </c>
    </row>
    <row r="522" spans="1:10" x14ac:dyDescent="0.3">
      <c r="A522" t="str">
        <f>"CINTAS"</f>
        <v>CINTAS</v>
      </c>
      <c r="B522" t="s">
        <v>132</v>
      </c>
      <c r="C522">
        <v>70779</v>
      </c>
      <c r="D522" s="2">
        <v>50.36</v>
      </c>
      <c r="E522" s="1">
        <v>42898</v>
      </c>
      <c r="F522" t="s">
        <v>10</v>
      </c>
      <c r="G522" t="str">
        <f>"8403183185"</f>
        <v>8403183185</v>
      </c>
      <c r="H522" t="str">
        <f>"CUST #10342486/PCT #2"</f>
        <v>CUST #10342486/PCT #2</v>
      </c>
      <c r="I522" s="2">
        <v>50.36</v>
      </c>
      <c r="J522" t="str">
        <f>"CUST #10342486/PCT #2"</f>
        <v>CUST #10342486/PCT #2</v>
      </c>
    </row>
    <row r="523" spans="1:10" x14ac:dyDescent="0.3">
      <c r="A523" t="str">
        <f>"005120"</f>
        <v>005120</v>
      </c>
      <c r="B523" t="s">
        <v>132</v>
      </c>
      <c r="C523">
        <v>71161</v>
      </c>
      <c r="D523" s="2">
        <v>291.31</v>
      </c>
      <c r="E523" s="1">
        <v>42912</v>
      </c>
      <c r="F523" t="s">
        <v>10</v>
      </c>
      <c r="G523" t="str">
        <f>"8403189945"</f>
        <v>8403189945</v>
      </c>
      <c r="H523" t="str">
        <f>"CUST#10342487"</f>
        <v>CUST#10342487</v>
      </c>
      <c r="I523" s="2">
        <v>291.31</v>
      </c>
      <c r="J523" t="str">
        <f>"CUST#10342487"</f>
        <v>CUST#10342487</v>
      </c>
    </row>
    <row r="524" spans="1:10" x14ac:dyDescent="0.3">
      <c r="A524" t="str">
        <f>"004728"</f>
        <v>004728</v>
      </c>
      <c r="B524" t="s">
        <v>133</v>
      </c>
      <c r="C524">
        <v>71162</v>
      </c>
      <c r="D524" s="2">
        <v>4263.0600000000004</v>
      </c>
      <c r="E524" s="1">
        <v>42912</v>
      </c>
      <c r="F524" t="s">
        <v>10</v>
      </c>
      <c r="G524" t="str">
        <f>"201706133058"</f>
        <v>201706133058</v>
      </c>
      <c r="H524" t="str">
        <f>"ACCT#086-11458/ANIMAL CONTROL"</f>
        <v>ACCT#086-11458/ANIMAL CONTROL</v>
      </c>
      <c r="I524" s="2">
        <v>324.2</v>
      </c>
      <c r="J524" t="str">
        <f>"ACCT#086-11458/ANIMAL CONTROL"</f>
        <v>ACCT#086-11458/ANIMAL CONTROL</v>
      </c>
    </row>
    <row r="525" spans="1:10" x14ac:dyDescent="0.3">
      <c r="A525" t="str">
        <f>""</f>
        <v/>
      </c>
      <c r="F525" t="s">
        <v>10</v>
      </c>
      <c r="G525" t="str">
        <f>"201706143061"</f>
        <v>201706143061</v>
      </c>
      <c r="H525" t="str">
        <f>"ACCT#086-11451/PCT#1"</f>
        <v>ACCT#086-11451/PCT#1</v>
      </c>
      <c r="I525" s="2">
        <v>815.22</v>
      </c>
      <c r="J525" t="str">
        <f>"ACCT#086-11451/PCT#1"</f>
        <v>ACCT#086-11451/PCT#1</v>
      </c>
    </row>
    <row r="526" spans="1:10" x14ac:dyDescent="0.3">
      <c r="A526" t="str">
        <f>""</f>
        <v/>
      </c>
      <c r="F526" t="s">
        <v>10</v>
      </c>
      <c r="G526" t="str">
        <f>"201706143064"</f>
        <v>201706143064</v>
      </c>
      <c r="H526" t="str">
        <f>"ACCT#086-11386/PCT#4"</f>
        <v>ACCT#086-11386/PCT#4</v>
      </c>
      <c r="I526" s="2">
        <v>812.25</v>
      </c>
      <c r="J526" t="str">
        <f>"ACCT#086-11386/PCT#4"</f>
        <v>ACCT#086-11386/PCT#4</v>
      </c>
    </row>
    <row r="527" spans="1:10" x14ac:dyDescent="0.3">
      <c r="A527" t="str">
        <f>""</f>
        <v/>
      </c>
      <c r="F527" t="s">
        <v>10</v>
      </c>
      <c r="G527" t="str">
        <f>"201706153107"</f>
        <v>201706153107</v>
      </c>
      <c r="H527" t="str">
        <f>"ACCT#086-11381"</f>
        <v>ACCT#086-11381</v>
      </c>
      <c r="I527" s="2">
        <v>1644.47</v>
      </c>
      <c r="J527" t="str">
        <f>"ACCT#086-11381"</f>
        <v>ACCT#086-11381</v>
      </c>
    </row>
    <row r="528" spans="1:10" x14ac:dyDescent="0.3">
      <c r="A528" t="str">
        <f>""</f>
        <v/>
      </c>
      <c r="G528" t="str">
        <f>""</f>
        <v/>
      </c>
      <c r="H528" t="str">
        <f>""</f>
        <v/>
      </c>
      <c r="J528" t="str">
        <f>"ACCT#086-11381"</f>
        <v>ACCT#086-11381</v>
      </c>
    </row>
    <row r="529" spans="1:10" x14ac:dyDescent="0.3">
      <c r="A529" t="str">
        <f>""</f>
        <v/>
      </c>
      <c r="F529" t="s">
        <v>10</v>
      </c>
      <c r="G529" t="str">
        <f>"201706163132"</f>
        <v>201706163132</v>
      </c>
      <c r="H529" t="str">
        <f>"ACCT#086-11375/PCT#2"</f>
        <v>ACCT#086-11375/PCT#2</v>
      </c>
      <c r="I529" s="2">
        <v>629.14</v>
      </c>
      <c r="J529" t="str">
        <f>"ACCT#086-11375/PCT#2"</f>
        <v>ACCT#086-11375/PCT#2</v>
      </c>
    </row>
    <row r="530" spans="1:10" x14ac:dyDescent="0.3">
      <c r="A530" t="str">
        <f>""</f>
        <v/>
      </c>
      <c r="F530" t="s">
        <v>10</v>
      </c>
      <c r="G530" t="str">
        <f>"5007950268"</f>
        <v>5007950268</v>
      </c>
      <c r="H530" t="str">
        <f>"CUST#0011167190/PCT#1"</f>
        <v>CUST#0011167190/PCT#1</v>
      </c>
      <c r="I530" s="2">
        <v>37.78</v>
      </c>
      <c r="J530" t="str">
        <f>"CUST#0011167190/PCT#1"</f>
        <v>CUST#0011167190/PCT#1</v>
      </c>
    </row>
    <row r="531" spans="1:10" x14ac:dyDescent="0.3">
      <c r="A531" t="str">
        <f>"004926"</f>
        <v>004926</v>
      </c>
      <c r="B531" t="s">
        <v>134</v>
      </c>
      <c r="C531">
        <v>70780</v>
      </c>
      <c r="D531" s="2">
        <v>89.77</v>
      </c>
      <c r="E531" s="1">
        <v>42898</v>
      </c>
      <c r="F531" t="s">
        <v>10</v>
      </c>
      <c r="G531" t="str">
        <f>"0215058771"</f>
        <v>0215058771</v>
      </c>
      <c r="H531" t="str">
        <f>"INV 0215058771"</f>
        <v>INV 0215058771</v>
      </c>
      <c r="I531" s="2">
        <v>89.77</v>
      </c>
      <c r="J531" t="str">
        <f>"INV 0215058771"</f>
        <v>INV 0215058771</v>
      </c>
    </row>
    <row r="532" spans="1:10" x14ac:dyDescent="0.3">
      <c r="A532" t="str">
        <f>"BCO"</f>
        <v>BCO</v>
      </c>
      <c r="B532" t="s">
        <v>135</v>
      </c>
      <c r="C532">
        <v>70692</v>
      </c>
      <c r="D532" s="2">
        <v>42307.72</v>
      </c>
      <c r="E532" s="1">
        <v>42893</v>
      </c>
      <c r="F532" t="s">
        <v>10</v>
      </c>
      <c r="G532" t="str">
        <f>"BASTROP CO 052917"</f>
        <v>BASTROP CO 052917</v>
      </c>
      <c r="H532" t="str">
        <f>"COUNTY COURTHOUSE"</f>
        <v>COUNTY COURTHOUSE</v>
      </c>
      <c r="I532" s="2">
        <v>13952.92</v>
      </c>
      <c r="J532" t="str">
        <f>"COUNTY COURTHOUSE"</f>
        <v>COUNTY COURTHOUSE</v>
      </c>
    </row>
    <row r="533" spans="1:10" x14ac:dyDescent="0.3">
      <c r="A533" t="str">
        <f>""</f>
        <v/>
      </c>
      <c r="F533" t="s">
        <v>10</v>
      </c>
      <c r="G533" t="str">
        <f>"COUNTY - 052917"</f>
        <v>COUNTY - 052917</v>
      </c>
      <c r="H533" t="str">
        <f>"LAW ENFORCEMENT CENTER"</f>
        <v>LAW ENFORCEMENT CENTER</v>
      </c>
      <c r="I533" s="2">
        <v>26256.73</v>
      </c>
      <c r="J533" t="str">
        <f>"CITY OF BASTROP"</f>
        <v>CITY OF BASTROP</v>
      </c>
    </row>
    <row r="534" spans="1:10" x14ac:dyDescent="0.3">
      <c r="A534" t="str">
        <f>""</f>
        <v/>
      </c>
      <c r="F534" t="s">
        <v>10</v>
      </c>
      <c r="G534" t="str">
        <f>"CTY DEV CR-052917"</f>
        <v>CTY DEV CR-052917</v>
      </c>
      <c r="H534" t="str">
        <f>"COUNTY DEVELOPMENT CENTER"</f>
        <v>COUNTY DEVELOPMENT CENTER</v>
      </c>
      <c r="I534" s="2">
        <v>2098.0700000000002</v>
      </c>
      <c r="J534" t="str">
        <f>"COUNTY DEVELOPMENT CENTER"</f>
        <v>COUNTY DEVELOPMENT CENTER</v>
      </c>
    </row>
    <row r="535" spans="1:10" x14ac:dyDescent="0.3">
      <c r="A535" t="str">
        <f>"COB"</f>
        <v>COB</v>
      </c>
      <c r="B535" t="s">
        <v>135</v>
      </c>
      <c r="C535">
        <v>71163</v>
      </c>
      <c r="D535" s="2">
        <v>500</v>
      </c>
      <c r="E535" s="1">
        <v>42912</v>
      </c>
      <c r="F535" t="s">
        <v>10</v>
      </c>
      <c r="G535" t="str">
        <f>"201706133051"</f>
        <v>201706133051</v>
      </c>
      <c r="H535" t="str">
        <f>"RENTAL-PARKING LOT"</f>
        <v>RENTAL-PARKING LOT</v>
      </c>
      <c r="I535" s="2">
        <v>500</v>
      </c>
      <c r="J535" t="str">
        <f>"RENTAL-PARKING LOT"</f>
        <v>RENTAL-PARKING LOT</v>
      </c>
    </row>
    <row r="536" spans="1:10" x14ac:dyDescent="0.3">
      <c r="A536" t="str">
        <f>"ECO"</f>
        <v>ECO</v>
      </c>
      <c r="B536" t="s">
        <v>136</v>
      </c>
      <c r="C536">
        <v>70694</v>
      </c>
      <c r="D536" s="2">
        <v>807.69</v>
      </c>
      <c r="E536" s="1">
        <v>42893</v>
      </c>
      <c r="F536" t="s">
        <v>10</v>
      </c>
      <c r="G536" t="str">
        <f>"201706072929"</f>
        <v>201706072929</v>
      </c>
      <c r="H536" t="str">
        <f>"ACCT # 007-0008410-002"</f>
        <v>ACCT # 007-0008410-002</v>
      </c>
      <c r="I536" s="2">
        <v>89.34</v>
      </c>
      <c r="J536" t="str">
        <f>"ACCT # 007-0008410-002"</f>
        <v>ACCT # 007-0008410-002</v>
      </c>
    </row>
    <row r="537" spans="1:10" x14ac:dyDescent="0.3">
      <c r="A537" t="str">
        <f>""</f>
        <v/>
      </c>
      <c r="F537" t="s">
        <v>10</v>
      </c>
      <c r="G537" t="str">
        <f>"201706072930"</f>
        <v>201706072930</v>
      </c>
      <c r="H537" t="str">
        <f>"ACCT #007-0011501-000"</f>
        <v>ACCT #007-0011501-000</v>
      </c>
      <c r="I537" s="2">
        <v>126.22</v>
      </c>
      <c r="J537" t="str">
        <f>"ACCT #007-0011501-000"</f>
        <v>ACCT #007-0011501-000</v>
      </c>
    </row>
    <row r="538" spans="1:10" x14ac:dyDescent="0.3">
      <c r="A538" t="str">
        <f>""</f>
        <v/>
      </c>
      <c r="F538" t="s">
        <v>10</v>
      </c>
      <c r="G538" t="str">
        <f>"201706072931"</f>
        <v>201706072931</v>
      </c>
      <c r="H538" t="str">
        <f>"ACCT # 007-0011510-000"</f>
        <v>ACCT # 007-0011510-000</v>
      </c>
      <c r="I538" s="2">
        <v>204.21</v>
      </c>
      <c r="J538" t="str">
        <f>"ACCT # 007-0011510-000"</f>
        <v>ACCT # 007-0011510-000</v>
      </c>
    </row>
    <row r="539" spans="1:10" x14ac:dyDescent="0.3">
      <c r="A539" t="str">
        <f>""</f>
        <v/>
      </c>
      <c r="F539" t="s">
        <v>10</v>
      </c>
      <c r="G539" t="str">
        <f>"201706072932"</f>
        <v>201706072932</v>
      </c>
      <c r="H539" t="str">
        <f>"ACCT # 007-0011530-000"</f>
        <v>ACCT # 007-0011530-000</v>
      </c>
      <c r="I539" s="2">
        <v>77.09</v>
      </c>
      <c r="J539" t="str">
        <f>"ACCT # 007-0011530-000"</f>
        <v>ACCT # 007-0011530-000</v>
      </c>
    </row>
    <row r="540" spans="1:10" x14ac:dyDescent="0.3">
      <c r="A540" t="str">
        <f>""</f>
        <v/>
      </c>
      <c r="F540" t="s">
        <v>10</v>
      </c>
      <c r="G540" t="str">
        <f>"201706072933"</f>
        <v>201706072933</v>
      </c>
      <c r="H540" t="str">
        <f>"ACCT #007-0011534-001"</f>
        <v>ACCT #007-0011534-001</v>
      </c>
      <c r="I540" s="2">
        <v>128.81</v>
      </c>
      <c r="J540" t="str">
        <f>"ACCT #007-0011534-001"</f>
        <v>ACCT #007-0011534-001</v>
      </c>
    </row>
    <row r="541" spans="1:10" x14ac:dyDescent="0.3">
      <c r="A541" t="str">
        <f>""</f>
        <v/>
      </c>
      <c r="F541" t="s">
        <v>10</v>
      </c>
      <c r="G541" t="str">
        <f>"201706072934"</f>
        <v>201706072934</v>
      </c>
      <c r="H541" t="str">
        <f>"ACCT # 007-0011535-000"</f>
        <v>ACCT # 007-0011535-000</v>
      </c>
      <c r="I541" s="2">
        <v>89.34</v>
      </c>
      <c r="J541" t="str">
        <f>"ACCT # 007-0011535-000"</f>
        <v>ACCT # 007-0011535-000</v>
      </c>
    </row>
    <row r="542" spans="1:10" x14ac:dyDescent="0.3">
      <c r="A542" t="str">
        <f>""</f>
        <v/>
      </c>
      <c r="F542" t="s">
        <v>10</v>
      </c>
      <c r="G542" t="str">
        <f>"201706072935"</f>
        <v>201706072935</v>
      </c>
      <c r="H542" t="str">
        <f>"ACCT #007-0011544-001"</f>
        <v>ACCT #007-0011544-001</v>
      </c>
      <c r="I542" s="2">
        <v>89.34</v>
      </c>
      <c r="J542" t="str">
        <f>"ACCT #007-0011544-001"</f>
        <v>ACCT #007-0011544-001</v>
      </c>
    </row>
    <row r="543" spans="1:10" x14ac:dyDescent="0.3">
      <c r="A543" t="str">
        <f>""</f>
        <v/>
      </c>
      <c r="F543" t="s">
        <v>10</v>
      </c>
      <c r="G543" t="str">
        <f>"201706072936"</f>
        <v>201706072936</v>
      </c>
      <c r="H543" t="str">
        <f>"ACCT # 007-0071128-001"</f>
        <v>ACCT # 007-0071128-001</v>
      </c>
      <c r="I543" s="2">
        <v>3.34</v>
      </c>
      <c r="J543" t="str">
        <f>"ACCT # 007-0071128-001"</f>
        <v>ACCT # 007-0071128-001</v>
      </c>
    </row>
    <row r="544" spans="1:10" x14ac:dyDescent="0.3">
      <c r="A544" t="str">
        <f>"SCO"</f>
        <v>SCO</v>
      </c>
      <c r="B544" t="s">
        <v>137</v>
      </c>
      <c r="C544">
        <v>70695</v>
      </c>
      <c r="D544" s="2">
        <v>1831.36</v>
      </c>
      <c r="E544" s="1">
        <v>42893</v>
      </c>
      <c r="F544" t="s">
        <v>10</v>
      </c>
      <c r="G544" t="str">
        <f>"201706072937"</f>
        <v>201706072937</v>
      </c>
      <c r="H544" t="str">
        <f>"ACCT # 001-0000183-000"</f>
        <v>ACCT # 001-0000183-000</v>
      </c>
      <c r="I544" s="2">
        <v>119.76</v>
      </c>
      <c r="J544" t="str">
        <f>"ACCT # 001-0000183-000"</f>
        <v>ACCT # 001-0000183-000</v>
      </c>
    </row>
    <row r="545" spans="1:10" x14ac:dyDescent="0.3">
      <c r="A545" t="str">
        <f>""</f>
        <v/>
      </c>
      <c r="F545" t="s">
        <v>10</v>
      </c>
      <c r="G545" t="str">
        <f>"201706072938"</f>
        <v>201706072938</v>
      </c>
      <c r="H545" t="str">
        <f>"ACCT #007-0000388-000"</f>
        <v>ACCT #007-0000388-000</v>
      </c>
      <c r="I545" s="2">
        <v>496.15</v>
      </c>
      <c r="J545" t="str">
        <f>"ACCT #007-0000388-000"</f>
        <v>ACCT #007-0000388-000</v>
      </c>
    </row>
    <row r="546" spans="1:10" x14ac:dyDescent="0.3">
      <c r="A546" t="str">
        <f>""</f>
        <v/>
      </c>
      <c r="F546" t="s">
        <v>10</v>
      </c>
      <c r="G546" t="str">
        <f>"201706072939"</f>
        <v>201706072939</v>
      </c>
      <c r="H546" t="str">
        <f>"ACCT #007-0000389-000"</f>
        <v>ACCT #007-0000389-000</v>
      </c>
      <c r="I546" s="2">
        <v>43.97</v>
      </c>
      <c r="J546" t="str">
        <f>"ACCT #007-0000389-000"</f>
        <v>ACCT #007-0000389-000</v>
      </c>
    </row>
    <row r="547" spans="1:10" x14ac:dyDescent="0.3">
      <c r="A547" t="str">
        <f>""</f>
        <v/>
      </c>
      <c r="F547" t="s">
        <v>10</v>
      </c>
      <c r="G547" t="str">
        <f>"201706072940"</f>
        <v>201706072940</v>
      </c>
      <c r="H547" t="str">
        <f>"ACCT # 044-0001240-000"</f>
        <v>ACCT # 044-0001240-000</v>
      </c>
      <c r="I547" s="2">
        <v>292.2</v>
      </c>
      <c r="J547" t="str">
        <f>"ACCT # 044-0001240-000"</f>
        <v>ACCT # 044-0001240-000</v>
      </c>
    </row>
    <row r="548" spans="1:10" x14ac:dyDescent="0.3">
      <c r="A548" t="str">
        <f>""</f>
        <v/>
      </c>
      <c r="F548" t="s">
        <v>10</v>
      </c>
      <c r="G548" t="str">
        <f>"201706072941"</f>
        <v>201706072941</v>
      </c>
      <c r="H548" t="str">
        <f>"ACCT #044-0001250-000"</f>
        <v>ACCT #044-0001250-000</v>
      </c>
      <c r="I548" s="2">
        <v>110.4</v>
      </c>
      <c r="J548" t="str">
        <f>"ACCT #044-0001250-000"</f>
        <v>ACCT #044-0001250-000</v>
      </c>
    </row>
    <row r="549" spans="1:10" x14ac:dyDescent="0.3">
      <c r="A549" t="str">
        <f>""</f>
        <v/>
      </c>
      <c r="F549" t="s">
        <v>10</v>
      </c>
      <c r="G549" t="str">
        <f>"201706072942"</f>
        <v>201706072942</v>
      </c>
      <c r="H549" t="str">
        <f>"ACCT #0440001252-000"</f>
        <v>ACCT #0440001252-000</v>
      </c>
      <c r="I549" s="2">
        <v>409.27</v>
      </c>
      <c r="J549" t="str">
        <f>"ACCT #0440001252-000"</f>
        <v>ACCT #0440001252-000</v>
      </c>
    </row>
    <row r="550" spans="1:10" x14ac:dyDescent="0.3">
      <c r="A550" t="str">
        <f>""</f>
        <v/>
      </c>
      <c r="F550" t="s">
        <v>10</v>
      </c>
      <c r="G550" t="str">
        <f>"201706072943"</f>
        <v>201706072943</v>
      </c>
      <c r="H550" t="str">
        <f>"ACCT #044-0001253-000"</f>
        <v>ACCT #044-0001253-000</v>
      </c>
      <c r="I550" s="2">
        <v>359.61</v>
      </c>
      <c r="J550" t="str">
        <f>"ACCT #044-0001253-000"</f>
        <v>ACCT #044-0001253-000</v>
      </c>
    </row>
    <row r="551" spans="1:10" x14ac:dyDescent="0.3">
      <c r="A551" t="str">
        <f>"003318"</f>
        <v>003318</v>
      </c>
      <c r="B551" t="s">
        <v>138</v>
      </c>
      <c r="C551">
        <v>70781</v>
      </c>
      <c r="D551" s="2">
        <v>200</v>
      </c>
      <c r="E551" s="1">
        <v>42898</v>
      </c>
      <c r="F551" t="s">
        <v>10</v>
      </c>
      <c r="G551" t="str">
        <f>"201706072972"</f>
        <v>201706072972</v>
      </c>
      <c r="H551" t="str">
        <f>"FERAL HOGS"</f>
        <v>FERAL HOGS</v>
      </c>
      <c r="I551" s="2">
        <v>130</v>
      </c>
      <c r="J551" t="str">
        <f>"FERAL HOGS"</f>
        <v>FERAL HOGS</v>
      </c>
    </row>
    <row r="552" spans="1:10" x14ac:dyDescent="0.3">
      <c r="A552" t="str">
        <f>""</f>
        <v/>
      </c>
      <c r="F552" t="s">
        <v>10</v>
      </c>
      <c r="G552" t="str">
        <f>"201706072973"</f>
        <v>201706072973</v>
      </c>
      <c r="H552" t="str">
        <f>"FERAL HOGS"</f>
        <v>FERAL HOGS</v>
      </c>
      <c r="I552" s="2">
        <v>70</v>
      </c>
      <c r="J552" t="str">
        <f>"FERAL HOGS"</f>
        <v>FERAL HOGS</v>
      </c>
    </row>
    <row r="553" spans="1:10" x14ac:dyDescent="0.3">
      <c r="A553" t="str">
        <f>"005061"</f>
        <v>005061</v>
      </c>
      <c r="B553" t="s">
        <v>139</v>
      </c>
      <c r="C553">
        <v>71164</v>
      </c>
      <c r="D553" s="2">
        <v>37000</v>
      </c>
      <c r="E553" s="1">
        <v>42912</v>
      </c>
      <c r="F553" t="s">
        <v>10</v>
      </c>
      <c r="G553" t="str">
        <f>"3457"</f>
        <v>3457</v>
      </c>
      <c r="H553" t="str">
        <f>"Quote# CL 17-025b/B"</f>
        <v>Quote# CL 17-025b/B</v>
      </c>
      <c r="I553" s="2">
        <v>37000</v>
      </c>
      <c r="J553" t="str">
        <f>"Quote# CL 17-025b/B"</f>
        <v>Quote# CL 17-025b/B</v>
      </c>
    </row>
    <row r="554" spans="1:10" x14ac:dyDescent="0.3">
      <c r="A554" t="str">
        <f>"002198"</f>
        <v>002198</v>
      </c>
      <c r="B554" t="s">
        <v>140</v>
      </c>
      <c r="C554">
        <v>70782</v>
      </c>
      <c r="D554" s="2">
        <v>898.13</v>
      </c>
      <c r="E554" s="1">
        <v>42898</v>
      </c>
      <c r="F554" t="s">
        <v>10</v>
      </c>
      <c r="G554" t="str">
        <f>"SVC-0054959"</f>
        <v>SVC-0054959</v>
      </c>
      <c r="H554" t="str">
        <f>"GENERATOR MAINTSVC0054959"</f>
        <v>GENERATOR MAINTSVC0054959</v>
      </c>
      <c r="I554" s="2">
        <v>898.13</v>
      </c>
      <c r="J554" t="str">
        <f>"GENERATOR MAINTSVC0054959"</f>
        <v>GENERATOR MAINTSVC0054959</v>
      </c>
    </row>
    <row r="555" spans="1:10" x14ac:dyDescent="0.3">
      <c r="A555" t="str">
        <f>"CLINIC"</f>
        <v>CLINIC</v>
      </c>
      <c r="B555" t="s">
        <v>141</v>
      </c>
      <c r="C555">
        <v>70783</v>
      </c>
      <c r="D555" s="2">
        <v>190.61</v>
      </c>
      <c r="E555" s="1">
        <v>42898</v>
      </c>
      <c r="F555" t="s">
        <v>10</v>
      </c>
      <c r="G555" t="str">
        <f>"201706072833"</f>
        <v>201706072833</v>
      </c>
      <c r="H555" t="str">
        <f>"INDIGENT HEALTH"</f>
        <v>INDIGENT HEALTH</v>
      </c>
      <c r="I555" s="2">
        <v>190.61</v>
      </c>
      <c r="J555" t="str">
        <f>"1"</f>
        <v>1</v>
      </c>
    </row>
    <row r="556" spans="1:10" x14ac:dyDescent="0.3">
      <c r="A556" t="str">
        <f>"CLINIC"</f>
        <v>CLINIC</v>
      </c>
      <c r="B556" t="s">
        <v>141</v>
      </c>
      <c r="C556">
        <v>71165</v>
      </c>
      <c r="D556" s="2">
        <v>313.26</v>
      </c>
      <c r="E556" s="1">
        <v>42912</v>
      </c>
      <c r="F556" t="s">
        <v>10</v>
      </c>
      <c r="G556" t="str">
        <f>"201705-0"</f>
        <v>201705-0</v>
      </c>
      <c r="H556" t="str">
        <f>"ACCOUNT 1278"</f>
        <v>ACCOUNT 1278</v>
      </c>
      <c r="I556" s="2">
        <v>195.28</v>
      </c>
      <c r="J556" t="str">
        <f>"ACCOUNT 1278"</f>
        <v>ACCOUNT 1278</v>
      </c>
    </row>
    <row r="557" spans="1:10" x14ac:dyDescent="0.3">
      <c r="A557" t="str">
        <f>""</f>
        <v/>
      </c>
      <c r="F557" t="s">
        <v>10</v>
      </c>
      <c r="G557" t="str">
        <f>"201706213225"</f>
        <v>201706213225</v>
      </c>
      <c r="H557" t="str">
        <f>"INDIGENT HEALTH"</f>
        <v>INDIGENT HEALTH</v>
      </c>
      <c r="I557" s="2">
        <v>117.98</v>
      </c>
      <c r="J557" t="str">
        <f>"INDIGENT HEALTH"</f>
        <v>INDIGENT HEALTH</v>
      </c>
    </row>
    <row r="558" spans="1:10" x14ac:dyDescent="0.3">
      <c r="A558" t="str">
        <f>"005124"</f>
        <v>005124</v>
      </c>
      <c r="B558" t="s">
        <v>142</v>
      </c>
      <c r="C558">
        <v>71166</v>
      </c>
      <c r="D558" s="2">
        <v>1300</v>
      </c>
      <c r="E558" s="1">
        <v>42912</v>
      </c>
      <c r="F558" t="s">
        <v>10</v>
      </c>
      <c r="G558" t="str">
        <f>"139271"</f>
        <v>139271</v>
      </c>
      <c r="H558" t="str">
        <f>"MCDONALD LANE / P3"</f>
        <v>MCDONALD LANE / P3</v>
      </c>
      <c r="I558" s="2">
        <v>1300</v>
      </c>
      <c r="J558" t="str">
        <f>"MCDONALD LANE / P3"</f>
        <v>MCDONALD LANE / P3</v>
      </c>
    </row>
    <row r="559" spans="1:10" x14ac:dyDescent="0.3">
      <c r="A559" t="str">
        <f>"T8825"</f>
        <v>T8825</v>
      </c>
      <c r="B559" t="s">
        <v>143</v>
      </c>
      <c r="C559">
        <v>71167</v>
      </c>
      <c r="D559" s="2">
        <v>100</v>
      </c>
      <c r="E559" s="1">
        <v>42912</v>
      </c>
      <c r="F559" t="s">
        <v>10</v>
      </c>
      <c r="G559" t="str">
        <f>"201706133046"</f>
        <v>201706133046</v>
      </c>
      <c r="H559" t="str">
        <f>"BOND# 61117614-M.L. HARMON"</f>
        <v>BOND# 61117614-M.L. HARMON</v>
      </c>
      <c r="I559" s="2">
        <v>50</v>
      </c>
      <c r="J559" t="str">
        <f>"BOND#61117614-M.L. HARMON"</f>
        <v>BOND#61117614-M.L. HARMON</v>
      </c>
    </row>
    <row r="560" spans="1:10" x14ac:dyDescent="0.3">
      <c r="A560" t="str">
        <f>""</f>
        <v/>
      </c>
      <c r="F560" t="s">
        <v>10</v>
      </c>
      <c r="G560" t="str">
        <f>"201706143060"</f>
        <v>201706143060</v>
      </c>
      <c r="H560" t="str">
        <f>"BOND#13748237/B. ESKEW"</f>
        <v>BOND#13748237/B. ESKEW</v>
      </c>
      <c r="I560" s="2">
        <v>50</v>
      </c>
      <c r="J560" t="str">
        <f>"BOND#13748237/B. ESKEW"</f>
        <v>BOND#13748237/B. ESKEW</v>
      </c>
    </row>
    <row r="561" spans="1:10" x14ac:dyDescent="0.3">
      <c r="A561" t="str">
        <f>"004917"</f>
        <v>004917</v>
      </c>
      <c r="B561" t="s">
        <v>144</v>
      </c>
      <c r="C561">
        <v>70784</v>
      </c>
      <c r="D561" s="2">
        <v>125</v>
      </c>
      <c r="E561" s="1">
        <v>42898</v>
      </c>
      <c r="F561" t="s">
        <v>10</v>
      </c>
      <c r="G561" t="str">
        <f>"201706072974"</f>
        <v>201706072974</v>
      </c>
      <c r="H561" t="str">
        <f>"FERAL HOGS"</f>
        <v>FERAL HOGS</v>
      </c>
      <c r="I561" s="2">
        <v>80</v>
      </c>
      <c r="J561" t="str">
        <f>"FERAL HOGS"</f>
        <v>FERAL HOGS</v>
      </c>
    </row>
    <row r="562" spans="1:10" x14ac:dyDescent="0.3">
      <c r="A562" t="str">
        <f>""</f>
        <v/>
      </c>
      <c r="F562" t="s">
        <v>10</v>
      </c>
      <c r="G562" t="str">
        <f>"201706072975"</f>
        <v>201706072975</v>
      </c>
      <c r="H562" t="str">
        <f>"FERAL HOGS"</f>
        <v>FERAL HOGS</v>
      </c>
      <c r="I562" s="2">
        <v>45</v>
      </c>
      <c r="J562" t="str">
        <f>"FERAL HOGS"</f>
        <v>FERAL HOGS</v>
      </c>
    </row>
    <row r="563" spans="1:10" x14ac:dyDescent="0.3">
      <c r="A563" t="str">
        <f>"003361"</f>
        <v>003361</v>
      </c>
      <c r="B563" t="s">
        <v>145</v>
      </c>
      <c r="C563">
        <v>71168</v>
      </c>
      <c r="D563" s="2">
        <v>845</v>
      </c>
      <c r="E563" s="1">
        <v>42912</v>
      </c>
      <c r="F563" t="s">
        <v>10</v>
      </c>
      <c r="G563" t="str">
        <f>"26430"</f>
        <v>26430</v>
      </c>
      <c r="H563" t="str">
        <f>"INTERPRETER/CART/5/1/2017"</f>
        <v>INTERPRETER/CART/5/1/2017</v>
      </c>
      <c r="I563" s="2">
        <v>845</v>
      </c>
      <c r="J563" t="str">
        <f>"INTERPRETER/CART/5/1/2017"</f>
        <v>INTERPRETER/CART/5/1/2017</v>
      </c>
    </row>
    <row r="564" spans="1:10" x14ac:dyDescent="0.3">
      <c r="A564" t="str">
        <f>"003768"</f>
        <v>003768</v>
      </c>
      <c r="B564" t="s">
        <v>146</v>
      </c>
      <c r="C564">
        <v>71169</v>
      </c>
      <c r="D564" s="2">
        <v>250</v>
      </c>
      <c r="E564" s="1">
        <v>42912</v>
      </c>
      <c r="F564" t="s">
        <v>10</v>
      </c>
      <c r="G564" t="str">
        <f>"170615BCJ"</f>
        <v>170615BCJ</v>
      </c>
      <c r="H564" t="str">
        <f>"INTERPRETER SERVICE/PCT#4"</f>
        <v>INTERPRETER SERVICE/PCT#4</v>
      </c>
      <c r="I564" s="2">
        <v>250</v>
      </c>
      <c r="J564" t="str">
        <f>"INTERPRETER SERVICE/PCT#4"</f>
        <v>INTERPRETER SERVICE/PCT#4</v>
      </c>
    </row>
    <row r="565" spans="1:10" x14ac:dyDescent="0.3">
      <c r="A565" t="str">
        <f>"002809"</f>
        <v>002809</v>
      </c>
      <c r="B565" t="s">
        <v>147</v>
      </c>
      <c r="C565">
        <v>70785</v>
      </c>
      <c r="D565" s="2">
        <v>231</v>
      </c>
      <c r="E565" s="1">
        <v>42898</v>
      </c>
      <c r="F565" t="s">
        <v>10</v>
      </c>
      <c r="G565" t="str">
        <f>"INV12463713898"</f>
        <v>INV12463713898</v>
      </c>
      <c r="H565" t="str">
        <f>"INV12463713898 COFFEE"</f>
        <v>INV12463713898 COFFEE</v>
      </c>
      <c r="I565" s="2">
        <v>231</v>
      </c>
      <c r="J565" t="str">
        <f>"INV12463713898 COFFEE"</f>
        <v>INV12463713898 COFFEE</v>
      </c>
    </row>
    <row r="566" spans="1:10" x14ac:dyDescent="0.3">
      <c r="A566" t="str">
        <f>"002809"</f>
        <v>002809</v>
      </c>
      <c r="B566" t="s">
        <v>147</v>
      </c>
      <c r="C566">
        <v>71170</v>
      </c>
      <c r="D566" s="2">
        <v>257</v>
      </c>
      <c r="E566" s="1">
        <v>42912</v>
      </c>
      <c r="F566" t="s">
        <v>10</v>
      </c>
      <c r="G566" t="str">
        <f>"12463716741"</f>
        <v>12463716741</v>
      </c>
      <c r="H566" t="str">
        <f>"COFFEE INV12463716741"</f>
        <v>COFFEE INV12463716741</v>
      </c>
      <c r="I566" s="2">
        <v>257</v>
      </c>
      <c r="J566" t="str">
        <f>"COFFEE INV12463716741"</f>
        <v>COFFEE INV12463716741</v>
      </c>
    </row>
    <row r="567" spans="1:10" x14ac:dyDescent="0.3">
      <c r="A567" t="str">
        <f>"003939"</f>
        <v>003939</v>
      </c>
      <c r="B567" t="s">
        <v>148</v>
      </c>
      <c r="C567">
        <v>70786</v>
      </c>
      <c r="D567" s="2">
        <v>397.58</v>
      </c>
      <c r="E567" s="1">
        <v>42898</v>
      </c>
      <c r="F567" t="s">
        <v>10</v>
      </c>
      <c r="G567" t="str">
        <f>"201706072835"</f>
        <v>201706072835</v>
      </c>
      <c r="H567" t="str">
        <f>"INDIGENT HEALTH"</f>
        <v>INDIGENT HEALTH</v>
      </c>
      <c r="I567" s="2">
        <v>397.58</v>
      </c>
      <c r="J567" t="str">
        <f>"INDIGENT HEALTH"</f>
        <v>INDIGENT HEALTH</v>
      </c>
    </row>
    <row r="568" spans="1:10" x14ac:dyDescent="0.3">
      <c r="A568" t="str">
        <f>""</f>
        <v/>
      </c>
      <c r="G568" t="str">
        <f>""</f>
        <v/>
      </c>
      <c r="H568" t="str">
        <f>""</f>
        <v/>
      </c>
      <c r="J568" t="str">
        <f>"INDIGENT HEALTH"</f>
        <v>INDIGENT HEALTH</v>
      </c>
    </row>
    <row r="569" spans="1:10" x14ac:dyDescent="0.3">
      <c r="A569" t="str">
        <f>"005048"</f>
        <v>005048</v>
      </c>
      <c r="B569" t="s">
        <v>149</v>
      </c>
      <c r="C569">
        <v>70787</v>
      </c>
      <c r="D569" s="2">
        <v>562.5</v>
      </c>
      <c r="E569" s="1">
        <v>42898</v>
      </c>
      <c r="F569" t="s">
        <v>10</v>
      </c>
      <c r="G569" t="str">
        <f>"131349"</f>
        <v>131349</v>
      </c>
      <c r="H569" t="str">
        <f>"Inv# 131349"</f>
        <v>Inv# 131349</v>
      </c>
      <c r="I569" s="2">
        <v>562.5</v>
      </c>
      <c r="J569" t="str">
        <f>"Inv# 131349"</f>
        <v>Inv# 131349</v>
      </c>
    </row>
    <row r="570" spans="1:10" x14ac:dyDescent="0.3">
      <c r="A570" t="str">
        <f>"T14437"</f>
        <v>T14437</v>
      </c>
      <c r="B570" t="s">
        <v>150</v>
      </c>
      <c r="C570">
        <v>70788</v>
      </c>
      <c r="D570" s="2">
        <v>149.12</v>
      </c>
      <c r="E570" s="1">
        <v>42898</v>
      </c>
      <c r="F570" t="s">
        <v>10</v>
      </c>
      <c r="G570" t="str">
        <f>"201706022558"</f>
        <v>201706022558</v>
      </c>
      <c r="H570" t="str">
        <f>"MILEAGE REIMBURSEMENT/DA"</f>
        <v>MILEAGE REIMBURSEMENT/DA</v>
      </c>
      <c r="I570" s="2">
        <v>124.12</v>
      </c>
      <c r="J570" t="str">
        <f>"MILEAGE REIMBURSEMENT/DA"</f>
        <v>MILEAGE REIMBURSEMENT/DA</v>
      </c>
    </row>
    <row r="571" spans="1:10" x14ac:dyDescent="0.3">
      <c r="A571" t="str">
        <f>""</f>
        <v/>
      </c>
      <c r="F571" t="s">
        <v>10</v>
      </c>
      <c r="G571" t="str">
        <f>"2017517-19038-KEVJ"</f>
        <v>2017517-19038-KEVJ</v>
      </c>
      <c r="H571" t="str">
        <f>"CONFERENCE/DA"</f>
        <v>CONFERENCE/DA</v>
      </c>
      <c r="I571" s="2">
        <v>25</v>
      </c>
      <c r="J571" t="str">
        <f>"TRAINING/DA"</f>
        <v>TRAINING/DA</v>
      </c>
    </row>
    <row r="572" spans="1:10" x14ac:dyDescent="0.3">
      <c r="A572" t="str">
        <f>"T14437"</f>
        <v>T14437</v>
      </c>
      <c r="B572" t="s">
        <v>150</v>
      </c>
      <c r="C572">
        <v>71171</v>
      </c>
      <c r="D572" s="2">
        <v>106.78</v>
      </c>
      <c r="E572" s="1">
        <v>42912</v>
      </c>
      <c r="F572" t="s">
        <v>10</v>
      </c>
      <c r="G572" t="str">
        <f>"201706193144"</f>
        <v>201706193144</v>
      </c>
      <c r="H572" t="str">
        <f>"MILEAGE REIMB/MED EXAM. VISIT"</f>
        <v>MILEAGE REIMB/MED EXAM. VISIT</v>
      </c>
      <c r="I572" s="2">
        <v>31.78</v>
      </c>
      <c r="J572" t="str">
        <f>"MILEAGE REIMB/MED EXAM. VISIT"</f>
        <v>MILEAGE REIMB/MED EXAM. VISIT</v>
      </c>
    </row>
    <row r="573" spans="1:10" x14ac:dyDescent="0.3">
      <c r="A573" t="str">
        <f>""</f>
        <v/>
      </c>
      <c r="F573" t="s">
        <v>10</v>
      </c>
      <c r="G573" t="str">
        <f>"201706193149"</f>
        <v>201706193149</v>
      </c>
      <c r="H573" t="str">
        <f>"REIMB-TRAINING"</f>
        <v>REIMB-TRAINING</v>
      </c>
      <c r="I573" s="2">
        <v>75</v>
      </c>
      <c r="J573" t="str">
        <f>"REIMB-TRAINING"</f>
        <v>REIMB-TRAINING</v>
      </c>
    </row>
    <row r="574" spans="1:10" x14ac:dyDescent="0.3">
      <c r="A574" t="str">
        <f>"T8530"</f>
        <v>T8530</v>
      </c>
      <c r="B574" t="s">
        <v>151</v>
      </c>
      <c r="C574">
        <v>71172</v>
      </c>
      <c r="D574" s="2">
        <v>520</v>
      </c>
      <c r="E574" s="1">
        <v>42912</v>
      </c>
      <c r="F574" t="s">
        <v>10</v>
      </c>
      <c r="G574" t="str">
        <f>"0236-433478"</f>
        <v>0236-433478</v>
      </c>
      <c r="H574" t="str">
        <f>"INV0236-4334378 LIGHTS"</f>
        <v>INV0236-4334378 LIGHTS</v>
      </c>
      <c r="I574" s="2">
        <v>520</v>
      </c>
      <c r="J574" t="str">
        <f>"INV0236-4334378 LIGHTS"</f>
        <v>INV0236-4334378 LIGHTS</v>
      </c>
    </row>
    <row r="575" spans="1:10" x14ac:dyDescent="0.3">
      <c r="A575" t="str">
        <f>"CONTEC"</f>
        <v>CONTEC</v>
      </c>
      <c r="B575" t="s">
        <v>152</v>
      </c>
      <c r="C575">
        <v>71173</v>
      </c>
      <c r="D575" s="2">
        <v>5097.6000000000004</v>
      </c>
      <c r="E575" s="1">
        <v>42912</v>
      </c>
      <c r="F575" t="s">
        <v>10</v>
      </c>
      <c r="G575" t="str">
        <f>"15152631"</f>
        <v>15152631</v>
      </c>
      <c r="H575" t="str">
        <f>"REF #12109471 SO / P3"</f>
        <v>REF #12109471 SO / P3</v>
      </c>
      <c r="I575" s="2">
        <v>5097.6000000000004</v>
      </c>
      <c r="J575" t="str">
        <f>"REF #12109471 SO / P3"</f>
        <v>REF #12109471 SO / P3</v>
      </c>
    </row>
    <row r="576" spans="1:10" x14ac:dyDescent="0.3">
      <c r="A576" t="str">
        <f>"003723"</f>
        <v>003723</v>
      </c>
      <c r="B576" t="s">
        <v>153</v>
      </c>
      <c r="C576">
        <v>70789</v>
      </c>
      <c r="D576" s="2">
        <v>3610</v>
      </c>
      <c r="E576" s="1">
        <v>42898</v>
      </c>
      <c r="F576" t="s">
        <v>10</v>
      </c>
      <c r="G576" t="str">
        <f>"19126"</f>
        <v>19126</v>
      </c>
      <c r="H576" t="str">
        <f>"CABLE INSTALLATION"</f>
        <v>CABLE INSTALLATION</v>
      </c>
      <c r="I576" s="2">
        <v>1450</v>
      </c>
      <c r="J576" t="str">
        <f>"INSTALL CABLES IN IT"</f>
        <v>INSTALL CABLES IN IT</v>
      </c>
    </row>
    <row r="577" spans="1:10" x14ac:dyDescent="0.3">
      <c r="A577" t="str">
        <f>""</f>
        <v/>
      </c>
      <c r="F577" t="s">
        <v>10</v>
      </c>
      <c r="G577" t="str">
        <f>"19236"</f>
        <v>19236</v>
      </c>
      <c r="H577" t="str">
        <f>"CABLE INST. IN ELGIN BY ANNEX"</f>
        <v>CABLE INST. IN ELGIN BY ANNEX</v>
      </c>
      <c r="I577" s="2">
        <v>1800</v>
      </c>
      <c r="J577" t="str">
        <f>"CABLE INST. IN ELGIN BY ANNEX"</f>
        <v>CABLE INST. IN ELGIN BY ANNEX</v>
      </c>
    </row>
    <row r="578" spans="1:10" x14ac:dyDescent="0.3">
      <c r="A578" t="str">
        <f>""</f>
        <v/>
      </c>
      <c r="F578" t="s">
        <v>10</v>
      </c>
      <c r="G578" t="str">
        <f>"19237"</f>
        <v>19237</v>
      </c>
      <c r="H578" t="str">
        <f>"FIBER TERMINATION"</f>
        <v>FIBER TERMINATION</v>
      </c>
      <c r="I578" s="2">
        <v>360</v>
      </c>
      <c r="J578" t="str">
        <f>"FIBER TERMINATION"</f>
        <v>FIBER TERMINATION</v>
      </c>
    </row>
    <row r="579" spans="1:10" x14ac:dyDescent="0.3">
      <c r="A579" t="str">
        <f>"005059"</f>
        <v>005059</v>
      </c>
      <c r="B579" t="s">
        <v>154</v>
      </c>
      <c r="C579">
        <v>70790</v>
      </c>
      <c r="D579" s="2">
        <v>185</v>
      </c>
      <c r="E579" s="1">
        <v>42898</v>
      </c>
      <c r="F579" t="s">
        <v>10</v>
      </c>
      <c r="G579" t="str">
        <f>"WINDOW TINT"</f>
        <v>WINDOW TINT</v>
      </c>
      <c r="H579" t="str">
        <f>"INV           UNIT 1079"</f>
        <v>INV           UNIT 1079</v>
      </c>
      <c r="I579" s="2">
        <v>185</v>
      </c>
      <c r="J579" t="str">
        <f>"INV           UNIT 1079"</f>
        <v>INV           UNIT 1079</v>
      </c>
    </row>
    <row r="580" spans="1:10" x14ac:dyDescent="0.3">
      <c r="A580" t="str">
        <f>"CEC"</f>
        <v>CEC</v>
      </c>
      <c r="B580" t="s">
        <v>155</v>
      </c>
      <c r="C580">
        <v>71174</v>
      </c>
      <c r="D580" s="2">
        <v>2281.61</v>
      </c>
      <c r="E580" s="1">
        <v>42912</v>
      </c>
      <c r="F580" t="s">
        <v>10</v>
      </c>
      <c r="G580" t="str">
        <f>"IN44454"</f>
        <v>IN44454</v>
      </c>
      <c r="H580" t="str">
        <f>"CUST#353/FRT &amp; PARTS/PCT#4"</f>
        <v>CUST#353/FRT &amp; PARTS/PCT#4</v>
      </c>
      <c r="I580" s="2">
        <v>226.06</v>
      </c>
      <c r="J580" t="str">
        <f>"CUST#353/FRT &amp; PARTS/PCT#4"</f>
        <v>CUST#353/FRT &amp; PARTS/PCT#4</v>
      </c>
    </row>
    <row r="581" spans="1:10" x14ac:dyDescent="0.3">
      <c r="A581" t="str">
        <f>""</f>
        <v/>
      </c>
      <c r="F581" t="s">
        <v>10</v>
      </c>
      <c r="G581" t="str">
        <f>"WR17376"</f>
        <v>WR17376</v>
      </c>
      <c r="H581" t="str">
        <f>"CUST#353/REPAIRS/PCT#2"</f>
        <v>CUST#353/REPAIRS/PCT#2</v>
      </c>
      <c r="I581" s="2">
        <v>2055.5500000000002</v>
      </c>
      <c r="J581" t="str">
        <f>"CUST#353/REPAIRS/PCT#2"</f>
        <v>CUST#353/REPAIRS/PCT#2</v>
      </c>
    </row>
    <row r="582" spans="1:10" x14ac:dyDescent="0.3">
      <c r="A582" t="str">
        <f>"001457"</f>
        <v>001457</v>
      </c>
      <c r="B582" t="s">
        <v>156</v>
      </c>
      <c r="C582">
        <v>70791</v>
      </c>
      <c r="D582" s="2">
        <v>125</v>
      </c>
      <c r="E582" s="1">
        <v>42898</v>
      </c>
      <c r="F582" t="s">
        <v>10</v>
      </c>
      <c r="G582" t="str">
        <f>"15704"</f>
        <v>15704</v>
      </c>
      <c r="H582" t="str">
        <f>"CUST #2449/SERVICE LABOR"</f>
        <v>CUST #2449/SERVICE LABOR</v>
      </c>
      <c r="I582" s="2">
        <v>125</v>
      </c>
      <c r="J582" t="str">
        <f>"CUST #2449/SERVICE LABOR"</f>
        <v>CUST #2449/SERVICE LABOR</v>
      </c>
    </row>
    <row r="583" spans="1:10" x14ac:dyDescent="0.3">
      <c r="A583" t="str">
        <f>"001894"</f>
        <v>001894</v>
      </c>
      <c r="B583" t="s">
        <v>157</v>
      </c>
      <c r="C583">
        <v>70792</v>
      </c>
      <c r="D583" s="2">
        <v>258.88</v>
      </c>
      <c r="E583" s="1">
        <v>42898</v>
      </c>
      <c r="F583" t="s">
        <v>10</v>
      </c>
      <c r="G583" t="str">
        <f>"P20449/P20450"</f>
        <v>P20449/P20450</v>
      </c>
      <c r="H583" t="str">
        <f>"CUST #BASTR002/PCT #4"</f>
        <v>CUST #BASTR002/PCT #4</v>
      </c>
      <c r="I583" s="2">
        <v>258.88</v>
      </c>
      <c r="J583" t="str">
        <f>"CUST #BASTR002/PCT #4"</f>
        <v>CUST #BASTR002/PCT #4</v>
      </c>
    </row>
    <row r="584" spans="1:10" x14ac:dyDescent="0.3">
      <c r="A584" t="str">
        <f>"004106"</f>
        <v>004106</v>
      </c>
      <c r="B584" t="s">
        <v>158</v>
      </c>
      <c r="C584">
        <v>70793</v>
      </c>
      <c r="D584" s="2">
        <v>1250</v>
      </c>
      <c r="E584" s="1">
        <v>42898</v>
      </c>
      <c r="F584" t="s">
        <v>10</v>
      </c>
      <c r="G584" t="str">
        <f>"201706062663"</f>
        <v>201706062663</v>
      </c>
      <c r="H584" t="str">
        <f>"PSYCHOLOGICAL EVALUATION"</f>
        <v>PSYCHOLOGICAL EVALUATION</v>
      </c>
      <c r="I584" s="2">
        <v>250</v>
      </c>
      <c r="J584" t="str">
        <f>"PSYCHOLOGICAL EVALUATION"</f>
        <v>PSYCHOLOGICAL EVALUATION</v>
      </c>
    </row>
    <row r="585" spans="1:10" x14ac:dyDescent="0.3">
      <c r="A585" t="str">
        <f>""</f>
        <v/>
      </c>
      <c r="F585" t="s">
        <v>10</v>
      </c>
      <c r="G585" t="str">
        <f>"201706062664"</f>
        <v>201706062664</v>
      </c>
      <c r="H585" t="str">
        <f>"PSYCHOLOGICAL EVALUATION"</f>
        <v>PSYCHOLOGICAL EVALUATION</v>
      </c>
      <c r="I585" s="2">
        <v>500</v>
      </c>
      <c r="J585" t="str">
        <f>"PSYCHOLOGICAL EVALUATION"</f>
        <v>PSYCHOLOGICAL EVALUATION</v>
      </c>
    </row>
    <row r="586" spans="1:10" x14ac:dyDescent="0.3">
      <c r="A586" t="str">
        <f>""</f>
        <v/>
      </c>
      <c r="F586" t="s">
        <v>10</v>
      </c>
      <c r="G586" t="str">
        <f>"MAY EVALUATIONS"</f>
        <v>MAY EVALUATIONS</v>
      </c>
      <c r="H586" t="str">
        <f>"MAY EVAL"</f>
        <v>MAY EVAL</v>
      </c>
      <c r="I586" s="2">
        <v>500</v>
      </c>
      <c r="J586" t="str">
        <f>"MAY EVAL"</f>
        <v>MAY EVAL</v>
      </c>
    </row>
    <row r="587" spans="1:10" x14ac:dyDescent="0.3">
      <c r="A587" t="str">
        <f>"004106"</f>
        <v>004106</v>
      </c>
      <c r="B587" t="s">
        <v>158</v>
      </c>
      <c r="C587">
        <v>71175</v>
      </c>
      <c r="D587" s="2">
        <v>1250</v>
      </c>
      <c r="E587" s="1">
        <v>42912</v>
      </c>
      <c r="F587" t="s">
        <v>10</v>
      </c>
      <c r="G587" t="str">
        <f>"MAY PSYCH EVALS"</f>
        <v>MAY PSYCH EVALS</v>
      </c>
      <c r="H587" t="str">
        <f>"MAY INVOICE"</f>
        <v>MAY INVOICE</v>
      </c>
      <c r="I587" s="2">
        <v>1250</v>
      </c>
    </row>
    <row r="588" spans="1:10" x14ac:dyDescent="0.3">
      <c r="A588" t="str">
        <f>"T7302"</f>
        <v>T7302</v>
      </c>
      <c r="B588" t="s">
        <v>159</v>
      </c>
      <c r="C588">
        <v>70794</v>
      </c>
      <c r="D588" s="2">
        <v>16.95</v>
      </c>
      <c r="E588" s="1">
        <v>42898</v>
      </c>
      <c r="F588" t="s">
        <v>10</v>
      </c>
      <c r="G588" t="str">
        <f>"50351"</f>
        <v>50351</v>
      </c>
      <c r="H588" t="str">
        <f>"DUKE ACCT# 15043 YRLY  RABIES"</f>
        <v>DUKE ACCT# 15043 YRLY  RABIES</v>
      </c>
      <c r="I588" s="2">
        <v>16.95</v>
      </c>
      <c r="J588" t="str">
        <f>"DUKE ACCT# 15043 YRLY  RABIES"</f>
        <v>DUKE ACCT# 15043 YRLY  RABIES</v>
      </c>
    </row>
    <row r="589" spans="1:10" x14ac:dyDescent="0.3">
      <c r="A589" t="str">
        <f>"T7302"</f>
        <v>T7302</v>
      </c>
      <c r="B589" t="s">
        <v>159</v>
      </c>
      <c r="C589">
        <v>71176</v>
      </c>
      <c r="D589" s="2">
        <v>33.9</v>
      </c>
      <c r="E589" s="1">
        <v>42912</v>
      </c>
      <c r="F589" t="s">
        <v>10</v>
      </c>
      <c r="G589" t="str">
        <f>"50471"</f>
        <v>50471</v>
      </c>
      <c r="H589" t="str">
        <f>"ACCT#1839/ANIMAL SHELTER"</f>
        <v>ACCT#1839/ANIMAL SHELTER</v>
      </c>
      <c r="I589" s="2">
        <v>16.95</v>
      </c>
      <c r="J589" t="str">
        <f>"ACCT#1839/ANIMAL SHELTER"</f>
        <v>ACCT#1839/ANIMAL SHELTER</v>
      </c>
    </row>
    <row r="590" spans="1:10" x14ac:dyDescent="0.3">
      <c r="A590" t="str">
        <f>""</f>
        <v/>
      </c>
      <c r="F590" t="s">
        <v>10</v>
      </c>
      <c r="G590" t="str">
        <f>"5079"</f>
        <v>5079</v>
      </c>
      <c r="H590" t="str">
        <f>"ACCT#1839/ANIMAL SHELTER"</f>
        <v>ACCT#1839/ANIMAL SHELTER</v>
      </c>
      <c r="I590" s="2">
        <v>16.95</v>
      </c>
      <c r="J590" t="str">
        <f>"ACCT#1839/ANIMAL SHELTER"</f>
        <v>ACCT#1839/ANIMAL SHELTER</v>
      </c>
    </row>
    <row r="591" spans="1:10" x14ac:dyDescent="0.3">
      <c r="A591" t="str">
        <f>"T11708"</f>
        <v>T11708</v>
      </c>
      <c r="B591" t="s">
        <v>160</v>
      </c>
      <c r="C591">
        <v>70795</v>
      </c>
      <c r="D591" s="2">
        <v>150</v>
      </c>
      <c r="E591" s="1">
        <v>42898</v>
      </c>
      <c r="F591" t="s">
        <v>10</v>
      </c>
      <c r="G591" t="str">
        <f>"201706052590"</f>
        <v>201706052590</v>
      </c>
      <c r="H591" t="str">
        <f>"CLEANING SERVICES"</f>
        <v>CLEANING SERVICES</v>
      </c>
      <c r="I591" s="2">
        <v>150</v>
      </c>
      <c r="J591" t="str">
        <f>"CLEANING SERVICES"</f>
        <v>CLEANING SERVICES</v>
      </c>
    </row>
    <row r="592" spans="1:10" x14ac:dyDescent="0.3">
      <c r="A592" t="str">
        <f>"004346"</f>
        <v>004346</v>
      </c>
      <c r="B592" t="s">
        <v>161</v>
      </c>
      <c r="C592">
        <v>70797</v>
      </c>
      <c r="D592" s="2">
        <v>845</v>
      </c>
      <c r="E592" s="1">
        <v>42898</v>
      </c>
      <c r="F592" t="s">
        <v>10</v>
      </c>
      <c r="G592" t="str">
        <f>"201706052631"</f>
        <v>201706052631</v>
      </c>
      <c r="H592" t="str">
        <f t="shared" ref="H592:H599" si="5">"FERAL HOGS"</f>
        <v>FERAL HOGS</v>
      </c>
      <c r="I592" s="2">
        <v>135</v>
      </c>
      <c r="J592" t="str">
        <f t="shared" ref="J592:J599" si="6">"FERAL HOGS"</f>
        <v>FERAL HOGS</v>
      </c>
    </row>
    <row r="593" spans="1:10" x14ac:dyDescent="0.3">
      <c r="A593" t="str">
        <f>""</f>
        <v/>
      </c>
      <c r="F593" t="s">
        <v>10</v>
      </c>
      <c r="G593" t="str">
        <f>"201706052632"</f>
        <v>201706052632</v>
      </c>
      <c r="H593" t="str">
        <f t="shared" si="5"/>
        <v>FERAL HOGS</v>
      </c>
      <c r="I593" s="2">
        <v>125</v>
      </c>
      <c r="J593" t="str">
        <f t="shared" si="6"/>
        <v>FERAL HOGS</v>
      </c>
    </row>
    <row r="594" spans="1:10" x14ac:dyDescent="0.3">
      <c r="A594" t="str">
        <f>""</f>
        <v/>
      </c>
      <c r="F594" t="s">
        <v>10</v>
      </c>
      <c r="G594" t="str">
        <f>"201706072976"</f>
        <v>201706072976</v>
      </c>
      <c r="H594" t="str">
        <f t="shared" si="5"/>
        <v>FERAL HOGS</v>
      </c>
      <c r="I594" s="2">
        <v>205</v>
      </c>
      <c r="J594" t="str">
        <f t="shared" si="6"/>
        <v>FERAL HOGS</v>
      </c>
    </row>
    <row r="595" spans="1:10" x14ac:dyDescent="0.3">
      <c r="A595" t="str">
        <f>""</f>
        <v/>
      </c>
      <c r="F595" t="s">
        <v>10</v>
      </c>
      <c r="G595" t="str">
        <f>"201706072977"</f>
        <v>201706072977</v>
      </c>
      <c r="H595" t="str">
        <f t="shared" si="5"/>
        <v>FERAL HOGS</v>
      </c>
      <c r="I595" s="2">
        <v>95</v>
      </c>
      <c r="J595" t="str">
        <f t="shared" si="6"/>
        <v>FERAL HOGS</v>
      </c>
    </row>
    <row r="596" spans="1:10" x14ac:dyDescent="0.3">
      <c r="A596" t="str">
        <f>""</f>
        <v/>
      </c>
      <c r="F596" t="s">
        <v>10</v>
      </c>
      <c r="G596" t="str">
        <f>"201706072978"</f>
        <v>201706072978</v>
      </c>
      <c r="H596" t="str">
        <f t="shared" si="5"/>
        <v>FERAL HOGS</v>
      </c>
      <c r="I596" s="2">
        <v>120</v>
      </c>
      <c r="J596" t="str">
        <f t="shared" si="6"/>
        <v>FERAL HOGS</v>
      </c>
    </row>
    <row r="597" spans="1:10" x14ac:dyDescent="0.3">
      <c r="A597" t="str">
        <f>""</f>
        <v/>
      </c>
      <c r="F597" t="s">
        <v>10</v>
      </c>
      <c r="G597" t="str">
        <f>"201706072979"</f>
        <v>201706072979</v>
      </c>
      <c r="H597" t="str">
        <f t="shared" si="5"/>
        <v>FERAL HOGS</v>
      </c>
      <c r="I597" s="2">
        <v>50</v>
      </c>
      <c r="J597" t="str">
        <f t="shared" si="6"/>
        <v>FERAL HOGS</v>
      </c>
    </row>
    <row r="598" spans="1:10" x14ac:dyDescent="0.3">
      <c r="A598" t="str">
        <f>""</f>
        <v/>
      </c>
      <c r="F598" t="s">
        <v>10</v>
      </c>
      <c r="G598" t="str">
        <f>"201706072980"</f>
        <v>201706072980</v>
      </c>
      <c r="H598" t="str">
        <f t="shared" si="5"/>
        <v>FERAL HOGS</v>
      </c>
      <c r="I598" s="2">
        <v>75</v>
      </c>
      <c r="J598" t="str">
        <f t="shared" si="6"/>
        <v>FERAL HOGS</v>
      </c>
    </row>
    <row r="599" spans="1:10" x14ac:dyDescent="0.3">
      <c r="A599" t="str">
        <f>""</f>
        <v/>
      </c>
      <c r="F599" t="s">
        <v>10</v>
      </c>
      <c r="G599" t="str">
        <f>"201706072981"</f>
        <v>201706072981</v>
      </c>
      <c r="H599" t="str">
        <f t="shared" si="5"/>
        <v>FERAL HOGS</v>
      </c>
      <c r="I599" s="2">
        <v>40</v>
      </c>
      <c r="J599" t="str">
        <f t="shared" si="6"/>
        <v>FERAL HOGS</v>
      </c>
    </row>
    <row r="600" spans="1:10" x14ac:dyDescent="0.3">
      <c r="A600" t="str">
        <f>"T7935"</f>
        <v>T7935</v>
      </c>
      <c r="B600" t="s">
        <v>162</v>
      </c>
      <c r="C600">
        <v>70798</v>
      </c>
      <c r="D600" s="2">
        <v>140.32</v>
      </c>
      <c r="E600" s="1">
        <v>42898</v>
      </c>
      <c r="F600" t="s">
        <v>10</v>
      </c>
      <c r="G600" t="str">
        <f>"31512381-47"</f>
        <v>31512381-47</v>
      </c>
      <c r="H600" t="str">
        <f>"COPIER LEASE/PURCHASING"</f>
        <v>COPIER LEASE/PURCHASING</v>
      </c>
      <c r="I600" s="2">
        <v>140.32</v>
      </c>
      <c r="J600" t="str">
        <f>"COPIER LEASE/PURCHASING"</f>
        <v>COPIER LEASE/PURCHASING</v>
      </c>
    </row>
    <row r="601" spans="1:10" x14ac:dyDescent="0.3">
      <c r="A601" t="str">
        <f>"T7935"</f>
        <v>T7935</v>
      </c>
      <c r="B601" t="s">
        <v>162</v>
      </c>
      <c r="C601">
        <v>71178</v>
      </c>
      <c r="D601" s="2">
        <v>140.32</v>
      </c>
      <c r="E601" s="1">
        <v>42912</v>
      </c>
      <c r="F601" t="s">
        <v>10</v>
      </c>
      <c r="G601" t="str">
        <f>"31512381"</f>
        <v>31512381</v>
      </c>
      <c r="H601" t="str">
        <f>"COPIER LEASE-PURCHASING"</f>
        <v>COPIER LEASE-PURCHASING</v>
      </c>
      <c r="I601" s="2">
        <v>140.32</v>
      </c>
      <c r="J601" t="str">
        <f>"COPIER LEASE-PURCHASING"</f>
        <v>COPIER LEASE-PURCHASING</v>
      </c>
    </row>
    <row r="602" spans="1:10" x14ac:dyDescent="0.3">
      <c r="A602" t="str">
        <f>"002352"</f>
        <v>002352</v>
      </c>
      <c r="B602" t="s">
        <v>163</v>
      </c>
      <c r="C602">
        <v>70799</v>
      </c>
      <c r="D602" s="2">
        <v>320</v>
      </c>
      <c r="E602" s="1">
        <v>42898</v>
      </c>
      <c r="F602" t="s">
        <v>10</v>
      </c>
      <c r="G602" t="str">
        <f>"12366"</f>
        <v>12366</v>
      </c>
      <c r="H602" t="str">
        <f>"SERVICE 03/06/2017"</f>
        <v>SERVICE 03/06/2017</v>
      </c>
      <c r="I602" s="2">
        <v>80</v>
      </c>
      <c r="J602" t="str">
        <f>"SERVICE 03/06/2017"</f>
        <v>SERVICE 03/06/2017</v>
      </c>
    </row>
    <row r="603" spans="1:10" x14ac:dyDescent="0.3">
      <c r="A603" t="str">
        <f>""</f>
        <v/>
      </c>
      <c r="F603" t="s">
        <v>10</v>
      </c>
      <c r="G603" t="str">
        <f>"12370"</f>
        <v>12370</v>
      </c>
      <c r="H603" t="str">
        <f>"SERVICE-3/14/2017"</f>
        <v>SERVICE-3/14/2017</v>
      </c>
      <c r="I603" s="2">
        <v>240</v>
      </c>
      <c r="J603" t="str">
        <f>"SERVICE-3/14/2017"</f>
        <v>SERVICE-3/14/2017</v>
      </c>
    </row>
    <row r="604" spans="1:10" x14ac:dyDescent="0.3">
      <c r="A604" t="str">
        <f>"002352"</f>
        <v>002352</v>
      </c>
      <c r="B604" t="s">
        <v>163</v>
      </c>
      <c r="C604">
        <v>71179</v>
      </c>
      <c r="D604" s="2">
        <v>170</v>
      </c>
      <c r="E604" s="1">
        <v>42912</v>
      </c>
      <c r="F604" t="s">
        <v>10</v>
      </c>
      <c r="G604" t="str">
        <f>"12503"</f>
        <v>12503</v>
      </c>
      <c r="H604" t="str">
        <f>"SERVICE-3/24/17"</f>
        <v>SERVICE-3/24/17</v>
      </c>
      <c r="I604" s="2">
        <v>80</v>
      </c>
      <c r="J604" t="str">
        <f>"SERVICE-3/24/17"</f>
        <v>SERVICE-3/24/17</v>
      </c>
    </row>
    <row r="605" spans="1:10" x14ac:dyDescent="0.3">
      <c r="A605" t="str">
        <f>""</f>
        <v/>
      </c>
      <c r="F605" t="s">
        <v>10</v>
      </c>
      <c r="G605" t="str">
        <f>"6925"</f>
        <v>6925</v>
      </c>
      <c r="H605" t="str">
        <f>"SERVICE-3/24/2017"</f>
        <v>SERVICE-3/24/2017</v>
      </c>
      <c r="I605" s="2">
        <v>90</v>
      </c>
      <c r="J605" t="str">
        <f>"SERVICE-3/24/2017"</f>
        <v>SERVICE-3/24/2017</v>
      </c>
    </row>
    <row r="606" spans="1:10" x14ac:dyDescent="0.3">
      <c r="A606" t="str">
        <f>"004294"</f>
        <v>004294</v>
      </c>
      <c r="B606" t="s">
        <v>164</v>
      </c>
      <c r="C606">
        <v>70800</v>
      </c>
      <c r="D606" s="2">
        <v>5</v>
      </c>
      <c r="E606" s="1">
        <v>42898</v>
      </c>
      <c r="F606" t="s">
        <v>10</v>
      </c>
      <c r="G606" t="str">
        <f>"201706052633"</f>
        <v>201706052633</v>
      </c>
      <c r="H606" t="str">
        <f>"FERAL HOGS"</f>
        <v>FERAL HOGS</v>
      </c>
      <c r="I606" s="2">
        <v>5</v>
      </c>
      <c r="J606" t="str">
        <f>"FERAL HOGS"</f>
        <v>FERAL HOGS</v>
      </c>
    </row>
    <row r="607" spans="1:10" x14ac:dyDescent="0.3">
      <c r="A607" t="str">
        <f>"005099"</f>
        <v>005099</v>
      </c>
      <c r="B607" t="s">
        <v>165</v>
      </c>
      <c r="C607">
        <v>70801</v>
      </c>
      <c r="D607" s="2">
        <v>5</v>
      </c>
      <c r="E607" s="1">
        <v>42898</v>
      </c>
      <c r="F607" t="s">
        <v>10</v>
      </c>
      <c r="G607" t="str">
        <f>"201706052634"</f>
        <v>201706052634</v>
      </c>
      <c r="H607" t="str">
        <f>"FERAL HOGS"</f>
        <v>FERAL HOGS</v>
      </c>
      <c r="I607" s="2">
        <v>5</v>
      </c>
      <c r="J607" t="str">
        <f>"FERAL HOGS"</f>
        <v>FERAL HOGS</v>
      </c>
    </row>
    <row r="608" spans="1:10" x14ac:dyDescent="0.3">
      <c r="A608" t="str">
        <f>"004962"</f>
        <v>004962</v>
      </c>
      <c r="B608" t="s">
        <v>166</v>
      </c>
      <c r="C608">
        <v>70802</v>
      </c>
      <c r="D608" s="2">
        <v>29.75</v>
      </c>
      <c r="E608" s="1">
        <v>42898</v>
      </c>
      <c r="F608" t="s">
        <v>10</v>
      </c>
      <c r="G608" t="str">
        <f>"201706062665"</f>
        <v>201706062665</v>
      </c>
      <c r="H608" t="str">
        <f>"MILEAGE REIMBURSEMENT"</f>
        <v>MILEAGE REIMBURSEMENT</v>
      </c>
      <c r="I608" s="2">
        <v>29.75</v>
      </c>
      <c r="J608" t="str">
        <f>"MILEAGE REIMBURSEMENT"</f>
        <v>MILEAGE REIMBURSEMENT</v>
      </c>
    </row>
    <row r="609" spans="1:10" x14ac:dyDescent="0.3">
      <c r="A609" t="str">
        <f>"004313"</f>
        <v>004313</v>
      </c>
      <c r="B609" t="s">
        <v>167</v>
      </c>
      <c r="C609">
        <v>70803</v>
      </c>
      <c r="D609" s="2">
        <v>125</v>
      </c>
      <c r="E609" s="1">
        <v>42898</v>
      </c>
      <c r="F609" t="s">
        <v>10</v>
      </c>
      <c r="G609" t="str">
        <f>"201706062671"</f>
        <v>201706062671</v>
      </c>
      <c r="H609" t="str">
        <f>"REIMBURSMENT-CDL &amp; MED CARD"</f>
        <v>REIMBURSMENT-CDL &amp; MED CARD</v>
      </c>
      <c r="I609" s="2">
        <v>120</v>
      </c>
      <c r="J609" t="str">
        <f>"REIMBURSMENT-CDL &amp; MED CARD"</f>
        <v>REIMBURSMENT-CDL &amp; MED CARD</v>
      </c>
    </row>
    <row r="610" spans="1:10" x14ac:dyDescent="0.3">
      <c r="A610" t="str">
        <f>""</f>
        <v/>
      </c>
      <c r="F610" t="s">
        <v>10</v>
      </c>
      <c r="G610" t="str">
        <f>"201706072982"</f>
        <v>201706072982</v>
      </c>
      <c r="H610" t="str">
        <f>"FERAL HOGS"</f>
        <v>FERAL HOGS</v>
      </c>
      <c r="I610" s="2">
        <v>5</v>
      </c>
      <c r="J610" t="str">
        <f>"FERAL HOGS"</f>
        <v>FERAL HOGS</v>
      </c>
    </row>
    <row r="611" spans="1:10" x14ac:dyDescent="0.3">
      <c r="A611" t="str">
        <f>"BROOKS"</f>
        <v>BROOKS</v>
      </c>
      <c r="B611" t="s">
        <v>168</v>
      </c>
      <c r="C611">
        <v>70804</v>
      </c>
      <c r="D611" s="2">
        <v>100</v>
      </c>
      <c r="E611" s="1">
        <v>42898</v>
      </c>
      <c r="F611" t="s">
        <v>10</v>
      </c>
      <c r="G611" t="str">
        <f>"201706052592"</f>
        <v>201706052592</v>
      </c>
      <c r="H611" t="str">
        <f>"LEGAL SVCS FOR MAY 2017"</f>
        <v>LEGAL SVCS FOR MAY 2017</v>
      </c>
      <c r="I611" s="2">
        <v>100</v>
      </c>
      <c r="J611" t="str">
        <f>"LEGAL SVCS FOR MAY 2017"</f>
        <v>LEGAL SVCS FOR MAY 2017</v>
      </c>
    </row>
    <row r="612" spans="1:10" x14ac:dyDescent="0.3">
      <c r="A612" t="str">
        <f>"005018"</f>
        <v>005018</v>
      </c>
      <c r="B612" t="s">
        <v>169</v>
      </c>
      <c r="C612">
        <v>70805</v>
      </c>
      <c r="D612" s="2">
        <v>85</v>
      </c>
      <c r="E612" s="1">
        <v>42898</v>
      </c>
      <c r="F612" t="s">
        <v>10</v>
      </c>
      <c r="G612" t="str">
        <f>"201706072983"</f>
        <v>201706072983</v>
      </c>
      <c r="H612" t="str">
        <f>"FERAL HOGS"</f>
        <v>FERAL HOGS</v>
      </c>
      <c r="I612" s="2">
        <v>85</v>
      </c>
      <c r="J612" t="str">
        <f>"FERAL HOGS"</f>
        <v>FERAL HOGS</v>
      </c>
    </row>
    <row r="613" spans="1:10" x14ac:dyDescent="0.3">
      <c r="A613" t="str">
        <f>"003335"</f>
        <v>003335</v>
      </c>
      <c r="B613" t="s">
        <v>170</v>
      </c>
      <c r="C613">
        <v>70806</v>
      </c>
      <c r="D613" s="2">
        <v>2170</v>
      </c>
      <c r="E613" s="1">
        <v>42898</v>
      </c>
      <c r="F613" t="s">
        <v>10</v>
      </c>
      <c r="G613" t="str">
        <f>"201706072814"</f>
        <v>201706072814</v>
      </c>
      <c r="H613" t="str">
        <f>"16-17591"</f>
        <v>16-17591</v>
      </c>
      <c r="I613" s="2">
        <v>625</v>
      </c>
      <c r="J613" t="str">
        <f>"16-17591"</f>
        <v>16-17591</v>
      </c>
    </row>
    <row r="614" spans="1:10" x14ac:dyDescent="0.3">
      <c r="A614" t="str">
        <f>""</f>
        <v/>
      </c>
      <c r="F614" t="s">
        <v>10</v>
      </c>
      <c r="G614" t="str">
        <f>"201706072815"</f>
        <v>201706072815</v>
      </c>
      <c r="H614" t="str">
        <f>"15-17513"</f>
        <v>15-17513</v>
      </c>
      <c r="I614" s="2">
        <v>295</v>
      </c>
      <c r="J614" t="str">
        <f>"15-17513"</f>
        <v>15-17513</v>
      </c>
    </row>
    <row r="615" spans="1:10" x14ac:dyDescent="0.3">
      <c r="A615" t="str">
        <f>""</f>
        <v/>
      </c>
      <c r="F615" t="s">
        <v>10</v>
      </c>
      <c r="G615" t="str">
        <f>"201706072817"</f>
        <v>201706072817</v>
      </c>
      <c r="H615" t="str">
        <f>"15-17193"</f>
        <v>15-17193</v>
      </c>
      <c r="I615" s="2">
        <v>257.5</v>
      </c>
      <c r="J615" t="str">
        <f>"15-17193"</f>
        <v>15-17193</v>
      </c>
    </row>
    <row r="616" spans="1:10" x14ac:dyDescent="0.3">
      <c r="A616" t="str">
        <f>""</f>
        <v/>
      </c>
      <c r="F616" t="s">
        <v>10</v>
      </c>
      <c r="G616" t="str">
        <f>"201706072818"</f>
        <v>201706072818</v>
      </c>
      <c r="H616" t="str">
        <f>"15-17193"</f>
        <v>15-17193</v>
      </c>
      <c r="I616" s="2">
        <v>210</v>
      </c>
      <c r="J616" t="str">
        <f>"15-17193"</f>
        <v>15-17193</v>
      </c>
    </row>
    <row r="617" spans="1:10" x14ac:dyDescent="0.3">
      <c r="A617" t="str">
        <f>""</f>
        <v/>
      </c>
      <c r="F617" t="s">
        <v>10</v>
      </c>
      <c r="G617" t="str">
        <f>"201706072819"</f>
        <v>201706072819</v>
      </c>
      <c r="H617" t="str">
        <f>"15-17398"</f>
        <v>15-17398</v>
      </c>
      <c r="I617" s="2">
        <v>535</v>
      </c>
      <c r="J617" t="str">
        <f>"15-17398"</f>
        <v>15-17398</v>
      </c>
    </row>
    <row r="618" spans="1:10" x14ac:dyDescent="0.3">
      <c r="A618" t="str">
        <f>""</f>
        <v/>
      </c>
      <c r="F618" t="s">
        <v>10</v>
      </c>
      <c r="G618" t="str">
        <f>"201706072820"</f>
        <v>201706072820</v>
      </c>
      <c r="H618" t="str">
        <f>"15-17550"</f>
        <v>15-17550</v>
      </c>
      <c r="I618" s="2">
        <v>247.5</v>
      </c>
      <c r="J618" t="str">
        <f>"15-17550"</f>
        <v>15-17550</v>
      </c>
    </row>
    <row r="619" spans="1:10" x14ac:dyDescent="0.3">
      <c r="A619" t="str">
        <f>"DELL"</f>
        <v>DELL</v>
      </c>
      <c r="B619" t="s">
        <v>171</v>
      </c>
      <c r="C619">
        <v>70807</v>
      </c>
      <c r="D619" s="2">
        <v>26224.71</v>
      </c>
      <c r="E619" s="1">
        <v>42898</v>
      </c>
      <c r="F619" t="s">
        <v>10</v>
      </c>
      <c r="G619" t="str">
        <f>"10158644900"</f>
        <v>10158644900</v>
      </c>
      <c r="H619" t="str">
        <f>"DELL"</f>
        <v>DELL</v>
      </c>
      <c r="I619" s="2">
        <v>169.98</v>
      </c>
      <c r="J619" t="str">
        <f>"Dell 8 GB Memory"</f>
        <v>Dell 8 GB Memory</v>
      </c>
    </row>
    <row r="620" spans="1:10" x14ac:dyDescent="0.3">
      <c r="A620" t="str">
        <f>""</f>
        <v/>
      </c>
      <c r="F620" t="s">
        <v>10</v>
      </c>
      <c r="G620" t="str">
        <f>"10166310581"</f>
        <v>10166310581</v>
      </c>
      <c r="H620" t="str">
        <f>"Dell Latitude 5580"</f>
        <v>Dell Latitude 5580</v>
      </c>
      <c r="I620" s="2">
        <v>11000.8</v>
      </c>
      <c r="J620" t="str">
        <f>"Dell Latitude 5580"</f>
        <v>Dell Latitude 5580</v>
      </c>
    </row>
    <row r="621" spans="1:10" x14ac:dyDescent="0.3">
      <c r="A621" t="str">
        <f>""</f>
        <v/>
      </c>
      <c r="F621" t="s">
        <v>10</v>
      </c>
      <c r="G621" t="str">
        <f>"10166375409"</f>
        <v>10166375409</v>
      </c>
      <c r="H621" t="str">
        <f>"Dell CIP Order"</f>
        <v>Dell CIP Order</v>
      </c>
      <c r="I621" s="2">
        <v>15053.93</v>
      </c>
      <c r="J621" t="str">
        <f>"Optiplex 7440 AIO"</f>
        <v>Optiplex 7440 AIO</v>
      </c>
    </row>
    <row r="622" spans="1:10" x14ac:dyDescent="0.3">
      <c r="A622" t="str">
        <f>""</f>
        <v/>
      </c>
      <c r="G622" t="str">
        <f>""</f>
        <v/>
      </c>
      <c r="H622" t="str">
        <f>""</f>
        <v/>
      </c>
      <c r="J622" t="str">
        <f>"Optiplex 3050 Micro"</f>
        <v>Optiplex 3050 Micro</v>
      </c>
    </row>
    <row r="623" spans="1:10" x14ac:dyDescent="0.3">
      <c r="A623" t="str">
        <f>""</f>
        <v/>
      </c>
      <c r="G623" t="str">
        <f>""</f>
        <v/>
      </c>
      <c r="H623" t="str">
        <f>""</f>
        <v/>
      </c>
      <c r="J623" t="str">
        <f>"Optiplex 3050 SFF"</f>
        <v>Optiplex 3050 SFF</v>
      </c>
    </row>
    <row r="624" spans="1:10" x14ac:dyDescent="0.3">
      <c r="A624" t="str">
        <f>""</f>
        <v/>
      </c>
      <c r="G624" t="str">
        <f>""</f>
        <v/>
      </c>
      <c r="H624" t="str">
        <f>""</f>
        <v/>
      </c>
      <c r="J624" t="str">
        <f>"22 Monitor P2217H"</f>
        <v>22 Monitor P2217H</v>
      </c>
    </row>
    <row r="625" spans="1:10" x14ac:dyDescent="0.3">
      <c r="A625" t="str">
        <f>""</f>
        <v/>
      </c>
      <c r="G625" t="str">
        <f>""</f>
        <v/>
      </c>
      <c r="H625" t="str">
        <f>""</f>
        <v/>
      </c>
      <c r="J625" t="str">
        <f>"UltraSharp 24 Infini"</f>
        <v>UltraSharp 24 Infini</v>
      </c>
    </row>
    <row r="626" spans="1:10" x14ac:dyDescent="0.3">
      <c r="A626" t="str">
        <f>""</f>
        <v/>
      </c>
      <c r="G626" t="str">
        <f>""</f>
        <v/>
      </c>
      <c r="H626" t="str">
        <f>""</f>
        <v/>
      </c>
      <c r="J626" t="str">
        <f>"XPS 15"</f>
        <v>XPS 15</v>
      </c>
    </row>
    <row r="627" spans="1:10" x14ac:dyDescent="0.3">
      <c r="A627" t="str">
        <f>""</f>
        <v/>
      </c>
      <c r="G627" t="str">
        <f>""</f>
        <v/>
      </c>
      <c r="H627" t="str">
        <f>""</f>
        <v/>
      </c>
      <c r="J627" t="str">
        <f>"Docking Station"</f>
        <v>Docking Station</v>
      </c>
    </row>
    <row r="628" spans="1:10" x14ac:dyDescent="0.3">
      <c r="A628" t="str">
        <f>"DELL"</f>
        <v>DELL</v>
      </c>
      <c r="B628" t="s">
        <v>171</v>
      </c>
      <c r="C628">
        <v>71180</v>
      </c>
      <c r="D628" s="2">
        <v>1655.77</v>
      </c>
      <c r="E628" s="1">
        <v>42912</v>
      </c>
      <c r="F628" t="s">
        <v>10</v>
      </c>
      <c r="G628" t="str">
        <f>"10172509220"</f>
        <v>10172509220</v>
      </c>
      <c r="H628" t="str">
        <f>"Quote# 3000014321562.1"</f>
        <v>Quote# 3000014321562.1</v>
      </c>
      <c r="I628" s="2">
        <v>1655.77</v>
      </c>
      <c r="J628" t="str">
        <f>"Dell Latitude 5580"</f>
        <v>Dell Latitude 5580</v>
      </c>
    </row>
    <row r="629" spans="1:10" x14ac:dyDescent="0.3">
      <c r="A629" t="str">
        <f>""</f>
        <v/>
      </c>
      <c r="G629" t="str">
        <f>""</f>
        <v/>
      </c>
      <c r="H629" t="str">
        <f>""</f>
        <v/>
      </c>
      <c r="J629" t="s">
        <v>172</v>
      </c>
    </row>
    <row r="630" spans="1:10" x14ac:dyDescent="0.3">
      <c r="A630" t="str">
        <f>""</f>
        <v/>
      </c>
      <c r="G630" t="str">
        <f>""</f>
        <v/>
      </c>
      <c r="H630" t="str">
        <f>""</f>
        <v/>
      </c>
      <c r="J630" t="str">
        <f>"Dell Docking Station"</f>
        <v>Dell Docking Station</v>
      </c>
    </row>
    <row r="631" spans="1:10" x14ac:dyDescent="0.3">
      <c r="A631" t="str">
        <f>"US"</f>
        <v>US</v>
      </c>
      <c r="B631" t="s">
        <v>173</v>
      </c>
      <c r="C631">
        <v>70808</v>
      </c>
      <c r="D631" s="2">
        <v>883</v>
      </c>
      <c r="E631" s="1">
        <v>42898</v>
      </c>
      <c r="F631" t="s">
        <v>10</v>
      </c>
      <c r="G631" t="str">
        <f>"201706072950"</f>
        <v>201706072950</v>
      </c>
      <c r="H631" t="str">
        <f>"CASE#17-S-02058/ACCT8070015383"</f>
        <v>CASE#17-S-02058/ACCT8070015383</v>
      </c>
      <c r="I631" s="2">
        <v>883</v>
      </c>
      <c r="J631" t="str">
        <f>"CASE#17-S-02058/ACCT8070015383"</f>
        <v>CASE#17-S-02058/ACCT8070015383</v>
      </c>
    </row>
    <row r="632" spans="1:10" x14ac:dyDescent="0.3">
      <c r="A632" t="str">
        <f>"004270"</f>
        <v>004270</v>
      </c>
      <c r="B632" t="s">
        <v>174</v>
      </c>
      <c r="C632">
        <v>70809</v>
      </c>
      <c r="D632" s="2">
        <v>431.82</v>
      </c>
      <c r="E632" s="1">
        <v>42898</v>
      </c>
      <c r="F632" t="s">
        <v>10</v>
      </c>
      <c r="G632" t="str">
        <f>"10158685219"</f>
        <v>10158685219</v>
      </c>
      <c r="H632" t="str">
        <f>"DELL 23 MINITOR"</f>
        <v>DELL 23 MINITOR</v>
      </c>
      <c r="I632" s="2">
        <v>405.58</v>
      </c>
      <c r="J632" t="str">
        <f>"DELL 23 MINITOR"</f>
        <v>DELL 23 MINITOR</v>
      </c>
    </row>
    <row r="633" spans="1:10" x14ac:dyDescent="0.3">
      <c r="A633" t="str">
        <f>""</f>
        <v/>
      </c>
      <c r="F633" t="s">
        <v>10</v>
      </c>
      <c r="G633" t="str">
        <f>"10167289844"</f>
        <v>10167289844</v>
      </c>
      <c r="H633" t="str">
        <f>"SOUNDBAR"</f>
        <v>SOUNDBAR</v>
      </c>
      <c r="I633" s="2">
        <v>26.24</v>
      </c>
      <c r="J633" t="str">
        <f>"SOUNDBAR"</f>
        <v>SOUNDBAR</v>
      </c>
    </row>
    <row r="634" spans="1:10" x14ac:dyDescent="0.3">
      <c r="A634" t="str">
        <f>"004270"</f>
        <v>004270</v>
      </c>
      <c r="B634" t="s">
        <v>174</v>
      </c>
      <c r="C634">
        <v>71181</v>
      </c>
      <c r="D634" s="2">
        <v>569.37</v>
      </c>
      <c r="E634" s="1">
        <v>42912</v>
      </c>
      <c r="F634" t="s">
        <v>10</v>
      </c>
      <c r="G634" t="str">
        <f>"10172250422"</f>
        <v>10172250422</v>
      </c>
      <c r="H634" t="str">
        <f>"DELL FINANCIAL SERVICES LLC"</f>
        <v>DELL FINANCIAL SERVICES LLC</v>
      </c>
      <c r="I634" s="2">
        <v>569.37</v>
      </c>
      <c r="J634" t="s">
        <v>175</v>
      </c>
    </row>
    <row r="635" spans="1:10" x14ac:dyDescent="0.3">
      <c r="A635" t="str">
        <f>"DENTRU"</f>
        <v>DENTRU</v>
      </c>
      <c r="B635" t="s">
        <v>176</v>
      </c>
      <c r="C635">
        <v>71182</v>
      </c>
      <c r="D635" s="2">
        <v>2590</v>
      </c>
      <c r="E635" s="1">
        <v>42912</v>
      </c>
      <c r="F635" t="s">
        <v>10</v>
      </c>
      <c r="G635" t="str">
        <f>"BATX014713"</f>
        <v>BATX014713</v>
      </c>
      <c r="H635" t="str">
        <f>"MAY DENTAL SERVICE"</f>
        <v>MAY DENTAL SERVICE</v>
      </c>
      <c r="I635" s="2">
        <v>2590</v>
      </c>
      <c r="J635" t="str">
        <f>"MAY DENTAL SERVICE"</f>
        <v>MAY DENTAL SERVICE</v>
      </c>
    </row>
    <row r="636" spans="1:10" x14ac:dyDescent="0.3">
      <c r="A636" t="str">
        <f>"003826"</f>
        <v>003826</v>
      </c>
      <c r="B636" t="s">
        <v>177</v>
      </c>
      <c r="C636">
        <v>70810</v>
      </c>
      <c r="D636" s="2">
        <v>5</v>
      </c>
      <c r="E636" s="1">
        <v>42898</v>
      </c>
      <c r="F636" t="s">
        <v>10</v>
      </c>
      <c r="G636" t="str">
        <f>"201706052635"</f>
        <v>201706052635</v>
      </c>
      <c r="H636" t="str">
        <f>"FERAL HOGS"</f>
        <v>FERAL HOGS</v>
      </c>
      <c r="I636" s="2">
        <v>5</v>
      </c>
      <c r="J636" t="str">
        <f>"FERAL HOGS"</f>
        <v>FERAL HOGS</v>
      </c>
    </row>
    <row r="637" spans="1:10" x14ac:dyDescent="0.3">
      <c r="A637" t="str">
        <f>"005094"</f>
        <v>005094</v>
      </c>
      <c r="B637" t="s">
        <v>178</v>
      </c>
      <c r="C637">
        <v>70811</v>
      </c>
      <c r="D637" s="2">
        <v>60</v>
      </c>
      <c r="E637" s="1">
        <v>42898</v>
      </c>
      <c r="F637" t="s">
        <v>10</v>
      </c>
      <c r="G637" t="str">
        <f>"12000"</f>
        <v>12000</v>
      </c>
      <c r="H637" t="str">
        <f>"SERVICE 03/06/2017"</f>
        <v>SERVICE 03/06/2017</v>
      </c>
      <c r="I637" s="2">
        <v>60</v>
      </c>
      <c r="J637" t="str">
        <f>"SERVICE 03/06/2017"</f>
        <v>SERVICE 03/06/2017</v>
      </c>
    </row>
    <row r="638" spans="1:10" x14ac:dyDescent="0.3">
      <c r="A638" t="str">
        <f>"003766"</f>
        <v>003766</v>
      </c>
      <c r="B638" t="s">
        <v>179</v>
      </c>
      <c r="C638">
        <v>70812</v>
      </c>
      <c r="D638" s="2">
        <v>848</v>
      </c>
      <c r="E638" s="1">
        <v>42898</v>
      </c>
      <c r="F638" t="s">
        <v>10</v>
      </c>
      <c r="G638" t="str">
        <f>"95719"</f>
        <v>95719</v>
      </c>
      <c r="H638" t="str">
        <f>"INV95719 GLOVES"</f>
        <v>INV95719 GLOVES</v>
      </c>
      <c r="I638" s="2">
        <v>848</v>
      </c>
      <c r="J638" t="str">
        <f>"INV95719 GLOVES"</f>
        <v>INV95719 GLOVES</v>
      </c>
    </row>
    <row r="639" spans="1:10" x14ac:dyDescent="0.3">
      <c r="A639" t="str">
        <f>"T5686"</f>
        <v>T5686</v>
      </c>
      <c r="B639" t="s">
        <v>180</v>
      </c>
      <c r="C639">
        <v>70813</v>
      </c>
      <c r="D639" s="2">
        <v>12</v>
      </c>
      <c r="E639" s="1">
        <v>42898</v>
      </c>
      <c r="F639" t="s">
        <v>10</v>
      </c>
      <c r="G639" t="str">
        <f>"23515"</f>
        <v>23515</v>
      </c>
      <c r="H639" t="str">
        <f>"3 DUPLICATE KEYS/GENERAL SVCS"</f>
        <v>3 DUPLICATE KEYS/GENERAL SVCS</v>
      </c>
      <c r="I639" s="2">
        <v>12</v>
      </c>
      <c r="J639" t="str">
        <f>"3 DUPLICATE KEYS/GENERAL SVCS"</f>
        <v>3 DUPLICATE KEYS/GENERAL SVCS</v>
      </c>
    </row>
    <row r="640" spans="1:10" x14ac:dyDescent="0.3">
      <c r="A640" t="str">
        <f>"T5686"</f>
        <v>T5686</v>
      </c>
      <c r="B640" t="s">
        <v>180</v>
      </c>
      <c r="C640">
        <v>71183</v>
      </c>
      <c r="D640" s="2">
        <v>20</v>
      </c>
      <c r="E640" s="1">
        <v>42912</v>
      </c>
      <c r="F640" t="s">
        <v>10</v>
      </c>
      <c r="G640" t="str">
        <f>"23547"</f>
        <v>23547</v>
      </c>
      <c r="H640" t="str">
        <f>"INVOICE23547 KEYS"</f>
        <v>INVOICE23547 KEYS</v>
      </c>
      <c r="I640" s="2">
        <v>20</v>
      </c>
      <c r="J640" t="str">
        <f>"INVOICE23547 KEYS"</f>
        <v>INVOICE23547 KEYS</v>
      </c>
    </row>
    <row r="641" spans="1:10" x14ac:dyDescent="0.3">
      <c r="A641" t="str">
        <f>"004460"</f>
        <v>004460</v>
      </c>
      <c r="B641" t="s">
        <v>181</v>
      </c>
      <c r="C641">
        <v>70814</v>
      </c>
      <c r="D641" s="2">
        <v>390</v>
      </c>
      <c r="E641" s="1">
        <v>42898</v>
      </c>
      <c r="F641" t="s">
        <v>10</v>
      </c>
      <c r="G641" t="str">
        <f>"201706072984"</f>
        <v>201706072984</v>
      </c>
      <c r="H641" t="str">
        <f>"FERAL HOGS"</f>
        <v>FERAL HOGS</v>
      </c>
      <c r="I641" s="2">
        <v>390</v>
      </c>
      <c r="J641" t="str">
        <f>"FERAL HOGS"</f>
        <v>FERAL HOGS</v>
      </c>
    </row>
    <row r="642" spans="1:10" x14ac:dyDescent="0.3">
      <c r="A642" t="str">
        <f>"001911"</f>
        <v>001911</v>
      </c>
      <c r="B642" t="s">
        <v>182</v>
      </c>
      <c r="C642">
        <v>70815</v>
      </c>
      <c r="D642" s="2">
        <v>2342</v>
      </c>
      <c r="E642" s="1">
        <v>42898</v>
      </c>
      <c r="F642" t="s">
        <v>10</v>
      </c>
      <c r="G642" t="str">
        <f>"17041118N"</f>
        <v>17041118N</v>
      </c>
      <c r="H642" t="str">
        <f>"PKE5000/4/1/2017 TO 4/30/2017"</f>
        <v>PKE5000/4/1/2017 TO 4/30/2017</v>
      </c>
      <c r="I642" s="2">
        <v>2342</v>
      </c>
      <c r="J642" t="str">
        <f>"PKE5000/4/1/2017 TO 4/30/2017"</f>
        <v>PKE5000/4/1/2017 TO 4/30/2017</v>
      </c>
    </row>
    <row r="643" spans="1:10" x14ac:dyDescent="0.3">
      <c r="A643" t="str">
        <f>""</f>
        <v/>
      </c>
      <c r="G643" t="str">
        <f>""</f>
        <v/>
      </c>
      <c r="H643" t="str">
        <f>""</f>
        <v/>
      </c>
      <c r="J643" t="str">
        <f>"PKE5000/4/1/2017 TO 4/30/2017"</f>
        <v>PKE5000/4/1/2017 TO 4/30/2017</v>
      </c>
    </row>
    <row r="644" spans="1:10" x14ac:dyDescent="0.3">
      <c r="A644" t="str">
        <f>"001911"</f>
        <v>001911</v>
      </c>
      <c r="B644" t="s">
        <v>182</v>
      </c>
      <c r="C644">
        <v>71184</v>
      </c>
      <c r="D644" s="2">
        <v>2370.46</v>
      </c>
      <c r="E644" s="1">
        <v>42912</v>
      </c>
      <c r="F644" t="s">
        <v>10</v>
      </c>
      <c r="G644" t="str">
        <f>"17051118N"</f>
        <v>17051118N</v>
      </c>
      <c r="H644" t="str">
        <f>"CUST#PKE5000-5/1/17-5/31/17"</f>
        <v>CUST#PKE5000-5/1/17-5/31/17</v>
      </c>
      <c r="I644" s="2">
        <v>2370.46</v>
      </c>
      <c r="J644" t="str">
        <f>"CUST#PKE5000-5/1/17-5/31/17"</f>
        <v>CUST#PKE5000-5/1/17-5/31/17</v>
      </c>
    </row>
    <row r="645" spans="1:10" x14ac:dyDescent="0.3">
      <c r="A645" t="str">
        <f>""</f>
        <v/>
      </c>
      <c r="G645" t="str">
        <f>""</f>
        <v/>
      </c>
      <c r="H645" t="str">
        <f>""</f>
        <v/>
      </c>
      <c r="J645" t="str">
        <f>"CUST#PKE5000-5/1/17-5/31/17"</f>
        <v>CUST#PKE5000-5/1/17-5/31/17</v>
      </c>
    </row>
    <row r="646" spans="1:10" x14ac:dyDescent="0.3">
      <c r="A646" t="str">
        <f>"002947"</f>
        <v>002947</v>
      </c>
      <c r="B646" t="s">
        <v>183</v>
      </c>
      <c r="C646">
        <v>71185</v>
      </c>
      <c r="D646" s="2">
        <v>96.82</v>
      </c>
      <c r="E646" s="1">
        <v>42912</v>
      </c>
      <c r="F646" t="s">
        <v>10</v>
      </c>
      <c r="G646" t="str">
        <f>"2669602"</f>
        <v>2669602</v>
      </c>
      <c r="H646" t="str">
        <f>"ACCT#27917/TIRE REPLACEMENT"</f>
        <v>ACCT#27917/TIRE REPLACEMENT</v>
      </c>
      <c r="I646" s="2">
        <v>96.82</v>
      </c>
      <c r="J646" t="str">
        <f>"ACCT#27917/TIRE REPLACEMENT"</f>
        <v>ACCT#27917/TIRE REPLACEMENT</v>
      </c>
    </row>
    <row r="647" spans="1:10" x14ac:dyDescent="0.3">
      <c r="A647" t="str">
        <f>"T12751"</f>
        <v>T12751</v>
      </c>
      <c r="B647" t="s">
        <v>184</v>
      </c>
      <c r="C647">
        <v>70816</v>
      </c>
      <c r="D647" s="2">
        <v>40</v>
      </c>
      <c r="E647" s="1">
        <v>42898</v>
      </c>
      <c r="F647" t="s">
        <v>10</v>
      </c>
      <c r="G647" t="str">
        <f>"201706072985"</f>
        <v>201706072985</v>
      </c>
      <c r="H647" t="str">
        <f>"FERAL HOGS"</f>
        <v>FERAL HOGS</v>
      </c>
      <c r="I647" s="2">
        <v>40</v>
      </c>
      <c r="J647" t="str">
        <f>"FERAL HOGS"</f>
        <v>FERAL HOGS</v>
      </c>
    </row>
    <row r="648" spans="1:10" x14ac:dyDescent="0.3">
      <c r="A648" t="str">
        <f>"004924"</f>
        <v>004924</v>
      </c>
      <c r="B648" t="s">
        <v>185</v>
      </c>
      <c r="C648">
        <v>70817</v>
      </c>
      <c r="D648" s="2">
        <v>1888.43</v>
      </c>
      <c r="E648" s="1">
        <v>42898</v>
      </c>
      <c r="F648" t="s">
        <v>10</v>
      </c>
      <c r="G648" t="str">
        <f>"201706062668"</f>
        <v>201706062668</v>
      </c>
      <c r="H648" t="str">
        <f>"ACCT#2922"</f>
        <v>ACCT#2922</v>
      </c>
      <c r="I648" s="2">
        <v>632.30999999999995</v>
      </c>
      <c r="J648" t="str">
        <f>"ACCT#2922"</f>
        <v>ACCT#2922</v>
      </c>
    </row>
    <row r="649" spans="1:10" x14ac:dyDescent="0.3">
      <c r="A649" t="str">
        <f>""</f>
        <v/>
      </c>
      <c r="F649" t="s">
        <v>10</v>
      </c>
      <c r="G649" t="str">
        <f>"201706062669"</f>
        <v>201706062669</v>
      </c>
      <c r="H649" t="str">
        <f>"ACCT#2921"</f>
        <v>ACCT#2921</v>
      </c>
      <c r="I649" s="2">
        <v>344.66</v>
      </c>
      <c r="J649" t="str">
        <f>"ACCT#2921"</f>
        <v>ACCT#2921</v>
      </c>
    </row>
    <row r="650" spans="1:10" x14ac:dyDescent="0.3">
      <c r="A650" t="str">
        <f>""</f>
        <v/>
      </c>
      <c r="F650" t="s">
        <v>10</v>
      </c>
      <c r="G650" t="str">
        <f>"201706062670"</f>
        <v>201706062670</v>
      </c>
      <c r="H650" t="str">
        <f>"ACCT#28789/GARBAGE SERVICES"</f>
        <v>ACCT#28789/GARBAGE SERVICES</v>
      </c>
      <c r="I650" s="2">
        <v>911.46</v>
      </c>
      <c r="J650" t="str">
        <f>"ACCT#28789/GARBAGE SERVICE"</f>
        <v>ACCT#28789/GARBAGE SERVICE</v>
      </c>
    </row>
    <row r="651" spans="1:10" x14ac:dyDescent="0.3">
      <c r="A651" t="str">
        <f>"004924"</f>
        <v>004924</v>
      </c>
      <c r="B651" t="s">
        <v>185</v>
      </c>
      <c r="C651">
        <v>71186</v>
      </c>
      <c r="D651" s="2">
        <v>415.93</v>
      </c>
      <c r="E651" s="1">
        <v>42912</v>
      </c>
      <c r="F651" t="s">
        <v>10</v>
      </c>
      <c r="G651" t="str">
        <f>"201706203168"</f>
        <v>201706203168</v>
      </c>
      <c r="H651" t="str">
        <f>"CEDAR CREEK PARK PAV/MTHLY SRV"</f>
        <v>CEDAR CREEK PARK PAV/MTHLY SRV</v>
      </c>
      <c r="I651" s="2">
        <v>374.7</v>
      </c>
      <c r="J651" t="str">
        <f>"CEDAR CREEK PARK PAV/MTHLY SRV"</f>
        <v>CEDAR CREEK PARK PAV/MTHLY SRV</v>
      </c>
    </row>
    <row r="652" spans="1:10" x14ac:dyDescent="0.3">
      <c r="A652" t="str">
        <f>""</f>
        <v/>
      </c>
      <c r="F652" t="s">
        <v>10</v>
      </c>
      <c r="G652" t="str">
        <f>"201706203171"</f>
        <v>201706203171</v>
      </c>
      <c r="H652" t="str">
        <f>"CUST#28789/192 FOHN RD"</f>
        <v>CUST#28789/192 FOHN RD</v>
      </c>
      <c r="I652" s="2">
        <v>41.23</v>
      </c>
      <c r="J652" t="str">
        <f>"CUST#28789/192 FOHN RD"</f>
        <v>CUST#28789/192 FOHN RD</v>
      </c>
    </row>
    <row r="653" spans="1:10" x14ac:dyDescent="0.3">
      <c r="A653" t="str">
        <f>"004885"</f>
        <v>004885</v>
      </c>
      <c r="B653" t="s">
        <v>186</v>
      </c>
      <c r="C653">
        <v>71187</v>
      </c>
      <c r="D653" s="2">
        <v>19.97</v>
      </c>
      <c r="E653" s="1">
        <v>42912</v>
      </c>
      <c r="F653" t="s">
        <v>10</v>
      </c>
      <c r="G653" t="str">
        <f>"201706193145"</f>
        <v>201706193145</v>
      </c>
      <c r="H653" t="str">
        <f>"REIMB-CASE ORGANIZER"</f>
        <v>REIMB-CASE ORGANIZER</v>
      </c>
      <c r="I653" s="2">
        <v>19.97</v>
      </c>
      <c r="J653" t="str">
        <f>"REIMB-CASE ORGANIZER"</f>
        <v>REIMB-CASE ORGANIZER</v>
      </c>
    </row>
    <row r="654" spans="1:10" x14ac:dyDescent="0.3">
      <c r="A654" t="str">
        <f>"T9323"</f>
        <v>T9323</v>
      </c>
      <c r="B654" t="s">
        <v>187</v>
      </c>
      <c r="C654">
        <v>70818</v>
      </c>
      <c r="D654" s="2">
        <v>7450</v>
      </c>
      <c r="E654" s="1">
        <v>42898</v>
      </c>
      <c r="F654" t="s">
        <v>10</v>
      </c>
      <c r="G654" t="str">
        <f>"201706012484"</f>
        <v>201706012484</v>
      </c>
      <c r="H654" t="str">
        <f>"AC-2017-0430A"</f>
        <v>AC-2017-0430A</v>
      </c>
      <c r="I654" s="2">
        <v>250</v>
      </c>
      <c r="J654" t="str">
        <f>"AC-2017-0430A"</f>
        <v>AC-2017-0430A</v>
      </c>
    </row>
    <row r="655" spans="1:10" x14ac:dyDescent="0.3">
      <c r="A655" t="str">
        <f>""</f>
        <v/>
      </c>
      <c r="F655" t="s">
        <v>10</v>
      </c>
      <c r="G655" t="str">
        <f>"201706012485"</f>
        <v>201706012485</v>
      </c>
      <c r="H655" t="str">
        <f>"4032379"</f>
        <v>4032379</v>
      </c>
      <c r="I655" s="2">
        <v>400</v>
      </c>
      <c r="J655" t="str">
        <f>"4032379"</f>
        <v>4032379</v>
      </c>
    </row>
    <row r="656" spans="1:10" x14ac:dyDescent="0.3">
      <c r="A656" t="str">
        <f>""</f>
        <v/>
      </c>
      <c r="F656" t="s">
        <v>10</v>
      </c>
      <c r="G656" t="str">
        <f>"201706012486"</f>
        <v>201706012486</v>
      </c>
      <c r="H656" t="str">
        <f>"AC-2017-0430"</f>
        <v>AC-2017-0430</v>
      </c>
      <c r="I656" s="2">
        <v>400</v>
      </c>
      <c r="J656" t="str">
        <f>"AC-2017-0430"</f>
        <v>AC-2017-0430</v>
      </c>
    </row>
    <row r="657" spans="1:10" x14ac:dyDescent="0.3">
      <c r="A657" t="str">
        <f>""</f>
        <v/>
      </c>
      <c r="F657" t="s">
        <v>10</v>
      </c>
      <c r="G657" t="str">
        <f>"201706012487"</f>
        <v>201706012487</v>
      </c>
      <c r="H657" t="str">
        <f>"423-767"</f>
        <v>423-767</v>
      </c>
      <c r="I657" s="2">
        <v>120</v>
      </c>
      <c r="J657" t="str">
        <f>"423-767"</f>
        <v>423-767</v>
      </c>
    </row>
    <row r="658" spans="1:10" x14ac:dyDescent="0.3">
      <c r="A658" t="str">
        <f>""</f>
        <v/>
      </c>
      <c r="F658" t="s">
        <v>10</v>
      </c>
      <c r="G658" t="str">
        <f>"201706012488"</f>
        <v>201706012488</v>
      </c>
      <c r="H658" t="str">
        <f>"301012017B"</f>
        <v>301012017B</v>
      </c>
      <c r="I658" s="2">
        <v>400</v>
      </c>
      <c r="J658" t="str">
        <f>"301012017B"</f>
        <v>301012017B</v>
      </c>
    </row>
    <row r="659" spans="1:10" x14ac:dyDescent="0.3">
      <c r="A659" t="str">
        <f>""</f>
        <v/>
      </c>
      <c r="F659" t="s">
        <v>10</v>
      </c>
      <c r="G659" t="str">
        <f>"201706012489"</f>
        <v>201706012489</v>
      </c>
      <c r="H659" t="str">
        <f>"16187"</f>
        <v>16187</v>
      </c>
      <c r="I659" s="2">
        <v>400</v>
      </c>
      <c r="J659" t="str">
        <f>"16187"</f>
        <v>16187</v>
      </c>
    </row>
    <row r="660" spans="1:10" x14ac:dyDescent="0.3">
      <c r="A660" t="str">
        <f>""</f>
        <v/>
      </c>
      <c r="F660" t="s">
        <v>10</v>
      </c>
      <c r="G660" t="str">
        <f>"201706012490"</f>
        <v>201706012490</v>
      </c>
      <c r="H660" t="str">
        <f>"410255-IM"</f>
        <v>410255-IM</v>
      </c>
      <c r="I660" s="2">
        <v>400</v>
      </c>
      <c r="J660" t="str">
        <f>"410255-IM"</f>
        <v>410255-IM</v>
      </c>
    </row>
    <row r="661" spans="1:10" x14ac:dyDescent="0.3">
      <c r="A661" t="str">
        <f>""</f>
        <v/>
      </c>
      <c r="F661" t="s">
        <v>10</v>
      </c>
      <c r="G661" t="str">
        <f>"201706012491"</f>
        <v>201706012491</v>
      </c>
      <c r="H661" t="str">
        <f>"DCPC-17-015"</f>
        <v>DCPC-17-015</v>
      </c>
      <c r="I661" s="2">
        <v>100</v>
      </c>
      <c r="J661" t="str">
        <f>"DCPC-17-015"</f>
        <v>DCPC-17-015</v>
      </c>
    </row>
    <row r="662" spans="1:10" x14ac:dyDescent="0.3">
      <c r="A662" t="str">
        <f>""</f>
        <v/>
      </c>
      <c r="F662" t="s">
        <v>10</v>
      </c>
      <c r="G662" t="str">
        <f>"201706012492"</f>
        <v>201706012492</v>
      </c>
      <c r="H662" t="str">
        <f>"CH-20150321-13"</f>
        <v>CH-20150321-13</v>
      </c>
      <c r="I662" s="2">
        <v>400</v>
      </c>
      <c r="J662" t="str">
        <f>"CH-20150321-13"</f>
        <v>CH-20150321-13</v>
      </c>
    </row>
    <row r="663" spans="1:10" x14ac:dyDescent="0.3">
      <c r="A663" t="str">
        <f>""</f>
        <v/>
      </c>
      <c r="F663" t="s">
        <v>10</v>
      </c>
      <c r="G663" t="str">
        <f>"201706012493"</f>
        <v>201706012493</v>
      </c>
      <c r="H663" t="str">
        <f>"16253  17-5-00960"</f>
        <v>16253  17-5-00960</v>
      </c>
      <c r="I663" s="2">
        <v>600</v>
      </c>
      <c r="J663" t="str">
        <f>"16253  17-5-00960"</f>
        <v>16253  17-5-00960</v>
      </c>
    </row>
    <row r="664" spans="1:10" x14ac:dyDescent="0.3">
      <c r="A664" t="str">
        <f>""</f>
        <v/>
      </c>
      <c r="F664" t="s">
        <v>10</v>
      </c>
      <c r="G664" t="str">
        <f>"201706012494"</f>
        <v>201706012494</v>
      </c>
      <c r="H664" t="str">
        <f>"DCPC-17-018"</f>
        <v>DCPC-17-018</v>
      </c>
      <c r="I664" s="2">
        <v>100</v>
      </c>
      <c r="J664" t="str">
        <f>"DCPC-17-018"</f>
        <v>DCPC-17-018</v>
      </c>
    </row>
    <row r="665" spans="1:10" x14ac:dyDescent="0.3">
      <c r="A665" t="str">
        <f>""</f>
        <v/>
      </c>
      <c r="F665" t="s">
        <v>10</v>
      </c>
      <c r="G665" t="str">
        <f>"201706012495"</f>
        <v>201706012495</v>
      </c>
      <c r="H665" t="str">
        <f>"55091"</f>
        <v>55091</v>
      </c>
      <c r="I665" s="2">
        <v>250</v>
      </c>
      <c r="J665" t="str">
        <f>"55091"</f>
        <v>55091</v>
      </c>
    </row>
    <row r="666" spans="1:10" x14ac:dyDescent="0.3">
      <c r="A666" t="str">
        <f>""</f>
        <v/>
      </c>
      <c r="F666" t="s">
        <v>10</v>
      </c>
      <c r="G666" t="str">
        <f>"201706012496"</f>
        <v>201706012496</v>
      </c>
      <c r="H666" t="str">
        <f>"55182"</f>
        <v>55182</v>
      </c>
      <c r="I666" s="2">
        <v>250</v>
      </c>
      <c r="J666" t="str">
        <f>"55182"</f>
        <v>55182</v>
      </c>
    </row>
    <row r="667" spans="1:10" x14ac:dyDescent="0.3">
      <c r="A667" t="str">
        <f>""</f>
        <v/>
      </c>
      <c r="F667" t="s">
        <v>10</v>
      </c>
      <c r="G667" t="str">
        <f>"201706012497"</f>
        <v>201706012497</v>
      </c>
      <c r="H667" t="str">
        <f>"55184"</f>
        <v>55184</v>
      </c>
      <c r="I667" s="2">
        <v>250</v>
      </c>
      <c r="J667" t="str">
        <f>"55184"</f>
        <v>55184</v>
      </c>
    </row>
    <row r="668" spans="1:10" x14ac:dyDescent="0.3">
      <c r="A668" t="str">
        <f>""</f>
        <v/>
      </c>
      <c r="F668" t="s">
        <v>10</v>
      </c>
      <c r="G668" t="str">
        <f>"201706012498"</f>
        <v>201706012498</v>
      </c>
      <c r="H668" t="str">
        <f>"CH-20161028-B"</f>
        <v>CH-20161028-B</v>
      </c>
      <c r="I668" s="2">
        <v>150</v>
      </c>
      <c r="J668" t="str">
        <f>"CH-20161028-B"</f>
        <v>CH-20161028-B</v>
      </c>
    </row>
    <row r="669" spans="1:10" x14ac:dyDescent="0.3">
      <c r="A669" t="str">
        <f>""</f>
        <v/>
      </c>
      <c r="F669" t="s">
        <v>10</v>
      </c>
      <c r="G669" t="str">
        <f>"201706012500"</f>
        <v>201706012500</v>
      </c>
      <c r="H669" t="str">
        <f>"55174"</f>
        <v>55174</v>
      </c>
      <c r="I669" s="2">
        <v>250</v>
      </c>
      <c r="J669" t="str">
        <f>"55174"</f>
        <v>55174</v>
      </c>
    </row>
    <row r="670" spans="1:10" x14ac:dyDescent="0.3">
      <c r="A670" t="str">
        <f>""</f>
        <v/>
      </c>
      <c r="F670" t="s">
        <v>10</v>
      </c>
      <c r="G670" t="str">
        <f>"201706012501"</f>
        <v>201706012501</v>
      </c>
      <c r="H670" t="str">
        <f>"54683  404197-2"</f>
        <v>54683  404197-2</v>
      </c>
      <c r="I670" s="2">
        <v>375</v>
      </c>
      <c r="J670" t="str">
        <f>"54683  404197-2"</f>
        <v>54683  404197-2</v>
      </c>
    </row>
    <row r="671" spans="1:10" x14ac:dyDescent="0.3">
      <c r="A671" t="str">
        <f>""</f>
        <v/>
      </c>
      <c r="F671" t="s">
        <v>10</v>
      </c>
      <c r="G671" t="str">
        <f>"201706052659"</f>
        <v>201706052659</v>
      </c>
      <c r="H671" t="str">
        <f>"AC20170316W"</f>
        <v>AC20170316W</v>
      </c>
      <c r="I671" s="2">
        <v>400</v>
      </c>
      <c r="J671" t="str">
        <f>"AC20170316W"</f>
        <v>AC20170316W</v>
      </c>
    </row>
    <row r="672" spans="1:10" x14ac:dyDescent="0.3">
      <c r="A672" t="str">
        <f>""</f>
        <v/>
      </c>
      <c r="F672" t="s">
        <v>10</v>
      </c>
      <c r="G672" t="str">
        <f>"201706072865"</f>
        <v>201706072865</v>
      </c>
      <c r="H672" t="str">
        <f>"C16-0113"</f>
        <v>C16-0113</v>
      </c>
      <c r="I672" s="2">
        <v>250</v>
      </c>
      <c r="J672" t="str">
        <f>"C16-0113"</f>
        <v>C16-0113</v>
      </c>
    </row>
    <row r="673" spans="1:10" x14ac:dyDescent="0.3">
      <c r="A673" t="str">
        <f>""</f>
        <v/>
      </c>
      <c r="F673" t="s">
        <v>10</v>
      </c>
      <c r="G673" t="str">
        <f>"201706072866"</f>
        <v>201706072866</v>
      </c>
      <c r="H673" t="str">
        <f>"1718119"</f>
        <v>1718119</v>
      </c>
      <c r="I673" s="2">
        <v>160</v>
      </c>
      <c r="J673" t="str">
        <f>"1718119"</f>
        <v>1718119</v>
      </c>
    </row>
    <row r="674" spans="1:10" x14ac:dyDescent="0.3">
      <c r="A674" t="str">
        <f>""</f>
        <v/>
      </c>
      <c r="F674" t="s">
        <v>10</v>
      </c>
      <c r="G674" t="str">
        <f>"201706072868"</f>
        <v>201706072868</v>
      </c>
      <c r="H674" t="str">
        <f>"11-14818"</f>
        <v>11-14818</v>
      </c>
      <c r="I674" s="2">
        <v>100</v>
      </c>
      <c r="J674" t="str">
        <f>"11-14818"</f>
        <v>11-14818</v>
      </c>
    </row>
    <row r="675" spans="1:10" x14ac:dyDescent="0.3">
      <c r="A675" t="str">
        <f>""</f>
        <v/>
      </c>
      <c r="F675" t="s">
        <v>10</v>
      </c>
      <c r="G675" t="str">
        <f>"201706072869"</f>
        <v>201706072869</v>
      </c>
      <c r="H675" t="str">
        <f>"20170112A/20170112"</f>
        <v>20170112A/20170112</v>
      </c>
      <c r="I675" s="2">
        <v>375</v>
      </c>
      <c r="J675" t="str">
        <f>"20170112A/20170112"</f>
        <v>20170112A/20170112</v>
      </c>
    </row>
    <row r="676" spans="1:10" x14ac:dyDescent="0.3">
      <c r="A676" t="str">
        <f>""</f>
        <v/>
      </c>
      <c r="F676" t="s">
        <v>10</v>
      </c>
      <c r="G676" t="str">
        <f>"201706072870"</f>
        <v>201706072870</v>
      </c>
      <c r="H676" t="str">
        <f>"301012017A"</f>
        <v>301012017A</v>
      </c>
      <c r="I676" s="2">
        <v>250</v>
      </c>
      <c r="J676" t="str">
        <f>"301012017A"</f>
        <v>301012017A</v>
      </c>
    </row>
    <row r="677" spans="1:10" x14ac:dyDescent="0.3">
      <c r="A677" t="str">
        <f>""</f>
        <v/>
      </c>
      <c r="F677" t="s">
        <v>10</v>
      </c>
      <c r="G677" t="str">
        <f>"201706072872"</f>
        <v>201706072872</v>
      </c>
      <c r="H677" t="str">
        <f>"17-18119"</f>
        <v>17-18119</v>
      </c>
      <c r="I677" s="2">
        <v>180</v>
      </c>
      <c r="J677" t="str">
        <f>"17-18119"</f>
        <v>17-18119</v>
      </c>
    </row>
    <row r="678" spans="1:10" x14ac:dyDescent="0.3">
      <c r="A678" t="str">
        <f>""</f>
        <v/>
      </c>
      <c r="F678" t="s">
        <v>10</v>
      </c>
      <c r="G678" t="str">
        <f>"201706072873"</f>
        <v>201706072873</v>
      </c>
      <c r="H678" t="str">
        <f>"16-17909"</f>
        <v>16-17909</v>
      </c>
      <c r="I678" s="2">
        <v>180</v>
      </c>
      <c r="J678" t="str">
        <f>"16-17909"</f>
        <v>16-17909</v>
      </c>
    </row>
    <row r="679" spans="1:10" x14ac:dyDescent="0.3">
      <c r="A679" t="str">
        <f>""</f>
        <v/>
      </c>
      <c r="F679" t="s">
        <v>10</v>
      </c>
      <c r="G679" t="str">
        <f>"201706072875"</f>
        <v>201706072875</v>
      </c>
      <c r="H679" t="str">
        <f>"16-17910"</f>
        <v>16-17910</v>
      </c>
      <c r="I679" s="2">
        <v>260</v>
      </c>
      <c r="J679" t="str">
        <f>"16-17910"</f>
        <v>16-17910</v>
      </c>
    </row>
    <row r="680" spans="1:10" x14ac:dyDescent="0.3">
      <c r="A680" t="str">
        <f>""</f>
        <v/>
      </c>
      <c r="F680" t="s">
        <v>10</v>
      </c>
      <c r="G680" t="str">
        <f>"201706072876"</f>
        <v>201706072876</v>
      </c>
      <c r="H680" t="str">
        <f>"17-18317"</f>
        <v>17-18317</v>
      </c>
      <c r="I680" s="2">
        <v>200</v>
      </c>
      <c r="J680" t="str">
        <f>"17-18317"</f>
        <v>17-18317</v>
      </c>
    </row>
    <row r="681" spans="1:10" x14ac:dyDescent="0.3">
      <c r="A681" t="str">
        <f>"T9323"</f>
        <v>T9323</v>
      </c>
      <c r="B681" t="s">
        <v>187</v>
      </c>
      <c r="C681">
        <v>71188</v>
      </c>
      <c r="D681" s="2">
        <v>7075</v>
      </c>
      <c r="E681" s="1">
        <v>42912</v>
      </c>
      <c r="F681" t="s">
        <v>10</v>
      </c>
      <c r="G681" t="str">
        <f>"201706143072"</f>
        <v>201706143072</v>
      </c>
      <c r="H681" t="str">
        <f>"16142"</f>
        <v>16142</v>
      </c>
      <c r="I681" s="2">
        <v>400</v>
      </c>
      <c r="J681" t="str">
        <f>"16142"</f>
        <v>16142</v>
      </c>
    </row>
    <row r="682" spans="1:10" x14ac:dyDescent="0.3">
      <c r="A682" t="str">
        <f>""</f>
        <v/>
      </c>
      <c r="F682" t="s">
        <v>10</v>
      </c>
      <c r="G682" t="str">
        <f>"201706143073"</f>
        <v>201706143073</v>
      </c>
      <c r="H682" t="str">
        <f>"13674"</f>
        <v>13674</v>
      </c>
      <c r="I682" s="2">
        <v>1200</v>
      </c>
      <c r="J682" t="str">
        <f>"13674"</f>
        <v>13674</v>
      </c>
    </row>
    <row r="683" spans="1:10" x14ac:dyDescent="0.3">
      <c r="A683" t="str">
        <f>""</f>
        <v/>
      </c>
      <c r="F683" t="s">
        <v>10</v>
      </c>
      <c r="G683" t="str">
        <f>"201706143074"</f>
        <v>201706143074</v>
      </c>
      <c r="H683" t="str">
        <f>"16169"</f>
        <v>16169</v>
      </c>
      <c r="I683" s="2">
        <v>400</v>
      </c>
      <c r="J683" t="str">
        <f>"16169"</f>
        <v>16169</v>
      </c>
    </row>
    <row r="684" spans="1:10" x14ac:dyDescent="0.3">
      <c r="A684" t="str">
        <f>""</f>
        <v/>
      </c>
      <c r="F684" t="s">
        <v>10</v>
      </c>
      <c r="G684" t="str">
        <f>"201706143087"</f>
        <v>201706143087</v>
      </c>
      <c r="H684" t="str">
        <f>"54969"</f>
        <v>54969</v>
      </c>
      <c r="I684" s="2">
        <v>250</v>
      </c>
      <c r="J684" t="str">
        <f>"54969"</f>
        <v>54969</v>
      </c>
    </row>
    <row r="685" spans="1:10" x14ac:dyDescent="0.3">
      <c r="A685" t="str">
        <f>""</f>
        <v/>
      </c>
      <c r="F685" t="s">
        <v>10</v>
      </c>
      <c r="G685" t="str">
        <f>"201706143088"</f>
        <v>201706143088</v>
      </c>
      <c r="H685" t="str">
        <f>"20170173B"</f>
        <v>20170173B</v>
      </c>
      <c r="I685" s="2">
        <v>250</v>
      </c>
      <c r="J685" t="str">
        <f>"20170173B"</f>
        <v>20170173B</v>
      </c>
    </row>
    <row r="686" spans="1:10" x14ac:dyDescent="0.3">
      <c r="A686" t="str">
        <f>""</f>
        <v/>
      </c>
      <c r="F686" t="s">
        <v>10</v>
      </c>
      <c r="G686" t="str">
        <f>"201706143089"</f>
        <v>201706143089</v>
      </c>
      <c r="H686" t="str">
        <f>"55224"</f>
        <v>55224</v>
      </c>
      <c r="I686" s="2">
        <v>250</v>
      </c>
      <c r="J686" t="str">
        <f>"55224"</f>
        <v>55224</v>
      </c>
    </row>
    <row r="687" spans="1:10" x14ac:dyDescent="0.3">
      <c r="A687" t="str">
        <f>""</f>
        <v/>
      </c>
      <c r="F687" t="s">
        <v>10</v>
      </c>
      <c r="G687" t="str">
        <f>"201706143090"</f>
        <v>201706143090</v>
      </c>
      <c r="H687" t="str">
        <f>"54668/4041771"</f>
        <v>54668/4041771</v>
      </c>
      <c r="I687" s="2">
        <v>375</v>
      </c>
      <c r="J687" t="str">
        <f>"54668/4041771"</f>
        <v>54668/4041771</v>
      </c>
    </row>
    <row r="688" spans="1:10" x14ac:dyDescent="0.3">
      <c r="A688" t="str">
        <f>""</f>
        <v/>
      </c>
      <c r="F688" t="s">
        <v>10</v>
      </c>
      <c r="G688" t="str">
        <f>"201706163109"</f>
        <v>201706163109</v>
      </c>
      <c r="H688" t="str">
        <f>"C16-0122"</f>
        <v>C16-0122</v>
      </c>
      <c r="I688" s="2">
        <v>250</v>
      </c>
      <c r="J688" t="str">
        <f>"C16-0122"</f>
        <v>C16-0122</v>
      </c>
    </row>
    <row r="689" spans="1:10" x14ac:dyDescent="0.3">
      <c r="A689" t="str">
        <f>""</f>
        <v/>
      </c>
      <c r="F689" t="s">
        <v>10</v>
      </c>
      <c r="G689" t="str">
        <f>"201706163110"</f>
        <v>201706163110</v>
      </c>
      <c r="H689" t="str">
        <f>"16178"</f>
        <v>16178</v>
      </c>
      <c r="I689" s="2">
        <v>400</v>
      </c>
      <c r="J689" t="str">
        <f>"16178"</f>
        <v>16178</v>
      </c>
    </row>
    <row r="690" spans="1:10" x14ac:dyDescent="0.3">
      <c r="A690" t="str">
        <f>""</f>
        <v/>
      </c>
      <c r="F690" t="s">
        <v>10</v>
      </c>
      <c r="G690" t="str">
        <f>"201706163111"</f>
        <v>201706163111</v>
      </c>
      <c r="H690" t="str">
        <f>"16254"</f>
        <v>16254</v>
      </c>
      <c r="I690" s="2">
        <v>400</v>
      </c>
      <c r="J690" t="str">
        <f>"16254"</f>
        <v>16254</v>
      </c>
    </row>
    <row r="691" spans="1:10" x14ac:dyDescent="0.3">
      <c r="A691" t="str">
        <f>""</f>
        <v/>
      </c>
      <c r="F691" t="s">
        <v>10</v>
      </c>
      <c r="G691" t="str">
        <f>"201706163112"</f>
        <v>201706163112</v>
      </c>
      <c r="H691" t="str">
        <f>"16229/16230"</f>
        <v>16229/16230</v>
      </c>
      <c r="I691" s="2">
        <v>600</v>
      </c>
      <c r="J691" t="str">
        <f>"16229/16230"</f>
        <v>16229/16230</v>
      </c>
    </row>
    <row r="692" spans="1:10" x14ac:dyDescent="0.3">
      <c r="A692" t="str">
        <f>""</f>
        <v/>
      </c>
      <c r="F692" t="s">
        <v>10</v>
      </c>
      <c r="G692" t="str">
        <f>"201706163113"</f>
        <v>201706163113</v>
      </c>
      <c r="H692" t="str">
        <f>"16207/405236-2/405236-3"</f>
        <v>16207/405236-2/405236-3</v>
      </c>
      <c r="I692" s="2">
        <v>800</v>
      </c>
      <c r="J692" t="str">
        <f>"16207/405236-2/405236-3"</f>
        <v>16207/405236-2/405236-3</v>
      </c>
    </row>
    <row r="693" spans="1:10" x14ac:dyDescent="0.3">
      <c r="A693" t="str">
        <f>""</f>
        <v/>
      </c>
      <c r="F693" t="s">
        <v>10</v>
      </c>
      <c r="G693" t="str">
        <f>"201706163114"</f>
        <v>201706163114</v>
      </c>
      <c r="H693" t="str">
        <f>"16212-CT1 &amp; CT2/16213/16269"</f>
        <v>16212-CT1 &amp; CT2/16213/16269</v>
      </c>
      <c r="I693" s="2">
        <v>1000</v>
      </c>
      <c r="J693" t="str">
        <f>"16212-CT1 &amp; CT2/16213/16269"</f>
        <v>16212-CT1 &amp; CT2/16213/16269</v>
      </c>
    </row>
    <row r="694" spans="1:10" x14ac:dyDescent="0.3">
      <c r="A694" t="str">
        <f>""</f>
        <v/>
      </c>
      <c r="F694" t="s">
        <v>10</v>
      </c>
      <c r="G694" t="str">
        <f>"201706213190"</f>
        <v>201706213190</v>
      </c>
      <c r="H694" t="str">
        <f>"405236-4/405236-5/405236-6"</f>
        <v>405236-4/405236-5/405236-6</v>
      </c>
      <c r="I694" s="2">
        <v>500</v>
      </c>
      <c r="J694" t="str">
        <f>"405236-4/405236-5/405236-6"</f>
        <v>405236-4/405236-5/405236-6</v>
      </c>
    </row>
    <row r="695" spans="1:10" x14ac:dyDescent="0.3">
      <c r="A695" t="str">
        <f>"T6363"</f>
        <v>T6363</v>
      </c>
      <c r="B695" t="s">
        <v>188</v>
      </c>
      <c r="C695">
        <v>71189</v>
      </c>
      <c r="D695" s="2">
        <v>98</v>
      </c>
      <c r="E695" s="1">
        <v>42912</v>
      </c>
      <c r="F695" t="s">
        <v>10</v>
      </c>
      <c r="G695" t="str">
        <f>"13232"</f>
        <v>13232</v>
      </c>
      <c r="H695" t="str">
        <f>"911 RELIEF FIRST AID SPRAY"</f>
        <v>911 RELIEF FIRST AID SPRAY</v>
      </c>
      <c r="I695" s="2">
        <v>98</v>
      </c>
      <c r="J695" t="str">
        <f>"911 RELIEF FIRST AID SPRAY"</f>
        <v>911 RELIEF FIRST AID SPRAY</v>
      </c>
    </row>
    <row r="696" spans="1:10" x14ac:dyDescent="0.3">
      <c r="A696" t="str">
        <f>"005113"</f>
        <v>005113</v>
      </c>
      <c r="B696" t="s">
        <v>189</v>
      </c>
      <c r="C696">
        <v>70819</v>
      </c>
      <c r="D696" s="2">
        <v>35</v>
      </c>
      <c r="E696" s="1">
        <v>42898</v>
      </c>
      <c r="F696" t="s">
        <v>10</v>
      </c>
      <c r="G696" t="str">
        <f>"201706072986"</f>
        <v>201706072986</v>
      </c>
      <c r="H696" t="str">
        <f>"FERAL HOGS"</f>
        <v>FERAL HOGS</v>
      </c>
      <c r="I696" s="2">
        <v>35</v>
      </c>
      <c r="J696" t="str">
        <f>"FERAL HOGS"</f>
        <v>FERAL HOGS</v>
      </c>
    </row>
    <row r="697" spans="1:10" x14ac:dyDescent="0.3">
      <c r="A697" t="str">
        <f>"ECOLAB"</f>
        <v>ECOLAB</v>
      </c>
      <c r="B697" t="s">
        <v>190</v>
      </c>
      <c r="C697">
        <v>70820</v>
      </c>
      <c r="D697" s="2">
        <v>2026.13</v>
      </c>
      <c r="E697" s="1">
        <v>42898</v>
      </c>
      <c r="F697" t="s">
        <v>10</v>
      </c>
      <c r="G697" t="str">
        <f>"5649764"</f>
        <v>5649764</v>
      </c>
      <c r="H697" t="str">
        <f>"LAUNDRY SUPPLIES"</f>
        <v>LAUNDRY SUPPLIES</v>
      </c>
      <c r="I697" s="2">
        <v>1084.3699999999999</v>
      </c>
      <c r="J697" t="str">
        <f>"LAUNDRY SUPPLIES"</f>
        <v>LAUNDRY SUPPLIES</v>
      </c>
    </row>
    <row r="698" spans="1:10" x14ac:dyDescent="0.3">
      <c r="A698" t="str">
        <f>""</f>
        <v/>
      </c>
      <c r="G698" t="str">
        <f>""</f>
        <v/>
      </c>
      <c r="H698" t="str">
        <f>""</f>
        <v/>
      </c>
      <c r="J698" t="str">
        <f>"LAUNDRY SUPPLIES"</f>
        <v>LAUNDRY SUPPLIES</v>
      </c>
    </row>
    <row r="699" spans="1:10" x14ac:dyDescent="0.3">
      <c r="A699" t="str">
        <f>""</f>
        <v/>
      </c>
      <c r="F699" t="s">
        <v>10</v>
      </c>
      <c r="G699" t="str">
        <f>"5742760"</f>
        <v>5742760</v>
      </c>
      <c r="H699" t="str">
        <f>"INV5742760 PANTASTIC"</f>
        <v>INV5742760 PANTASTIC</v>
      </c>
      <c r="I699" s="2">
        <v>941.76</v>
      </c>
      <c r="J699" t="str">
        <f>"INV5742760 PANTASTIC"</f>
        <v>INV5742760 PANTASTIC</v>
      </c>
    </row>
    <row r="700" spans="1:10" x14ac:dyDescent="0.3">
      <c r="A700" t="str">
        <f>""</f>
        <v/>
      </c>
      <c r="G700" t="str">
        <f>""</f>
        <v/>
      </c>
      <c r="H700" t="str">
        <f>""</f>
        <v/>
      </c>
      <c r="J700" t="str">
        <f>"INV5742760 PANTASTIC"</f>
        <v>INV5742760 PANTASTIC</v>
      </c>
    </row>
    <row r="701" spans="1:10" x14ac:dyDescent="0.3">
      <c r="A701" t="str">
        <f>"005118"</f>
        <v>005118</v>
      </c>
      <c r="B701" t="s">
        <v>191</v>
      </c>
      <c r="C701">
        <v>71190</v>
      </c>
      <c r="D701" s="2">
        <v>949</v>
      </c>
      <c r="E701" s="1">
        <v>42912</v>
      </c>
      <c r="F701" t="s">
        <v>10</v>
      </c>
      <c r="G701" t="str">
        <f>"7157"</f>
        <v>7157</v>
      </c>
      <c r="H701" t="str">
        <f>"Asset Seminar"</f>
        <v>Asset Seminar</v>
      </c>
      <c r="I701" s="2">
        <v>949</v>
      </c>
      <c r="J701" t="str">
        <f>"Asset Seminar"</f>
        <v>Asset Seminar</v>
      </c>
    </row>
    <row r="702" spans="1:10" x14ac:dyDescent="0.3">
      <c r="A702" t="str">
        <f>"T6190"</f>
        <v>T6190</v>
      </c>
      <c r="B702" t="s">
        <v>192</v>
      </c>
      <c r="C702">
        <v>70821</v>
      </c>
      <c r="D702" s="2">
        <v>4665.7700000000004</v>
      </c>
      <c r="E702" s="1">
        <v>42898</v>
      </c>
      <c r="F702" t="s">
        <v>10</v>
      </c>
      <c r="G702" t="str">
        <f>"1008427"</f>
        <v>1008427</v>
      </c>
      <c r="H702" t="str">
        <f>"ACCT B06875/ELECTIONS"</f>
        <v>ACCT B06875/ELECTIONS</v>
      </c>
      <c r="I702" s="2">
        <v>247.99</v>
      </c>
      <c r="J702" t="str">
        <f>"ACCT B06875/ELECTIONS"</f>
        <v>ACCT B06875/ELECTIONS</v>
      </c>
    </row>
    <row r="703" spans="1:10" x14ac:dyDescent="0.3">
      <c r="A703" t="str">
        <f>""</f>
        <v/>
      </c>
      <c r="F703" t="s">
        <v>10</v>
      </c>
      <c r="G703" t="str">
        <f>"1009197"</f>
        <v>1009197</v>
      </c>
      <c r="H703" t="str">
        <f>"ELECTION SUPPLIES"</f>
        <v>ELECTION SUPPLIES</v>
      </c>
      <c r="I703" s="2">
        <v>1599.64</v>
      </c>
      <c r="J703" t="str">
        <f>"ELECTION SUPPLIES"</f>
        <v>ELECTION SUPPLIES</v>
      </c>
    </row>
    <row r="704" spans="1:10" x14ac:dyDescent="0.3">
      <c r="A704" t="str">
        <f>""</f>
        <v/>
      </c>
      <c r="F704" t="s">
        <v>10</v>
      </c>
      <c r="G704" t="str">
        <f>"1009695"</f>
        <v>1009695</v>
      </c>
      <c r="H704" t="str">
        <f>"ELECTION SVCS"</f>
        <v>ELECTION SVCS</v>
      </c>
      <c r="I704" s="2">
        <v>1561.51</v>
      </c>
      <c r="J704" t="str">
        <f>"ELECTION SVCS"</f>
        <v>ELECTION SVCS</v>
      </c>
    </row>
    <row r="705" spans="1:10" x14ac:dyDescent="0.3">
      <c r="A705" t="str">
        <f>""</f>
        <v/>
      </c>
      <c r="F705" t="s">
        <v>10</v>
      </c>
      <c r="G705" t="str">
        <f>"1009733"</f>
        <v>1009733</v>
      </c>
      <c r="H705" t="str">
        <f>"ELECTION SVCS"</f>
        <v>ELECTION SVCS</v>
      </c>
      <c r="I705" s="2">
        <v>15.75</v>
      </c>
      <c r="J705" t="str">
        <f>"ELECTION SVCS"</f>
        <v>ELECTION SVCS</v>
      </c>
    </row>
    <row r="706" spans="1:10" x14ac:dyDescent="0.3">
      <c r="A706" t="str">
        <f>""</f>
        <v/>
      </c>
      <c r="F706" t="s">
        <v>10</v>
      </c>
      <c r="G706" t="str">
        <f>"1009916"</f>
        <v>1009916</v>
      </c>
      <c r="H706" t="str">
        <f>"ACCT#B06875/ELECTIONS"</f>
        <v>ACCT#B06875/ELECTIONS</v>
      </c>
      <c r="I706" s="2">
        <v>1240.8800000000001</v>
      </c>
      <c r="J706" t="str">
        <f>"ACCT#B06875/ELECTIONS"</f>
        <v>ACCT#B06875/ELECTIONS</v>
      </c>
    </row>
    <row r="707" spans="1:10" x14ac:dyDescent="0.3">
      <c r="A707" t="str">
        <f>"T6190"</f>
        <v>T6190</v>
      </c>
      <c r="B707" t="s">
        <v>192</v>
      </c>
      <c r="C707">
        <v>71191</v>
      </c>
      <c r="D707" s="2">
        <v>3886.18</v>
      </c>
      <c r="E707" s="1">
        <v>42912</v>
      </c>
      <c r="F707" t="s">
        <v>10</v>
      </c>
      <c r="G707" t="str">
        <f>"1010196"</f>
        <v>1010196</v>
      </c>
      <c r="H707" t="str">
        <f>"ACCT#B06875/ELECTIONS"</f>
        <v>ACCT#B06875/ELECTIONS</v>
      </c>
      <c r="I707" s="2">
        <v>1250</v>
      </c>
      <c r="J707" t="str">
        <f>"ACCT#B06875/ELECTIONS"</f>
        <v>ACCT#B06875/ELECTIONS</v>
      </c>
    </row>
    <row r="708" spans="1:10" x14ac:dyDescent="0.3">
      <c r="A708" t="str">
        <f>""</f>
        <v/>
      </c>
      <c r="F708" t="s">
        <v>10</v>
      </c>
      <c r="G708" t="str">
        <f>"1010743"</f>
        <v>1010743</v>
      </c>
      <c r="H708" t="str">
        <f>"ACCT#B06875/SUPPLIES"</f>
        <v>ACCT#B06875/SUPPLIES</v>
      </c>
      <c r="I708" s="2">
        <v>1908.97</v>
      </c>
      <c r="J708" t="str">
        <f>"ACCT#B06875/SUPPLIES"</f>
        <v>ACCT#B06875/SUPPLIES</v>
      </c>
    </row>
    <row r="709" spans="1:10" x14ac:dyDescent="0.3">
      <c r="A709" t="str">
        <f>""</f>
        <v/>
      </c>
      <c r="F709" t="s">
        <v>10</v>
      </c>
      <c r="G709" t="str">
        <f>"1011236"</f>
        <v>1011236</v>
      </c>
      <c r="H709" t="str">
        <f>"ACCT#B06875/ELEC DAY BALLOTS"</f>
        <v>ACCT#B06875/ELEC DAY BALLOTS</v>
      </c>
      <c r="I709" s="2">
        <v>342.46</v>
      </c>
      <c r="J709" t="str">
        <f>"ACCT#B06875/ELEC DAY BALLOTS"</f>
        <v>ACCT#B06875/ELEC DAY BALLOTS</v>
      </c>
    </row>
    <row r="710" spans="1:10" x14ac:dyDescent="0.3">
      <c r="A710" t="str">
        <f>""</f>
        <v/>
      </c>
      <c r="F710" t="s">
        <v>10</v>
      </c>
      <c r="G710" t="str">
        <f>"1011237"</f>
        <v>1011237</v>
      </c>
      <c r="H710" t="str">
        <f>"ACCT#B06875/SIGNS/ELEC DEPT"</f>
        <v>ACCT#B06875/SIGNS/ELEC DEPT</v>
      </c>
      <c r="I710" s="2">
        <v>50</v>
      </c>
      <c r="J710" t="str">
        <f>"ACCT#B06875/SIGNS/ELEC DEPT"</f>
        <v>ACCT#B06875/SIGNS/ELEC DEPT</v>
      </c>
    </row>
    <row r="711" spans="1:10" x14ac:dyDescent="0.3">
      <c r="A711" t="str">
        <f>""</f>
        <v/>
      </c>
      <c r="F711" t="s">
        <v>10</v>
      </c>
      <c r="G711" t="str">
        <f>"1011413"</f>
        <v>1011413</v>
      </c>
      <c r="H711" t="str">
        <f>"ACCT#B06875/BALLOTS/ELEC DEPT"</f>
        <v>ACCT#B06875/BALLOTS/ELEC DEPT</v>
      </c>
      <c r="I711" s="2">
        <v>334.75</v>
      </c>
      <c r="J711" t="str">
        <f>"ACCT#B06875/BALLOTS/ELEC DEPT"</f>
        <v>ACCT#B06875/BALLOTS/ELEC DEPT</v>
      </c>
    </row>
    <row r="712" spans="1:10" x14ac:dyDescent="0.3">
      <c r="A712" t="str">
        <f>"EC"</f>
        <v>EC</v>
      </c>
      <c r="B712" t="s">
        <v>193</v>
      </c>
      <c r="C712">
        <v>70822</v>
      </c>
      <c r="D712" s="2">
        <v>68</v>
      </c>
      <c r="E712" s="1">
        <v>42898</v>
      </c>
      <c r="F712" t="s">
        <v>10</v>
      </c>
      <c r="G712" t="str">
        <f>"INV#52421-6257"</f>
        <v>INV#52421-6257</v>
      </c>
      <c r="H712" t="str">
        <f>"Plat Records"</f>
        <v>Plat Records</v>
      </c>
      <c r="I712" s="2">
        <v>68</v>
      </c>
      <c r="J712" t="str">
        <f>"Plat Records"</f>
        <v>Plat Records</v>
      </c>
    </row>
    <row r="713" spans="1:10" x14ac:dyDescent="0.3">
      <c r="A713" t="str">
        <f>"T13343"</f>
        <v>T13343</v>
      </c>
      <c r="B713" t="s">
        <v>194</v>
      </c>
      <c r="C713">
        <v>70823</v>
      </c>
      <c r="D713" s="2">
        <v>526.70000000000005</v>
      </c>
      <c r="E713" s="1">
        <v>42898</v>
      </c>
      <c r="F713" t="s">
        <v>10</v>
      </c>
      <c r="G713" t="str">
        <f>"676247"</f>
        <v>676247</v>
      </c>
      <c r="H713" t="str">
        <f>"STATEMENT NO: 10481 PCT#4"</f>
        <v>STATEMENT NO: 10481 PCT#4</v>
      </c>
      <c r="I713" s="2">
        <v>526.70000000000005</v>
      </c>
      <c r="J713" t="str">
        <f>"STATEMENT NO: 10481 PCT#4"</f>
        <v>STATEMENT NO: 10481 PCT#4</v>
      </c>
    </row>
    <row r="714" spans="1:10" x14ac:dyDescent="0.3">
      <c r="A714" t="str">
        <f>"T6830"</f>
        <v>T6830</v>
      </c>
      <c r="B714" t="s">
        <v>195</v>
      </c>
      <c r="C714">
        <v>71192</v>
      </c>
      <c r="D714" s="2">
        <v>8500</v>
      </c>
      <c r="E714" s="1">
        <v>42912</v>
      </c>
      <c r="F714" t="s">
        <v>10</v>
      </c>
      <c r="G714" t="str">
        <f>"201706163126"</f>
        <v>201706163126</v>
      </c>
      <c r="H714" t="str">
        <f>"PER BUDGET-FY'17"</f>
        <v>PER BUDGET-FY'17</v>
      </c>
      <c r="I714" s="2">
        <v>8500</v>
      </c>
      <c r="J714" t="str">
        <f>"PER BUDGET-FY'17"</f>
        <v>PER BUDGET-FY'17</v>
      </c>
    </row>
    <row r="715" spans="1:10" x14ac:dyDescent="0.3">
      <c r="A715" t="str">
        <f>"002497"</f>
        <v>002497</v>
      </c>
      <c r="B715" t="s">
        <v>196</v>
      </c>
      <c r="C715">
        <v>71193</v>
      </c>
      <c r="D715" s="2">
        <v>41.46</v>
      </c>
      <c r="E715" s="1">
        <v>42912</v>
      </c>
      <c r="F715" t="s">
        <v>10</v>
      </c>
      <c r="G715" t="str">
        <f>"179838"</f>
        <v>179838</v>
      </c>
      <c r="H715" t="str">
        <f>"REIMBURSEMENT"</f>
        <v>REIMBURSEMENT</v>
      </c>
      <c r="I715" s="2">
        <v>41.46</v>
      </c>
      <c r="J715" t="str">
        <f>"REIMBURSEMENT"</f>
        <v>REIMBURSEMENT</v>
      </c>
    </row>
    <row r="716" spans="1:10" x14ac:dyDescent="0.3">
      <c r="A716" t="str">
        <f>"002424"</f>
        <v>002424</v>
      </c>
      <c r="B716" t="s">
        <v>197</v>
      </c>
      <c r="C716">
        <v>71194</v>
      </c>
      <c r="D716" s="2">
        <v>86.04</v>
      </c>
      <c r="E716" s="1">
        <v>42912</v>
      </c>
      <c r="F716" t="s">
        <v>10</v>
      </c>
      <c r="G716" t="str">
        <f>"201706213226"</f>
        <v>201706213226</v>
      </c>
      <c r="H716" t="str">
        <f>"INDIGENT HEALTH"</f>
        <v>INDIGENT HEALTH</v>
      </c>
      <c r="I716" s="2">
        <v>86.04</v>
      </c>
      <c r="J716" t="str">
        <f>"INDIGENT HEALTH"</f>
        <v>INDIGENT HEALTH</v>
      </c>
    </row>
    <row r="717" spans="1:10" x14ac:dyDescent="0.3">
      <c r="A717" t="str">
        <f>"T7757"</f>
        <v>T7757</v>
      </c>
      <c r="B717" t="s">
        <v>198</v>
      </c>
      <c r="C717">
        <v>70824</v>
      </c>
      <c r="D717" s="2">
        <v>450</v>
      </c>
      <c r="E717" s="1">
        <v>42898</v>
      </c>
      <c r="F717" t="s">
        <v>10</v>
      </c>
      <c r="G717" t="str">
        <f>"0034783-IN"</f>
        <v>0034783-IN</v>
      </c>
      <c r="H717" t="str">
        <f>"INSPECTION INV0034783-IN"</f>
        <v>INSPECTION INV0034783-IN</v>
      </c>
      <c r="I717" s="2">
        <v>450</v>
      </c>
      <c r="J717" t="str">
        <f>"INSPECTION"</f>
        <v>INSPECTION</v>
      </c>
    </row>
    <row r="718" spans="1:10" x14ac:dyDescent="0.3">
      <c r="A718" t="str">
        <f>"000589"</f>
        <v>000589</v>
      </c>
      <c r="B718" t="s">
        <v>199</v>
      </c>
      <c r="C718">
        <v>70825</v>
      </c>
      <c r="D718" s="2">
        <v>22368.23</v>
      </c>
      <c r="E718" s="1">
        <v>42898</v>
      </c>
      <c r="F718" t="s">
        <v>10</v>
      </c>
      <c r="G718" t="str">
        <f>"9401630717"</f>
        <v>9401630717</v>
      </c>
      <c r="H718" t="str">
        <f>"ACCT# 912904/SS-1/PCT 2"</f>
        <v>ACCT# 912904/SS-1/PCT 2</v>
      </c>
      <c r="I718" s="2">
        <v>6143.22</v>
      </c>
      <c r="J718" t="str">
        <f>"ACCT# 912904/SS-1/PCT 2"</f>
        <v>ACCT# 912904/SS-1/PCT 2</v>
      </c>
    </row>
    <row r="719" spans="1:10" x14ac:dyDescent="0.3">
      <c r="A719" t="str">
        <f>""</f>
        <v/>
      </c>
      <c r="F719" t="s">
        <v>10</v>
      </c>
      <c r="G719" t="str">
        <f>"9401638035"</f>
        <v>9401638035</v>
      </c>
      <c r="H719" t="str">
        <f>"CUST#912923/FREIGHT"</f>
        <v>CUST#912923/FREIGHT</v>
      </c>
      <c r="I719" s="2">
        <v>5724.53</v>
      </c>
      <c r="J719" t="str">
        <f>"CUST#912923/FREIGHT"</f>
        <v>CUST#912923/FREIGHT</v>
      </c>
    </row>
    <row r="720" spans="1:10" x14ac:dyDescent="0.3">
      <c r="A720" t="str">
        <f>""</f>
        <v/>
      </c>
      <c r="F720" t="s">
        <v>10</v>
      </c>
      <c r="G720" t="str">
        <f>"9401638036"</f>
        <v>9401638036</v>
      </c>
      <c r="H720" t="str">
        <f>"CUST#912923/FREIGHT"</f>
        <v>CUST#912923/FREIGHT</v>
      </c>
      <c r="I720" s="2">
        <v>5693.86</v>
      </c>
      <c r="J720" t="str">
        <f>"CUST#91923/FREIGHT"</f>
        <v>CUST#91923/FREIGHT</v>
      </c>
    </row>
    <row r="721" spans="1:10" x14ac:dyDescent="0.3">
      <c r="A721" t="str">
        <f>""</f>
        <v/>
      </c>
      <c r="F721" t="s">
        <v>10</v>
      </c>
      <c r="G721" t="str">
        <f>"940633272"</f>
        <v>940633272</v>
      </c>
      <c r="H721" t="str">
        <f>"CUST#912923/FREIGHT"</f>
        <v>CUST#912923/FREIGHT</v>
      </c>
      <c r="I721" s="2">
        <v>4806.62</v>
      </c>
      <c r="J721" t="str">
        <f>"CUST#912923/FREIGHT"</f>
        <v>CUST#912923/FREIGHT</v>
      </c>
    </row>
    <row r="722" spans="1:10" x14ac:dyDescent="0.3">
      <c r="A722" t="str">
        <f>"000589"</f>
        <v>000589</v>
      </c>
      <c r="B722" t="s">
        <v>199</v>
      </c>
      <c r="C722">
        <v>71195</v>
      </c>
      <c r="D722" s="2">
        <v>18672.04</v>
      </c>
      <c r="E722" s="1">
        <v>42912</v>
      </c>
      <c r="F722" t="s">
        <v>10</v>
      </c>
      <c r="G722" t="str">
        <f>"9401645806"</f>
        <v>9401645806</v>
      </c>
      <c r="H722" t="str">
        <f>"#912923/FRT/VEHICLE#203-413"</f>
        <v>#912923/FRT/VEHICLE#203-413</v>
      </c>
      <c r="I722" s="2">
        <v>5118.1899999999996</v>
      </c>
      <c r="J722" t="str">
        <f>"#912923/FRT/VEHICLE#203-413"</f>
        <v>#912923/FRT/VEHICLE#203-413</v>
      </c>
    </row>
    <row r="723" spans="1:10" x14ac:dyDescent="0.3">
      <c r="A723" t="str">
        <f>""</f>
        <v/>
      </c>
      <c r="F723" t="s">
        <v>10</v>
      </c>
      <c r="G723" t="str">
        <f>"9401648032"</f>
        <v>9401648032</v>
      </c>
      <c r="H723" t="str">
        <f>"#912923/FRT/VEHICLE#193-403"</f>
        <v>#912923/FRT/VEHICLE#193-403</v>
      </c>
      <c r="I723" s="2">
        <v>9220.35</v>
      </c>
      <c r="J723" t="str">
        <f>"#912923/FRT/VEHICLE#193-403"</f>
        <v>#912923/FRT/VEHICLE#193-403</v>
      </c>
    </row>
    <row r="724" spans="1:10" x14ac:dyDescent="0.3">
      <c r="A724" t="str">
        <f>""</f>
        <v/>
      </c>
      <c r="F724" t="s">
        <v>10</v>
      </c>
      <c r="G724" t="str">
        <f>"9401648861"</f>
        <v>9401648861</v>
      </c>
      <c r="H724" t="str">
        <f>"CUST#912923/BID#17BCP04E/PCT#4"</f>
        <v>CUST#912923/BID#17BCP04E/PCT#4</v>
      </c>
      <c r="I724" s="2">
        <v>4243.5</v>
      </c>
      <c r="J724" t="str">
        <f>"CUST#912923/BID#17BCP04E/PCT#4"</f>
        <v>CUST#912923/BID#17BCP04E/PCT#4</v>
      </c>
    </row>
    <row r="725" spans="1:10" x14ac:dyDescent="0.3">
      <c r="A725" t="str">
        <f>""</f>
        <v/>
      </c>
      <c r="F725" t="s">
        <v>10</v>
      </c>
      <c r="G725" t="str">
        <f>"9401650026"</f>
        <v>9401650026</v>
      </c>
      <c r="H725" t="str">
        <f>"CUST#912923/PUMP CHARGES/PCT#4"</f>
        <v>CUST#912923/PUMP CHARGES/PCT#4</v>
      </c>
      <c r="I725" s="2">
        <v>90</v>
      </c>
      <c r="J725" t="str">
        <f>"CUST#912923/PUMP CHARGES/PCT#4"</f>
        <v>CUST#912923/PUMP CHARGES/PCT#4</v>
      </c>
    </row>
    <row r="726" spans="1:10" x14ac:dyDescent="0.3">
      <c r="A726" t="str">
        <f>"003495"</f>
        <v>003495</v>
      </c>
      <c r="B726" t="s">
        <v>200</v>
      </c>
      <c r="C726">
        <v>70826</v>
      </c>
      <c r="D726" s="2">
        <v>35</v>
      </c>
      <c r="E726" s="1">
        <v>42898</v>
      </c>
      <c r="F726" t="s">
        <v>10</v>
      </c>
      <c r="G726" t="str">
        <f>"201706072987"</f>
        <v>201706072987</v>
      </c>
      <c r="H726" t="str">
        <f>"FERAL HOGS"</f>
        <v>FERAL HOGS</v>
      </c>
      <c r="I726" s="2">
        <v>35</v>
      </c>
      <c r="J726" t="str">
        <f>"FERAL HOGS"</f>
        <v>FERAL HOGS</v>
      </c>
    </row>
    <row r="727" spans="1:10" x14ac:dyDescent="0.3">
      <c r="A727" t="str">
        <f>"005114"</f>
        <v>005114</v>
      </c>
      <c r="B727" t="s">
        <v>201</v>
      </c>
      <c r="C727">
        <v>70827</v>
      </c>
      <c r="D727" s="2">
        <v>75</v>
      </c>
      <c r="E727" s="1">
        <v>42898</v>
      </c>
      <c r="F727" t="s">
        <v>10</v>
      </c>
      <c r="G727" t="str">
        <f>"201706072988"</f>
        <v>201706072988</v>
      </c>
      <c r="H727" t="str">
        <f>"FERAL HOGS"</f>
        <v>FERAL HOGS</v>
      </c>
      <c r="I727" s="2">
        <v>75</v>
      </c>
      <c r="J727" t="str">
        <f>"FERAL HOGS"</f>
        <v>FERAL HOGS</v>
      </c>
    </row>
    <row r="728" spans="1:10" x14ac:dyDescent="0.3">
      <c r="A728" t="str">
        <f>"T2788"</f>
        <v>T2788</v>
      </c>
      <c r="B728" t="s">
        <v>202</v>
      </c>
      <c r="C728">
        <v>71196</v>
      </c>
      <c r="D728" s="2">
        <v>883.95</v>
      </c>
      <c r="E728" s="1">
        <v>42912</v>
      </c>
      <c r="F728" t="s">
        <v>10</v>
      </c>
      <c r="G728" t="str">
        <f>"3413230"</f>
        <v>3413230</v>
      </c>
      <c r="H728" t="str">
        <f>"CUST#00405/PCT#3"</f>
        <v>CUST#00405/PCT#3</v>
      </c>
      <c r="I728" s="2">
        <v>883.95</v>
      </c>
      <c r="J728" t="str">
        <f>"CUST#00405/PCT#3"</f>
        <v>CUST#00405/PCT#3</v>
      </c>
    </row>
    <row r="729" spans="1:10" x14ac:dyDescent="0.3">
      <c r="A729" t="str">
        <f>"004780"</f>
        <v>004780</v>
      </c>
      <c r="B729" t="s">
        <v>203</v>
      </c>
      <c r="C729">
        <v>70828</v>
      </c>
      <c r="D729" s="2">
        <v>143.94999999999999</v>
      </c>
      <c r="E729" s="1">
        <v>42898</v>
      </c>
      <c r="F729" t="s">
        <v>10</v>
      </c>
      <c r="G729" t="str">
        <f>"201706083031"</f>
        <v>201706083031</v>
      </c>
      <c r="H729" t="str">
        <f>"FACILITY SOLUTIONS GROUP INC"</f>
        <v>FACILITY SOLUTIONS GROUP INC</v>
      </c>
      <c r="I729" s="2">
        <v>143.94999999999999</v>
      </c>
      <c r="J729" t="str">
        <f>"Metal Halide Replac"</f>
        <v>Metal Halide Replac</v>
      </c>
    </row>
    <row r="730" spans="1:10" x14ac:dyDescent="0.3">
      <c r="A730" t="str">
        <f>""</f>
        <v/>
      </c>
      <c r="G730" t="str">
        <f>""</f>
        <v/>
      </c>
      <c r="H730" t="str">
        <f>""</f>
        <v/>
      </c>
      <c r="J730" t="str">
        <f>"Shipping"</f>
        <v>Shipping</v>
      </c>
    </row>
    <row r="731" spans="1:10" x14ac:dyDescent="0.3">
      <c r="A731" t="str">
        <f>"FCC"</f>
        <v>FCC</v>
      </c>
      <c r="B731" t="s">
        <v>204</v>
      </c>
      <c r="C731">
        <v>70829</v>
      </c>
      <c r="D731" s="2">
        <v>14926.42</v>
      </c>
      <c r="E731" s="1">
        <v>42898</v>
      </c>
      <c r="F731" t="s">
        <v>10</v>
      </c>
      <c r="G731" t="str">
        <f>"201706022586"</f>
        <v>201706022586</v>
      </c>
      <c r="H731" t="str">
        <f>"FCC GRANT REMB-2014-WE-AX-0053"</f>
        <v>FCC GRANT REMB-2014-WE-AX-0053</v>
      </c>
      <c r="I731" s="2">
        <v>14926.42</v>
      </c>
      <c r="J731" t="str">
        <f>"FCC GRANT REMB-2014-WE-AX-0053"</f>
        <v>FCC GRANT REMB-2014-WE-AX-0053</v>
      </c>
    </row>
    <row r="732" spans="1:10" x14ac:dyDescent="0.3">
      <c r="A732" t="str">
        <f>"FCC"</f>
        <v>FCC</v>
      </c>
      <c r="B732" t="s">
        <v>204</v>
      </c>
      <c r="C732">
        <v>71197</v>
      </c>
      <c r="D732" s="2">
        <v>6349.2</v>
      </c>
      <c r="E732" s="1">
        <v>42912</v>
      </c>
      <c r="F732" t="s">
        <v>10</v>
      </c>
      <c r="G732" t="str">
        <f>"201706193155"</f>
        <v>201706193155</v>
      </c>
      <c r="H732" t="str">
        <f>"REIMB-2014-WE-AX-0053 APRIL"</f>
        <v>REIMB-2014-WE-AX-0053 APRIL</v>
      </c>
      <c r="I732" s="2">
        <v>6349.2</v>
      </c>
      <c r="J732" t="str">
        <f>"REIMB-2014-WE-AX-0053 APRIL"</f>
        <v>REIMB-2014-WE-AX-0053 APRIL</v>
      </c>
    </row>
    <row r="733" spans="1:10" x14ac:dyDescent="0.3">
      <c r="A733" t="str">
        <f>"T526"</f>
        <v>T526</v>
      </c>
      <c r="B733" t="s">
        <v>205</v>
      </c>
      <c r="C733">
        <v>70830</v>
      </c>
      <c r="D733" s="2">
        <v>67.52</v>
      </c>
      <c r="E733" s="1">
        <v>42898</v>
      </c>
      <c r="F733" t="s">
        <v>10</v>
      </c>
      <c r="G733" t="str">
        <f>"5-807-00578"</f>
        <v>5-807-00578</v>
      </c>
      <c r="H733" t="str">
        <f>"POSTAGE FEES"</f>
        <v>POSTAGE FEES</v>
      </c>
      <c r="I733" s="2">
        <v>26.98</v>
      </c>
      <c r="J733" t="str">
        <f>"POSTAGE FEES"</f>
        <v>POSTAGE FEES</v>
      </c>
    </row>
    <row r="734" spans="1:10" x14ac:dyDescent="0.3">
      <c r="A734" t="str">
        <f>""</f>
        <v/>
      </c>
      <c r="F734" t="s">
        <v>10</v>
      </c>
      <c r="G734" t="str">
        <f>"5-807-04359"</f>
        <v>5-807-04359</v>
      </c>
      <c r="H734" t="str">
        <f>"INV 5-807-04359"</f>
        <v>INV 5-807-04359</v>
      </c>
      <c r="I734" s="2">
        <v>40.54</v>
      </c>
      <c r="J734" t="str">
        <f>"TRACK - 779022176071"</f>
        <v>TRACK - 779022176071</v>
      </c>
    </row>
    <row r="735" spans="1:10" x14ac:dyDescent="0.3">
      <c r="A735" t="str">
        <f>""</f>
        <v/>
      </c>
      <c r="G735" t="str">
        <f>""</f>
        <v/>
      </c>
      <c r="H735" t="str">
        <f>""</f>
        <v/>
      </c>
      <c r="J735" t="str">
        <f>"TRACK -779051725934"</f>
        <v>TRACK -779051725934</v>
      </c>
    </row>
    <row r="736" spans="1:10" x14ac:dyDescent="0.3">
      <c r="A736" t="str">
        <f>"T526"</f>
        <v>T526</v>
      </c>
      <c r="B736" t="s">
        <v>205</v>
      </c>
      <c r="C736">
        <v>71198</v>
      </c>
      <c r="D736" s="2">
        <v>23</v>
      </c>
      <c r="E736" s="1">
        <v>42912</v>
      </c>
      <c r="F736" t="s">
        <v>10</v>
      </c>
      <c r="G736" t="str">
        <f>"5-827-54234"</f>
        <v>5-827-54234</v>
      </c>
      <c r="H736" t="str">
        <f>"ACCT#1305-8295-8"</f>
        <v>ACCT#1305-8295-8</v>
      </c>
      <c r="I736" s="2">
        <v>23</v>
      </c>
      <c r="J736" t="str">
        <f>"ACCT#1305-8295-8"</f>
        <v>ACCT#1305-8295-8</v>
      </c>
    </row>
    <row r="737" spans="1:10" x14ac:dyDescent="0.3">
      <c r="A737" t="str">
        <f>"004691"</f>
        <v>004691</v>
      </c>
      <c r="B737" t="s">
        <v>206</v>
      </c>
      <c r="C737">
        <v>70831</v>
      </c>
      <c r="D737" s="2">
        <v>21785.19</v>
      </c>
      <c r="E737" s="1">
        <v>42898</v>
      </c>
      <c r="F737" t="s">
        <v>10</v>
      </c>
      <c r="G737" t="str">
        <f>"FUEL CHRGS 5/29/17"</f>
        <v>FUEL CHRGS 5/29/17</v>
      </c>
      <c r="H737" t="str">
        <f>"Stmt# NP50468560"</f>
        <v>Stmt# NP50468560</v>
      </c>
      <c r="I737" s="2">
        <v>397.12</v>
      </c>
      <c r="J737" t="str">
        <f>"Payment"</f>
        <v>Payment</v>
      </c>
    </row>
    <row r="738" spans="1:10" x14ac:dyDescent="0.3">
      <c r="A738" t="str">
        <f>""</f>
        <v/>
      </c>
      <c r="F738" t="s">
        <v>10</v>
      </c>
      <c r="G738" t="str">
        <f>"FUEL CHRGS- 6/1/17"</f>
        <v>FUEL CHRGS- 6/1/17</v>
      </c>
      <c r="H738" t="str">
        <f>"Stmt# NP50468295"</f>
        <v>Stmt# NP50468295</v>
      </c>
      <c r="I738" s="2">
        <v>728.43</v>
      </c>
      <c r="J738" t="str">
        <f>"General Services"</f>
        <v>General Services</v>
      </c>
    </row>
    <row r="739" spans="1:10" x14ac:dyDescent="0.3">
      <c r="A739" t="str">
        <f>""</f>
        <v/>
      </c>
      <c r="G739" t="str">
        <f>""</f>
        <v/>
      </c>
      <c r="H739" t="str">
        <f>""</f>
        <v/>
      </c>
      <c r="J739" t="str">
        <f>"Sign Shop"</f>
        <v>Sign Shop</v>
      </c>
    </row>
    <row r="740" spans="1:10" x14ac:dyDescent="0.3">
      <c r="A740" t="str">
        <f>""</f>
        <v/>
      </c>
      <c r="G740" t="str">
        <f>""</f>
        <v/>
      </c>
      <c r="H740" t="str">
        <f>""</f>
        <v/>
      </c>
      <c r="J740" t="str">
        <f>"Ag Extension"</f>
        <v>Ag Extension</v>
      </c>
    </row>
    <row r="741" spans="1:10" x14ac:dyDescent="0.3">
      <c r="A741" t="str">
        <f>""</f>
        <v/>
      </c>
      <c r="G741" t="str">
        <f>""</f>
        <v/>
      </c>
      <c r="H741" t="str">
        <f>""</f>
        <v/>
      </c>
      <c r="J741" t="str">
        <f>"Pct 1"</f>
        <v>Pct 1</v>
      </c>
    </row>
    <row r="742" spans="1:10" x14ac:dyDescent="0.3">
      <c r="A742" t="str">
        <f>""</f>
        <v/>
      </c>
      <c r="G742" t="str">
        <f>""</f>
        <v/>
      </c>
      <c r="H742" t="str">
        <f>""</f>
        <v/>
      </c>
      <c r="J742" t="str">
        <f>"Pct2"</f>
        <v>Pct2</v>
      </c>
    </row>
    <row r="743" spans="1:10" x14ac:dyDescent="0.3">
      <c r="A743" t="str">
        <f>""</f>
        <v/>
      </c>
      <c r="F743" t="s">
        <v>10</v>
      </c>
      <c r="G743" t="str">
        <f>"NP50391742"</f>
        <v>NP50391742</v>
      </c>
      <c r="H743" t="str">
        <f>"INV NP50391742"</f>
        <v>INV NP50391742</v>
      </c>
      <c r="I743" s="2">
        <v>10313.049999999999</v>
      </c>
      <c r="J743" t="str">
        <f>"INV NP50391742"</f>
        <v>INV NP50391742</v>
      </c>
    </row>
    <row r="744" spans="1:10" x14ac:dyDescent="0.3">
      <c r="A744" t="str">
        <f>""</f>
        <v/>
      </c>
      <c r="F744" t="s">
        <v>10</v>
      </c>
      <c r="G744" t="str">
        <f>"STMT#NP50468523"</f>
        <v>STMT#NP50468523</v>
      </c>
      <c r="H744" t="str">
        <f>"INV NP50468523"</f>
        <v>INV NP50468523</v>
      </c>
      <c r="I744" s="2">
        <v>10346.59</v>
      </c>
      <c r="J744" t="str">
        <f>"INV NP50468523"</f>
        <v>INV NP50468523</v>
      </c>
    </row>
    <row r="745" spans="1:10" x14ac:dyDescent="0.3">
      <c r="A745" t="str">
        <f>"004691"</f>
        <v>004691</v>
      </c>
      <c r="B745" t="s">
        <v>206</v>
      </c>
      <c r="C745">
        <v>71199</v>
      </c>
      <c r="D745" s="2">
        <v>11015.85</v>
      </c>
      <c r="E745" s="1">
        <v>42912</v>
      </c>
      <c r="F745" t="s">
        <v>10</v>
      </c>
      <c r="G745" t="str">
        <f>"CUST#BG361495"</f>
        <v>CUST#BG361495</v>
      </c>
      <c r="H745" t="str">
        <f>"Stmt# NP50623222"</f>
        <v>Stmt# NP50623222</v>
      </c>
      <c r="I745" s="2">
        <v>607.6</v>
      </c>
      <c r="J745" t="str">
        <f>"General Service"</f>
        <v>General Service</v>
      </c>
    </row>
    <row r="746" spans="1:10" x14ac:dyDescent="0.3">
      <c r="A746" t="str">
        <f>""</f>
        <v/>
      </c>
      <c r="G746" t="str">
        <f>""</f>
        <v/>
      </c>
      <c r="H746" t="str">
        <f>""</f>
        <v/>
      </c>
      <c r="J746" t="str">
        <f>"Sign Shop"</f>
        <v>Sign Shop</v>
      </c>
    </row>
    <row r="747" spans="1:10" x14ac:dyDescent="0.3">
      <c r="A747" t="str">
        <f>""</f>
        <v/>
      </c>
      <c r="G747" t="str">
        <f>""</f>
        <v/>
      </c>
      <c r="H747" t="str">
        <f>""</f>
        <v/>
      </c>
      <c r="J747" t="str">
        <f>"Ag Extension"</f>
        <v>Ag Extension</v>
      </c>
    </row>
    <row r="748" spans="1:10" x14ac:dyDescent="0.3">
      <c r="A748" t="str">
        <f>""</f>
        <v/>
      </c>
      <c r="G748" t="str">
        <f>""</f>
        <v/>
      </c>
      <c r="H748" t="str">
        <f>""</f>
        <v/>
      </c>
      <c r="J748" t="str">
        <f>"Pct 2"</f>
        <v>Pct 2</v>
      </c>
    </row>
    <row r="749" spans="1:10" x14ac:dyDescent="0.3">
      <c r="A749" t="str">
        <f>""</f>
        <v/>
      </c>
      <c r="F749" t="s">
        <v>10</v>
      </c>
      <c r="G749" t="str">
        <f>"NP50623449"</f>
        <v>NP50623449</v>
      </c>
      <c r="H749" t="str">
        <f>"INV NP50623449"</f>
        <v>INV NP50623449</v>
      </c>
      <c r="I749" s="2">
        <v>10027.39</v>
      </c>
      <c r="J749" t="str">
        <f>"INV NP50623449"</f>
        <v>INV NP50623449</v>
      </c>
    </row>
    <row r="750" spans="1:10" x14ac:dyDescent="0.3">
      <c r="A750" t="str">
        <f>""</f>
        <v/>
      </c>
      <c r="F750" t="s">
        <v>10</v>
      </c>
      <c r="G750" t="str">
        <f>"NP50623486"</f>
        <v>NP50623486</v>
      </c>
      <c r="H750" t="str">
        <f>"Stmt# NP50623486"</f>
        <v>Stmt# NP50623486</v>
      </c>
      <c r="I750" s="2">
        <v>380.86</v>
      </c>
      <c r="J750" t="str">
        <f>"Stmt# NP50623486"</f>
        <v>Stmt# NP50623486</v>
      </c>
    </row>
    <row r="751" spans="1:10" x14ac:dyDescent="0.3">
      <c r="A751" t="str">
        <f>"T5062"</f>
        <v>T5062</v>
      </c>
      <c r="B751" t="s">
        <v>207</v>
      </c>
      <c r="C751">
        <v>70832</v>
      </c>
      <c r="D751" s="2">
        <v>2183.27</v>
      </c>
      <c r="E751" s="1">
        <v>42898</v>
      </c>
      <c r="F751" t="s">
        <v>10</v>
      </c>
      <c r="G751" t="str">
        <f>"82193293"</f>
        <v>82193293</v>
      </c>
      <c r="H751" t="str">
        <f>"PARTS / P2"</f>
        <v>PARTS / P2</v>
      </c>
      <c r="I751" s="2">
        <v>60.95</v>
      </c>
      <c r="J751" t="str">
        <f>"FLEETPRIDE"</f>
        <v>FLEETPRIDE</v>
      </c>
    </row>
    <row r="752" spans="1:10" x14ac:dyDescent="0.3">
      <c r="A752" t="str">
        <f>""</f>
        <v/>
      </c>
      <c r="F752" t="s">
        <v>10</v>
      </c>
      <c r="G752" t="str">
        <f>"82770558"</f>
        <v>82770558</v>
      </c>
      <c r="H752" t="str">
        <f>"RADIO &amp; COAX - P2"</f>
        <v>RADIO &amp; COAX - P2</v>
      </c>
      <c r="I752" s="2">
        <v>184.76</v>
      </c>
      <c r="J752" t="str">
        <f>"RADIO &amp; COAX - P2"</f>
        <v>RADIO &amp; COAX - P2</v>
      </c>
    </row>
    <row r="753" spans="1:10" x14ac:dyDescent="0.3">
      <c r="A753" t="str">
        <f>""</f>
        <v/>
      </c>
      <c r="F753" t="s">
        <v>10</v>
      </c>
      <c r="G753" t="str">
        <f>"82773648"</f>
        <v>82773648</v>
      </c>
      <c r="H753" t="s">
        <v>208</v>
      </c>
      <c r="I753" s="2">
        <v>327.7</v>
      </c>
      <c r="J753" t="s">
        <v>208</v>
      </c>
    </row>
    <row r="754" spans="1:10" x14ac:dyDescent="0.3">
      <c r="A754" t="str">
        <f>""</f>
        <v/>
      </c>
      <c r="F754" t="s">
        <v>10</v>
      </c>
      <c r="G754" t="str">
        <f>"82828510"</f>
        <v>82828510</v>
      </c>
      <c r="H754" t="str">
        <f>"SWITH - P2"</f>
        <v>SWITH - P2</v>
      </c>
      <c r="I754" s="2">
        <v>45.02</v>
      </c>
      <c r="J754" t="str">
        <f>"SWITH - P2"</f>
        <v>SWITH - P2</v>
      </c>
    </row>
    <row r="755" spans="1:10" x14ac:dyDescent="0.3">
      <c r="A755" t="str">
        <f>""</f>
        <v/>
      </c>
      <c r="F755" t="s">
        <v>10</v>
      </c>
      <c r="G755" t="str">
        <f>"82917380"</f>
        <v>82917380</v>
      </c>
      <c r="H755" t="str">
        <f>"PARTS / P2"</f>
        <v>PARTS / P2</v>
      </c>
      <c r="I755" s="2">
        <v>490.34</v>
      </c>
      <c r="J755" t="str">
        <f>"PARTS / P2"</f>
        <v>PARTS / P2</v>
      </c>
    </row>
    <row r="756" spans="1:10" x14ac:dyDescent="0.3">
      <c r="A756" t="str">
        <f>""</f>
        <v/>
      </c>
      <c r="F756" t="s">
        <v>10</v>
      </c>
      <c r="G756" t="str">
        <f>"83179542"</f>
        <v>83179542</v>
      </c>
      <c r="H756" t="str">
        <f>"COMM LIGHT / P1"</f>
        <v>COMM LIGHT / P1</v>
      </c>
      <c r="I756" s="2">
        <v>197</v>
      </c>
      <c r="J756" t="str">
        <f>"COMM LIGHT / P1"</f>
        <v>COMM LIGHT / P1</v>
      </c>
    </row>
    <row r="757" spans="1:10" x14ac:dyDescent="0.3">
      <c r="A757" t="str">
        <f>""</f>
        <v/>
      </c>
      <c r="F757" t="s">
        <v>10</v>
      </c>
      <c r="G757" t="str">
        <f>"83285998"</f>
        <v>83285998</v>
      </c>
      <c r="H757" t="str">
        <f>"RADIO / P2"</f>
        <v>RADIO / P2</v>
      </c>
      <c r="I757" s="2">
        <v>174.81</v>
      </c>
      <c r="J757" t="str">
        <f>"RADIO / P2"</f>
        <v>RADIO / P2</v>
      </c>
    </row>
    <row r="758" spans="1:10" x14ac:dyDescent="0.3">
      <c r="A758" t="str">
        <f>""</f>
        <v/>
      </c>
      <c r="F758" t="s">
        <v>10</v>
      </c>
      <c r="G758" t="str">
        <f>"83298388"</f>
        <v>83298388</v>
      </c>
      <c r="H758" t="str">
        <f>"PARTS / P2"</f>
        <v>PARTS / P2</v>
      </c>
      <c r="I758" s="2">
        <v>518.76</v>
      </c>
      <c r="J758" t="str">
        <f>"PARTS / P2"</f>
        <v>PARTS / P2</v>
      </c>
    </row>
    <row r="759" spans="1:10" x14ac:dyDescent="0.3">
      <c r="A759" t="str">
        <f>""</f>
        <v/>
      </c>
      <c r="F759" t="s">
        <v>10</v>
      </c>
      <c r="G759" t="str">
        <f>"83732514"</f>
        <v>83732514</v>
      </c>
      <c r="H759" t="str">
        <f>"PARTS / P2"</f>
        <v>PARTS / P2</v>
      </c>
      <c r="I759" s="2">
        <v>178.81</v>
      </c>
      <c r="J759" t="str">
        <f>"PARTS / P2"</f>
        <v>PARTS / P2</v>
      </c>
    </row>
    <row r="760" spans="1:10" x14ac:dyDescent="0.3">
      <c r="A760" t="str">
        <f>""</f>
        <v/>
      </c>
      <c r="F760" t="s">
        <v>10</v>
      </c>
      <c r="G760" t="str">
        <f>"83819486"</f>
        <v>83819486</v>
      </c>
      <c r="H760" t="str">
        <f>"PARTS"</f>
        <v>PARTS</v>
      </c>
      <c r="I760" s="2">
        <v>5.12</v>
      </c>
      <c r="J760" t="str">
        <f>"PARTS"</f>
        <v>PARTS</v>
      </c>
    </row>
    <row r="761" spans="1:10" x14ac:dyDescent="0.3">
      <c r="A761" t="str">
        <f>"T5062"</f>
        <v>T5062</v>
      </c>
      <c r="B761" t="s">
        <v>207</v>
      </c>
      <c r="C761">
        <v>71200</v>
      </c>
      <c r="D761" s="2">
        <v>1333.82</v>
      </c>
      <c r="E761" s="1">
        <v>42912</v>
      </c>
      <c r="F761" t="s">
        <v>10</v>
      </c>
      <c r="G761" t="str">
        <f>"84610443"</f>
        <v>84610443</v>
      </c>
      <c r="H761" t="str">
        <f>"ACCT#80975-001/PCT#3"</f>
        <v>ACCT#80975-001/PCT#3</v>
      </c>
      <c r="I761" s="2">
        <v>213.73</v>
      </c>
      <c r="J761" t="str">
        <f>"ACCT#80975-001/PCT#3"</f>
        <v>ACCT#80975-001/PCT#3</v>
      </c>
    </row>
    <row r="762" spans="1:10" x14ac:dyDescent="0.3">
      <c r="A762" t="str">
        <f>""</f>
        <v/>
      </c>
      <c r="F762" t="s">
        <v>10</v>
      </c>
      <c r="G762" t="str">
        <f>"85269487"</f>
        <v>85269487</v>
      </c>
      <c r="H762" t="str">
        <f>"ACCT#80975-001/PCT#3"</f>
        <v>ACCT#80975-001/PCT#3</v>
      </c>
      <c r="I762" s="2">
        <v>27.48</v>
      </c>
      <c r="J762" t="str">
        <f>"ACCT#80975-001/PCT#2"</f>
        <v>ACCT#80975-001/PCT#2</v>
      </c>
    </row>
    <row r="763" spans="1:10" x14ac:dyDescent="0.3">
      <c r="A763" t="str">
        <f>""</f>
        <v/>
      </c>
      <c r="F763" t="s">
        <v>10</v>
      </c>
      <c r="G763" t="str">
        <f>"85449361"</f>
        <v>85449361</v>
      </c>
      <c r="H763" t="str">
        <f>"ACCT#80975-001"</f>
        <v>ACCT#80975-001</v>
      </c>
      <c r="I763" s="2">
        <v>1092.6099999999999</v>
      </c>
      <c r="J763" t="str">
        <f>"ACCT#80975-001"</f>
        <v>ACCT#80975-001</v>
      </c>
    </row>
    <row r="764" spans="1:10" x14ac:dyDescent="0.3">
      <c r="A764" t="str">
        <f>"FLS"</f>
        <v>FLS</v>
      </c>
      <c r="B764" t="s">
        <v>209</v>
      </c>
      <c r="C764">
        <v>70833</v>
      </c>
      <c r="D764" s="2">
        <v>1550</v>
      </c>
      <c r="E764" s="1">
        <v>42898</v>
      </c>
      <c r="F764" t="s">
        <v>10</v>
      </c>
      <c r="G764" t="str">
        <f>"201706012502"</f>
        <v>201706012502</v>
      </c>
      <c r="H764" t="str">
        <f>"53 465"</f>
        <v>53 465</v>
      </c>
      <c r="I764" s="2">
        <v>250</v>
      </c>
      <c r="J764" t="str">
        <f>"53 465"</f>
        <v>53 465</v>
      </c>
    </row>
    <row r="765" spans="1:10" x14ac:dyDescent="0.3">
      <c r="A765" t="str">
        <f>""</f>
        <v/>
      </c>
      <c r="F765" t="s">
        <v>10</v>
      </c>
      <c r="G765" t="str">
        <f>"201706012503"</f>
        <v>201706012503</v>
      </c>
      <c r="H765" t="str">
        <f>"16 163"</f>
        <v>16 163</v>
      </c>
      <c r="I765" s="2">
        <v>400</v>
      </c>
      <c r="J765" t="str">
        <f>"16 163"</f>
        <v>16 163</v>
      </c>
    </row>
    <row r="766" spans="1:10" x14ac:dyDescent="0.3">
      <c r="A766" t="str">
        <f>""</f>
        <v/>
      </c>
      <c r="F766" t="s">
        <v>10</v>
      </c>
      <c r="G766" t="str">
        <f>"201706012504"</f>
        <v>201706012504</v>
      </c>
      <c r="H766" t="str">
        <f>"16 072"</f>
        <v>16 072</v>
      </c>
      <c r="I766" s="2">
        <v>400</v>
      </c>
      <c r="J766" t="str">
        <f>"16 072"</f>
        <v>16 072</v>
      </c>
    </row>
    <row r="767" spans="1:10" x14ac:dyDescent="0.3">
      <c r="A767" t="str">
        <f>""</f>
        <v/>
      </c>
      <c r="F767" t="s">
        <v>10</v>
      </c>
      <c r="G767" t="str">
        <f>"201706072910"</f>
        <v>201706072910</v>
      </c>
      <c r="H767" t="str">
        <f>"UNFILED"</f>
        <v>UNFILED</v>
      </c>
      <c r="I767" s="2">
        <v>250</v>
      </c>
      <c r="J767" t="str">
        <f>"UNFILED"</f>
        <v>UNFILED</v>
      </c>
    </row>
    <row r="768" spans="1:10" x14ac:dyDescent="0.3">
      <c r="A768" t="str">
        <f>""</f>
        <v/>
      </c>
      <c r="F768" t="s">
        <v>10</v>
      </c>
      <c r="G768" t="str">
        <f>"201706072911"</f>
        <v>201706072911</v>
      </c>
      <c r="H768" t="str">
        <f>"UNFILED"</f>
        <v>UNFILED</v>
      </c>
      <c r="I768" s="2">
        <v>250</v>
      </c>
      <c r="J768" t="str">
        <f>"UNFILED"</f>
        <v>UNFILED</v>
      </c>
    </row>
    <row r="769" spans="1:10" x14ac:dyDescent="0.3">
      <c r="A769" t="str">
        <f>"PPLAN"</f>
        <v>PPLAN</v>
      </c>
      <c r="B769" t="s">
        <v>210</v>
      </c>
      <c r="C769">
        <v>70834</v>
      </c>
      <c r="D769" s="2">
        <v>30652.57</v>
      </c>
      <c r="E769" s="1">
        <v>42898</v>
      </c>
      <c r="F769" t="s">
        <v>211</v>
      </c>
      <c r="G769" t="str">
        <f>"P43251"</f>
        <v>P43251</v>
      </c>
      <c r="H769" t="str">
        <f>"CREDIT / P1"</f>
        <v>CREDIT / P1</v>
      </c>
      <c r="I769" s="2">
        <v>-73.3</v>
      </c>
      <c r="J769" t="str">
        <f>"CREDIT / P1"</f>
        <v>CREDIT / P1</v>
      </c>
    </row>
    <row r="770" spans="1:10" x14ac:dyDescent="0.3">
      <c r="A770" t="str">
        <f>""</f>
        <v/>
      </c>
      <c r="F770" t="s">
        <v>211</v>
      </c>
      <c r="G770" t="str">
        <f>"P43948"</f>
        <v>P43948</v>
      </c>
      <c r="H770" t="str">
        <f>"CREIDT / P1"</f>
        <v>CREIDT / P1</v>
      </c>
      <c r="I770" s="2">
        <v>-160.72</v>
      </c>
      <c r="J770" t="str">
        <f>"CREIDT / P1"</f>
        <v>CREIDT / P1</v>
      </c>
    </row>
    <row r="771" spans="1:10" x14ac:dyDescent="0.3">
      <c r="A771" t="str">
        <f>""</f>
        <v/>
      </c>
      <c r="F771" t="s">
        <v>10</v>
      </c>
      <c r="G771" t="str">
        <f>"P41227"</f>
        <v>P41227</v>
      </c>
      <c r="H771" t="str">
        <f>"PARTS / P2"</f>
        <v>PARTS / P2</v>
      </c>
      <c r="I771" s="2">
        <v>249.81</v>
      </c>
      <c r="J771" t="str">
        <f>"PARTS / P2"</f>
        <v>PARTS / P2</v>
      </c>
    </row>
    <row r="772" spans="1:10" x14ac:dyDescent="0.3">
      <c r="A772" t="str">
        <f>""</f>
        <v/>
      </c>
      <c r="F772" t="s">
        <v>10</v>
      </c>
      <c r="G772" t="str">
        <f>"P42072"</f>
        <v>P42072</v>
      </c>
      <c r="H772" t="str">
        <f>"PARTS / P2"</f>
        <v>PARTS / P2</v>
      </c>
      <c r="I772" s="2">
        <v>263.25</v>
      </c>
      <c r="J772" t="str">
        <f>"PARTS / P2"</f>
        <v>PARTS / P2</v>
      </c>
    </row>
    <row r="773" spans="1:10" x14ac:dyDescent="0.3">
      <c r="A773" t="str">
        <f>""</f>
        <v/>
      </c>
      <c r="F773" t="s">
        <v>10</v>
      </c>
      <c r="G773" t="str">
        <f>"P42073"</f>
        <v>P42073</v>
      </c>
      <c r="H773" t="str">
        <f>"PARTS / P2"</f>
        <v>PARTS / P2</v>
      </c>
      <c r="I773" s="2">
        <v>953.33</v>
      </c>
      <c r="J773" t="str">
        <f>"PARTS / P2"</f>
        <v>PARTS / P2</v>
      </c>
    </row>
    <row r="774" spans="1:10" x14ac:dyDescent="0.3">
      <c r="A774" t="str">
        <f>""</f>
        <v/>
      </c>
      <c r="F774" t="s">
        <v>10</v>
      </c>
      <c r="G774" t="str">
        <f>"P42162"</f>
        <v>P42162</v>
      </c>
      <c r="H774" t="str">
        <f>"PARTS / P2"</f>
        <v>PARTS / P2</v>
      </c>
      <c r="I774" s="2">
        <v>109.9</v>
      </c>
      <c r="J774" t="str">
        <f>"PARTS / P2"</f>
        <v>PARTS / P2</v>
      </c>
    </row>
    <row r="775" spans="1:10" x14ac:dyDescent="0.3">
      <c r="A775" t="str">
        <f>""</f>
        <v/>
      </c>
      <c r="F775" t="s">
        <v>10</v>
      </c>
      <c r="G775" t="str">
        <f>"P42337"</f>
        <v>P42337</v>
      </c>
      <c r="H775" t="str">
        <f>"PARTS / P2"</f>
        <v>PARTS / P2</v>
      </c>
      <c r="I775" s="2">
        <v>308.75</v>
      </c>
      <c r="J775" t="str">
        <f>"PARTS / P2"</f>
        <v>PARTS / P2</v>
      </c>
    </row>
    <row r="776" spans="1:10" x14ac:dyDescent="0.3">
      <c r="A776" t="str">
        <f>""</f>
        <v/>
      </c>
      <c r="F776" t="s">
        <v>10</v>
      </c>
      <c r="G776" t="str">
        <f>"P42459"</f>
        <v>P42459</v>
      </c>
      <c r="H776" t="str">
        <f>"PARTS / ENVIRO"</f>
        <v>PARTS / ENVIRO</v>
      </c>
      <c r="I776" s="2">
        <v>71.33</v>
      </c>
      <c r="J776" t="str">
        <f>"PARTS / ENVIRO"</f>
        <v>PARTS / ENVIRO</v>
      </c>
    </row>
    <row r="777" spans="1:10" x14ac:dyDescent="0.3">
      <c r="A777" t="str">
        <f>""</f>
        <v/>
      </c>
      <c r="F777" t="s">
        <v>10</v>
      </c>
      <c r="G777" t="str">
        <f>"P42757"</f>
        <v>P42757</v>
      </c>
      <c r="H777" t="str">
        <f>"PARTS/ P4"</f>
        <v>PARTS/ P4</v>
      </c>
      <c r="I777" s="2">
        <v>305.56</v>
      </c>
      <c r="J777" t="str">
        <f>"PARTS/ P4"</f>
        <v>PARTS/ P4</v>
      </c>
    </row>
    <row r="778" spans="1:10" x14ac:dyDescent="0.3">
      <c r="A778" t="str">
        <f>""</f>
        <v/>
      </c>
      <c r="F778" t="s">
        <v>10</v>
      </c>
      <c r="G778" t="str">
        <f>"P43273"</f>
        <v>P43273</v>
      </c>
      <c r="H778" t="str">
        <f>"PARTS / P1"</f>
        <v>PARTS / P1</v>
      </c>
      <c r="I778" s="2">
        <v>35.799999999999997</v>
      </c>
      <c r="J778" t="str">
        <f>"PARTS / P1"</f>
        <v>PARTS / P1</v>
      </c>
    </row>
    <row r="779" spans="1:10" x14ac:dyDescent="0.3">
      <c r="A779" t="str">
        <f>""</f>
        <v/>
      </c>
      <c r="F779" t="s">
        <v>10</v>
      </c>
      <c r="G779" t="str">
        <f>"P43914"</f>
        <v>P43914</v>
      </c>
      <c r="H779" t="str">
        <f>"PARTS / P2"</f>
        <v>PARTS / P2</v>
      </c>
      <c r="I779" s="2">
        <v>66.36</v>
      </c>
      <c r="J779" t="str">
        <f>"PARTS / P2"</f>
        <v>PARTS / P2</v>
      </c>
    </row>
    <row r="780" spans="1:10" x14ac:dyDescent="0.3">
      <c r="A780" t="str">
        <f>""</f>
        <v/>
      </c>
      <c r="F780" t="s">
        <v>10</v>
      </c>
      <c r="G780" t="str">
        <f>"P43994"</f>
        <v>P43994</v>
      </c>
      <c r="H780" t="str">
        <f>"PARTS / P2"</f>
        <v>PARTS / P2</v>
      </c>
      <c r="I780" s="2">
        <v>159.44999999999999</v>
      </c>
      <c r="J780" t="str">
        <f>"PARTS / P2"</f>
        <v>PARTS / P2</v>
      </c>
    </row>
    <row r="781" spans="1:10" x14ac:dyDescent="0.3">
      <c r="A781" t="str">
        <f>""</f>
        <v/>
      </c>
      <c r="F781" t="s">
        <v>10</v>
      </c>
      <c r="G781" t="str">
        <f>"P44119"</f>
        <v>P44119</v>
      </c>
      <c r="H781" t="str">
        <f>"PARTS / P1"</f>
        <v>PARTS / P1</v>
      </c>
      <c r="I781" s="2">
        <v>60</v>
      </c>
      <c r="J781" t="str">
        <f>"PARTS / P1"</f>
        <v>PARTS / P1</v>
      </c>
    </row>
    <row r="782" spans="1:10" x14ac:dyDescent="0.3">
      <c r="A782" t="str">
        <f>""</f>
        <v/>
      </c>
      <c r="F782" t="s">
        <v>10</v>
      </c>
      <c r="G782" t="str">
        <f>"P44168"</f>
        <v>P44168</v>
      </c>
      <c r="H782" t="str">
        <f>"PARTS / P3"</f>
        <v>PARTS / P3</v>
      </c>
      <c r="I782" s="2">
        <v>39.54</v>
      </c>
      <c r="J782" t="str">
        <f>"PARTS / P3"</f>
        <v>PARTS / P3</v>
      </c>
    </row>
    <row r="783" spans="1:10" x14ac:dyDescent="0.3">
      <c r="A783" t="str">
        <f>""</f>
        <v/>
      </c>
      <c r="F783" t="s">
        <v>10</v>
      </c>
      <c r="G783" t="str">
        <f>"P44213"</f>
        <v>P44213</v>
      </c>
      <c r="H783" t="str">
        <f>"PARTS / P4"</f>
        <v>PARTS / P4</v>
      </c>
      <c r="I783" s="2">
        <v>123.39</v>
      </c>
      <c r="J783" t="str">
        <f>"PARTS / P4"</f>
        <v>PARTS / P4</v>
      </c>
    </row>
    <row r="784" spans="1:10" x14ac:dyDescent="0.3">
      <c r="A784" t="str">
        <f>""</f>
        <v/>
      </c>
      <c r="F784" t="s">
        <v>10</v>
      </c>
      <c r="G784" t="str">
        <f>"P45439"</f>
        <v>P45439</v>
      </c>
      <c r="H784" t="str">
        <f>"PARTS / P4"</f>
        <v>PARTS / P4</v>
      </c>
      <c r="I784" s="2">
        <v>11.06</v>
      </c>
      <c r="J784" t="str">
        <f>"PARTS / P4"</f>
        <v>PARTS / P4</v>
      </c>
    </row>
    <row r="785" spans="1:10" x14ac:dyDescent="0.3">
      <c r="A785" t="str">
        <f>""</f>
        <v/>
      </c>
      <c r="F785" t="s">
        <v>10</v>
      </c>
      <c r="G785" t="str">
        <f>"P45734"</f>
        <v>P45734</v>
      </c>
      <c r="H785" t="str">
        <f>"PARTS / P2"</f>
        <v>PARTS / P2</v>
      </c>
      <c r="I785" s="2">
        <v>1172.6099999999999</v>
      </c>
      <c r="J785" t="str">
        <f>"PARTS / P2"</f>
        <v>PARTS / P2</v>
      </c>
    </row>
    <row r="786" spans="1:10" x14ac:dyDescent="0.3">
      <c r="A786" t="str">
        <f>""</f>
        <v/>
      </c>
      <c r="F786" t="s">
        <v>10</v>
      </c>
      <c r="G786" t="str">
        <f>"P45907"</f>
        <v>P45907</v>
      </c>
      <c r="H786" t="str">
        <f>"PARTS / P4"</f>
        <v>PARTS / P4</v>
      </c>
      <c r="I786" s="2">
        <v>44.24</v>
      </c>
      <c r="J786" t="str">
        <f>"PARTS / P4"</f>
        <v>PARTS / P4</v>
      </c>
    </row>
    <row r="787" spans="1:10" x14ac:dyDescent="0.3">
      <c r="A787" t="str">
        <f>""</f>
        <v/>
      </c>
      <c r="F787" t="s">
        <v>10</v>
      </c>
      <c r="G787" t="str">
        <f>"P46045"</f>
        <v>P46045</v>
      </c>
      <c r="H787" t="str">
        <f>"PARTS / P3"</f>
        <v>PARTS / P3</v>
      </c>
      <c r="I787" s="2">
        <v>707.9</v>
      </c>
      <c r="J787" t="str">
        <f>"PARTS / P3"</f>
        <v>PARTS / P3</v>
      </c>
    </row>
    <row r="788" spans="1:10" x14ac:dyDescent="0.3">
      <c r="A788" t="str">
        <f>""</f>
        <v/>
      </c>
      <c r="F788" t="s">
        <v>10</v>
      </c>
      <c r="G788" t="str">
        <f>"P46067"</f>
        <v>P46067</v>
      </c>
      <c r="H788" t="str">
        <f>"PARTS / P1"</f>
        <v>PARTS / P1</v>
      </c>
      <c r="I788" s="2">
        <v>54.73</v>
      </c>
      <c r="J788" t="str">
        <f>"PARTS / P1"</f>
        <v>PARTS / P1</v>
      </c>
    </row>
    <row r="789" spans="1:10" x14ac:dyDescent="0.3">
      <c r="A789" t="str">
        <f>""</f>
        <v/>
      </c>
      <c r="F789" t="s">
        <v>10</v>
      </c>
      <c r="G789" t="str">
        <f>"P46241"</f>
        <v>P46241</v>
      </c>
      <c r="H789" t="str">
        <f>"PARTS / P1"</f>
        <v>PARTS / P1</v>
      </c>
      <c r="I789" s="2">
        <v>54.73</v>
      </c>
      <c r="J789" t="str">
        <f>"PARTS / P1"</f>
        <v>PARTS / P1</v>
      </c>
    </row>
    <row r="790" spans="1:10" x14ac:dyDescent="0.3">
      <c r="A790" t="str">
        <f>""</f>
        <v/>
      </c>
      <c r="F790" t="s">
        <v>10</v>
      </c>
      <c r="G790" t="str">
        <f>"P46242"</f>
        <v>P46242</v>
      </c>
      <c r="H790" t="str">
        <f>"PARTS / P1"</f>
        <v>PARTS / P1</v>
      </c>
      <c r="I790" s="2">
        <v>10.210000000000001</v>
      </c>
      <c r="J790" t="str">
        <f>"PARTS / P1"</f>
        <v>PARTS / P1</v>
      </c>
    </row>
    <row r="791" spans="1:10" x14ac:dyDescent="0.3">
      <c r="A791" t="str">
        <f>""</f>
        <v/>
      </c>
      <c r="F791" t="s">
        <v>10</v>
      </c>
      <c r="G791" t="str">
        <f>"P46463"</f>
        <v>P46463</v>
      </c>
      <c r="H791" t="str">
        <f>"PARTS / P2"</f>
        <v>PARTS / P2</v>
      </c>
      <c r="I791" s="2">
        <v>56.66</v>
      </c>
      <c r="J791" t="str">
        <f>"PARTS / P2"</f>
        <v>PARTS / P2</v>
      </c>
    </row>
    <row r="792" spans="1:10" x14ac:dyDescent="0.3">
      <c r="A792" t="str">
        <f>""</f>
        <v/>
      </c>
      <c r="F792" t="s">
        <v>10</v>
      </c>
      <c r="G792" t="str">
        <f>"P47228"</f>
        <v>P47228</v>
      </c>
      <c r="H792" t="str">
        <f>"PARTS / P3"</f>
        <v>PARTS / P3</v>
      </c>
      <c r="I792" s="2">
        <v>1905.4</v>
      </c>
      <c r="J792" t="str">
        <f>"PARTS / P3"</f>
        <v>PARTS / P3</v>
      </c>
    </row>
    <row r="793" spans="1:10" x14ac:dyDescent="0.3">
      <c r="A793" t="str">
        <f>""</f>
        <v/>
      </c>
      <c r="F793" t="s">
        <v>10</v>
      </c>
      <c r="G793" t="str">
        <f>"R72977"</f>
        <v>R72977</v>
      </c>
      <c r="H793" t="str">
        <f>"RENTAL / P2"</f>
        <v>RENTAL / P2</v>
      </c>
      <c r="I793" s="2">
        <v>270.63</v>
      </c>
      <c r="J793" t="str">
        <f>"RENTAL / P2"</f>
        <v>RENTAL / P2</v>
      </c>
    </row>
    <row r="794" spans="1:10" x14ac:dyDescent="0.3">
      <c r="A794" t="str">
        <f>""</f>
        <v/>
      </c>
      <c r="F794" t="s">
        <v>10</v>
      </c>
      <c r="G794" t="str">
        <f>"W87854"</f>
        <v>W87854</v>
      </c>
      <c r="H794" t="str">
        <f>"REPAIR / P2"</f>
        <v>REPAIR / P2</v>
      </c>
      <c r="I794" s="2">
        <v>2275.62</v>
      </c>
      <c r="J794" t="str">
        <f>"REPAIR / P2"</f>
        <v>REPAIR / P2</v>
      </c>
    </row>
    <row r="795" spans="1:10" x14ac:dyDescent="0.3">
      <c r="A795" t="str">
        <f>""</f>
        <v/>
      </c>
      <c r="F795" t="s">
        <v>10</v>
      </c>
      <c r="G795" t="str">
        <f>"W88298"</f>
        <v>W88298</v>
      </c>
      <c r="H795" t="str">
        <f>"BACKHOE REPAIR / ENVIRO"</f>
        <v>BACKHOE REPAIR / ENVIRO</v>
      </c>
      <c r="I795" s="2">
        <v>848.27</v>
      </c>
      <c r="J795" t="str">
        <f>"BACKHOE REPAIR / ENVIRO"</f>
        <v>BACKHOE REPAIR / ENVIRO</v>
      </c>
    </row>
    <row r="796" spans="1:10" x14ac:dyDescent="0.3">
      <c r="A796" t="str">
        <f>""</f>
        <v/>
      </c>
      <c r="F796" t="s">
        <v>10</v>
      </c>
      <c r="G796" t="str">
        <f>"W88597"</f>
        <v>W88597</v>
      </c>
      <c r="H796" t="str">
        <f>"BACKHOE REPAIR / P1"</f>
        <v>BACKHOE REPAIR / P1</v>
      </c>
      <c r="I796" s="2">
        <v>2312.75</v>
      </c>
      <c r="J796" t="str">
        <f>"BACKHOE REPAIR / P1"</f>
        <v>BACKHOE REPAIR / P1</v>
      </c>
    </row>
    <row r="797" spans="1:10" x14ac:dyDescent="0.3">
      <c r="A797" t="str">
        <f>""</f>
        <v/>
      </c>
      <c r="F797" t="s">
        <v>10</v>
      </c>
      <c r="G797" t="str">
        <f>"W88598"</f>
        <v>W88598</v>
      </c>
      <c r="H797" t="str">
        <f>"BACKHOE MAINT / P1"</f>
        <v>BACKHOE MAINT / P1</v>
      </c>
      <c r="I797" s="2">
        <v>1942.1</v>
      </c>
      <c r="J797" t="str">
        <f>"BACKHOE REPAIR / P1"</f>
        <v>BACKHOE REPAIR / P1</v>
      </c>
    </row>
    <row r="798" spans="1:10" x14ac:dyDescent="0.3">
      <c r="A798" t="str">
        <f>""</f>
        <v/>
      </c>
      <c r="F798" t="s">
        <v>10</v>
      </c>
      <c r="G798" t="str">
        <f>"W88600"</f>
        <v>W88600</v>
      </c>
      <c r="H798" t="str">
        <f>"BACKHOE MAINT / P1"</f>
        <v>BACKHOE MAINT / P1</v>
      </c>
      <c r="I798" s="2">
        <v>1334.02</v>
      </c>
      <c r="J798" t="str">
        <f>"BACKHOE MAINT / P1"</f>
        <v>BACKHOE MAINT / P1</v>
      </c>
    </row>
    <row r="799" spans="1:10" x14ac:dyDescent="0.3">
      <c r="A799" t="str">
        <f>""</f>
        <v/>
      </c>
      <c r="F799" t="s">
        <v>10</v>
      </c>
      <c r="G799" t="str">
        <f>"W88601"</f>
        <v>W88601</v>
      </c>
      <c r="H799" t="str">
        <f>"REPAIR/MAINT / P1"</f>
        <v>REPAIR/MAINT / P1</v>
      </c>
      <c r="I799" s="2">
        <v>4061.47</v>
      </c>
      <c r="J799" t="str">
        <f>"REPAIR/MAINT / P1"</f>
        <v>REPAIR/MAINT / P1</v>
      </c>
    </row>
    <row r="800" spans="1:10" x14ac:dyDescent="0.3">
      <c r="A800" t="str">
        <f>""</f>
        <v/>
      </c>
      <c r="F800" t="s">
        <v>10</v>
      </c>
      <c r="G800" t="str">
        <f>"W88602"</f>
        <v>W88602</v>
      </c>
      <c r="H800" t="str">
        <f>"MAINT / P1"</f>
        <v>MAINT / P1</v>
      </c>
      <c r="I800" s="2">
        <v>1207.42</v>
      </c>
      <c r="J800" t="str">
        <f>"MAINT / P1"</f>
        <v>MAINT / P1</v>
      </c>
    </row>
    <row r="801" spans="1:10" x14ac:dyDescent="0.3">
      <c r="A801" t="str">
        <f>""</f>
        <v/>
      </c>
      <c r="F801" t="s">
        <v>10</v>
      </c>
      <c r="G801" t="str">
        <f>"W88619"</f>
        <v>W88619</v>
      </c>
      <c r="H801" t="str">
        <f>"MAINT / P1"</f>
        <v>MAINT / P1</v>
      </c>
      <c r="I801" s="2">
        <v>1181.54</v>
      </c>
      <c r="J801" t="str">
        <f>"MAINT / P1"</f>
        <v>MAINT / P1</v>
      </c>
    </row>
    <row r="802" spans="1:10" x14ac:dyDescent="0.3">
      <c r="A802" t="str">
        <f>""</f>
        <v/>
      </c>
      <c r="F802" t="s">
        <v>10</v>
      </c>
      <c r="G802" t="str">
        <f>"W89112"</f>
        <v>W89112</v>
      </c>
      <c r="H802" t="str">
        <f>"REPAIR / P2"</f>
        <v>REPAIR / P2</v>
      </c>
      <c r="I802" s="2">
        <v>702.5</v>
      </c>
      <c r="J802" t="str">
        <f>"REPAIR / P2"</f>
        <v>REPAIR / P2</v>
      </c>
    </row>
    <row r="803" spans="1:10" x14ac:dyDescent="0.3">
      <c r="A803" t="str">
        <f>""</f>
        <v/>
      </c>
      <c r="F803" t="s">
        <v>10</v>
      </c>
      <c r="G803" t="str">
        <f>"W89156"</f>
        <v>W89156</v>
      </c>
      <c r="H803" t="str">
        <f>"REPAIR / P2"</f>
        <v>REPAIR / P2</v>
      </c>
      <c r="I803" s="2">
        <v>3813.72</v>
      </c>
      <c r="J803" t="str">
        <f>"REPAIR / P2"</f>
        <v>REPAIR / P2</v>
      </c>
    </row>
    <row r="804" spans="1:10" x14ac:dyDescent="0.3">
      <c r="A804" t="str">
        <f>""</f>
        <v/>
      </c>
      <c r="F804" t="s">
        <v>10</v>
      </c>
      <c r="G804" t="str">
        <f>"W89564"</f>
        <v>W89564</v>
      </c>
      <c r="H804" t="str">
        <f>"REPAIR / P2"</f>
        <v>REPAIR / P2</v>
      </c>
      <c r="I804" s="2">
        <v>3271.07</v>
      </c>
      <c r="J804" t="str">
        <f>"REPAIR / P2"</f>
        <v>REPAIR / P2</v>
      </c>
    </row>
    <row r="805" spans="1:10" x14ac:dyDescent="0.3">
      <c r="A805" t="str">
        <f>""</f>
        <v/>
      </c>
      <c r="F805" t="s">
        <v>10</v>
      </c>
      <c r="G805" t="str">
        <f>"W89894"</f>
        <v>W89894</v>
      </c>
      <c r="H805" t="str">
        <f>"REPAIR / P1"</f>
        <v>REPAIR / P1</v>
      </c>
      <c r="I805" s="2">
        <v>901.47</v>
      </c>
      <c r="J805" t="str">
        <f>"REPAIR / P1"</f>
        <v>REPAIR / P1</v>
      </c>
    </row>
    <row r="806" spans="1:10" x14ac:dyDescent="0.3">
      <c r="A806" t="str">
        <f>"002806"</f>
        <v>002806</v>
      </c>
      <c r="B806" t="s">
        <v>212</v>
      </c>
      <c r="C806">
        <v>70835</v>
      </c>
      <c r="D806" s="2">
        <v>85</v>
      </c>
      <c r="E806" s="1">
        <v>42898</v>
      </c>
      <c r="F806" t="s">
        <v>10</v>
      </c>
      <c r="G806" t="str">
        <f>"12065"</f>
        <v>12065</v>
      </c>
      <c r="H806" t="str">
        <f>"SERVICE 03/08/2017"</f>
        <v>SERVICE 03/08/2017</v>
      </c>
      <c r="I806" s="2">
        <v>85</v>
      </c>
      <c r="J806" t="str">
        <f>"SERVICE 03/08/2017"</f>
        <v>SERVICE 03/08/2017</v>
      </c>
    </row>
    <row r="807" spans="1:10" x14ac:dyDescent="0.3">
      <c r="A807" t="str">
        <f>"AT&amp;EI"</f>
        <v>AT&amp;EI</v>
      </c>
      <c r="B807" t="s">
        <v>213</v>
      </c>
      <c r="C807">
        <v>71201</v>
      </c>
      <c r="D807" s="2">
        <v>102.97</v>
      </c>
      <c r="E807" s="1">
        <v>42912</v>
      </c>
      <c r="F807" t="s">
        <v>10</v>
      </c>
      <c r="G807" t="str">
        <f>"AP339566"</f>
        <v>AP339566</v>
      </c>
      <c r="H807" t="str">
        <f>"ACCT#3326/PCT#4"</f>
        <v>ACCT#3326/PCT#4</v>
      </c>
      <c r="I807" s="2">
        <v>33.79</v>
      </c>
      <c r="J807" t="str">
        <f>"ACCT#3326/PCT#4"</f>
        <v>ACCT#3326/PCT#4</v>
      </c>
    </row>
    <row r="808" spans="1:10" x14ac:dyDescent="0.3">
      <c r="A808" t="str">
        <f>""</f>
        <v/>
      </c>
      <c r="F808" t="s">
        <v>10</v>
      </c>
      <c r="G808" t="str">
        <f>"AP340649"</f>
        <v>AP340649</v>
      </c>
      <c r="H808" t="str">
        <f>"CUST#3324/FILTERS"</f>
        <v>CUST#3324/FILTERS</v>
      </c>
      <c r="I808" s="2">
        <v>69.180000000000007</v>
      </c>
      <c r="J808" t="str">
        <f>"CUST#3324/FILTERS"</f>
        <v>CUST#3324/FILTERS</v>
      </c>
    </row>
    <row r="809" spans="1:10" x14ac:dyDescent="0.3">
      <c r="A809" t="str">
        <f>"005083"</f>
        <v>005083</v>
      </c>
      <c r="B809" t="s">
        <v>214</v>
      </c>
      <c r="C809">
        <v>70836</v>
      </c>
      <c r="D809" s="2">
        <v>521</v>
      </c>
      <c r="E809" s="1">
        <v>42898</v>
      </c>
      <c r="F809" t="s">
        <v>10</v>
      </c>
      <c r="G809" t="str">
        <f>"1489987"</f>
        <v>1489987</v>
      </c>
      <c r="H809" t="str">
        <f>"Air Conditioner"</f>
        <v>Air Conditioner</v>
      </c>
      <c r="I809" s="2">
        <v>521</v>
      </c>
      <c r="J809" t="str">
        <f>"Air Conditioner"</f>
        <v>Air Conditioner</v>
      </c>
    </row>
    <row r="810" spans="1:10" x14ac:dyDescent="0.3">
      <c r="A810" t="str">
        <f>"G&amp;C"</f>
        <v>G&amp;C</v>
      </c>
      <c r="B810" t="s">
        <v>215</v>
      </c>
      <c r="C810">
        <v>70837</v>
      </c>
      <c r="D810" s="2">
        <v>684.34</v>
      </c>
      <c r="E810" s="1">
        <v>42898</v>
      </c>
      <c r="F810" t="s">
        <v>10</v>
      </c>
      <c r="G810" t="str">
        <f>"101895"</f>
        <v>101895</v>
      </c>
      <c r="H810" t="str">
        <f>"BUS CARD INVGC101895"</f>
        <v>BUS CARD INVGC101895</v>
      </c>
      <c r="I810" s="2">
        <v>61.44</v>
      </c>
      <c r="J810" t="str">
        <f>"BUS CARD INVGC101895"</f>
        <v>BUS CARD INVGC101895</v>
      </c>
    </row>
    <row r="811" spans="1:10" x14ac:dyDescent="0.3">
      <c r="A811" t="str">
        <f>""</f>
        <v/>
      </c>
      <c r="F811" t="s">
        <v>10</v>
      </c>
      <c r="G811" t="str">
        <f>"101911"</f>
        <v>101911</v>
      </c>
      <c r="H811" t="str">
        <f>"POSTCARDS/MAIL MERGE"</f>
        <v>POSTCARDS/MAIL MERGE</v>
      </c>
      <c r="I811" s="2">
        <v>399</v>
      </c>
      <c r="J811" t="str">
        <f>"POSTCARDS/MAIL MERGE"</f>
        <v>POSTCARDS/MAIL MERGE</v>
      </c>
    </row>
    <row r="812" spans="1:10" x14ac:dyDescent="0.3">
      <c r="A812" t="str">
        <f>""</f>
        <v/>
      </c>
      <c r="F812" t="s">
        <v>10</v>
      </c>
      <c r="G812" t="str">
        <f>"101940"</f>
        <v>101940</v>
      </c>
      <c r="H812" t="str">
        <f>"THANK YOU CARDS/POSTERS"</f>
        <v>THANK YOU CARDS/POSTERS</v>
      </c>
      <c r="I812" s="2">
        <v>154.9</v>
      </c>
      <c r="J812" t="str">
        <f>"THANK YOU CARDS/POSTERS"</f>
        <v>THANK YOU CARDS/POSTERS</v>
      </c>
    </row>
    <row r="813" spans="1:10" x14ac:dyDescent="0.3">
      <c r="A813" t="str">
        <f>""</f>
        <v/>
      </c>
      <c r="F813" t="s">
        <v>10</v>
      </c>
      <c r="G813" t="str">
        <f>"102039"</f>
        <v>102039</v>
      </c>
      <c r="H813" t="str">
        <f>"CORRESPONDENCE CARDS"</f>
        <v>CORRESPONDENCE CARDS</v>
      </c>
      <c r="I813" s="2">
        <v>69</v>
      </c>
      <c r="J813" t="str">
        <f>"CORRESPONDENCE CARDS"</f>
        <v>CORRESPONDENCE CARDS</v>
      </c>
    </row>
    <row r="814" spans="1:10" x14ac:dyDescent="0.3">
      <c r="A814" t="str">
        <f>"G&amp;C"</f>
        <v>G&amp;C</v>
      </c>
      <c r="B814" t="s">
        <v>215</v>
      </c>
      <c r="C814">
        <v>71202</v>
      </c>
      <c r="D814" s="2">
        <v>2021.19</v>
      </c>
      <c r="E814" s="1">
        <v>42912</v>
      </c>
      <c r="F814" t="s">
        <v>10</v>
      </c>
      <c r="G814" t="str">
        <f>"102138"</f>
        <v>102138</v>
      </c>
      <c r="H814" t="str">
        <f>"INV GC 102138"</f>
        <v>INV GC 102138</v>
      </c>
      <c r="I814" s="2">
        <v>269.77999999999997</v>
      </c>
      <c r="J814" t="str">
        <f>"INV GC 102138"</f>
        <v>INV GC 102138</v>
      </c>
    </row>
    <row r="815" spans="1:10" x14ac:dyDescent="0.3">
      <c r="A815" t="str">
        <f>""</f>
        <v/>
      </c>
      <c r="F815" t="s">
        <v>10</v>
      </c>
      <c r="G815" t="str">
        <f>"102140"</f>
        <v>102140</v>
      </c>
      <c r="H815" t="str">
        <f>"LETTERS/ENVELOPES ECON. DEV."</f>
        <v>LETTERS/ENVELOPES ECON. DEV.</v>
      </c>
      <c r="I815" s="2">
        <v>1559.3</v>
      </c>
      <c r="J815" t="str">
        <f>"LETTERS/ENVELOPES ECON. DEV."</f>
        <v>LETTERS/ENVELOPES ECON. DEV.</v>
      </c>
    </row>
    <row r="816" spans="1:10" x14ac:dyDescent="0.3">
      <c r="A816" t="str">
        <f>""</f>
        <v/>
      </c>
      <c r="F816" t="s">
        <v>10</v>
      </c>
      <c r="G816" t="str">
        <f>"102171"</f>
        <v>102171</v>
      </c>
      <c r="H816" t="str">
        <f>"RIGHTS WARNING-DIST COURT"</f>
        <v>RIGHTS WARNING-DIST COURT</v>
      </c>
      <c r="I816" s="2">
        <v>192.11</v>
      </c>
      <c r="J816" t="str">
        <f>"RIGHTS WARNING-DIST COURT"</f>
        <v>RIGHTS WARNING-DIST COURT</v>
      </c>
    </row>
    <row r="817" spans="1:10" x14ac:dyDescent="0.3">
      <c r="A817" t="str">
        <f>"002605"</f>
        <v>002605</v>
      </c>
      <c r="B817" t="s">
        <v>216</v>
      </c>
      <c r="C817">
        <v>71203</v>
      </c>
      <c r="D817" s="2">
        <v>416.25</v>
      </c>
      <c r="E817" s="1">
        <v>42912</v>
      </c>
      <c r="F817" t="s">
        <v>10</v>
      </c>
      <c r="G817" t="str">
        <f>"201706193156"</f>
        <v>201706193156</v>
      </c>
      <c r="H817" t="str">
        <f>"CUST#2179855/PCT#3"</f>
        <v>CUST#2179855/PCT#3</v>
      </c>
      <c r="I817" s="2">
        <v>416.25</v>
      </c>
      <c r="J817" t="str">
        <f>"CUST#2179855/PCT#3"</f>
        <v>CUST#2179855/PCT#3</v>
      </c>
    </row>
    <row r="818" spans="1:10" x14ac:dyDescent="0.3">
      <c r="A818" t="str">
        <f>"T3839"</f>
        <v>T3839</v>
      </c>
      <c r="B818" t="s">
        <v>217</v>
      </c>
      <c r="C818">
        <v>71204</v>
      </c>
      <c r="D818" s="2">
        <v>352.01</v>
      </c>
      <c r="E818" s="1">
        <v>42912</v>
      </c>
      <c r="F818" t="s">
        <v>10</v>
      </c>
      <c r="G818" t="str">
        <f>"007695577"</f>
        <v>007695577</v>
      </c>
      <c r="H818" t="str">
        <f>"INV 5286610"</f>
        <v>INV 5286610</v>
      </c>
      <c r="I818" s="2">
        <v>352.01</v>
      </c>
      <c r="J818" t="str">
        <f>"INV 5286610"</f>
        <v>INV 5286610</v>
      </c>
    </row>
    <row r="819" spans="1:10" x14ac:dyDescent="0.3">
      <c r="A819" t="str">
        <f>""</f>
        <v/>
      </c>
      <c r="G819" t="str">
        <f>""</f>
        <v/>
      </c>
      <c r="H819" t="str">
        <f>""</f>
        <v/>
      </c>
      <c r="J819" t="str">
        <f>"SHIPPING"</f>
        <v>SHIPPING</v>
      </c>
    </row>
    <row r="820" spans="1:10" x14ac:dyDescent="0.3">
      <c r="A820" t="str">
        <f>"004055"</f>
        <v>004055</v>
      </c>
      <c r="B820" t="s">
        <v>218</v>
      </c>
      <c r="C820">
        <v>70838</v>
      </c>
      <c r="D820" s="2">
        <v>712.71</v>
      </c>
      <c r="E820" s="1">
        <v>42898</v>
      </c>
      <c r="F820" t="s">
        <v>10</v>
      </c>
      <c r="G820" t="str">
        <f>"627685"</f>
        <v>627685</v>
      </c>
      <c r="H820" t="str">
        <f>"TRANSPORT VEHICLES"</f>
        <v>TRANSPORT VEHICLES</v>
      </c>
      <c r="I820" s="2">
        <v>712.71</v>
      </c>
      <c r="J820" t="str">
        <f>"UNIT 0799 INV1112"</f>
        <v>UNIT 0799 INV1112</v>
      </c>
    </row>
    <row r="821" spans="1:10" x14ac:dyDescent="0.3">
      <c r="A821" t="str">
        <f>""</f>
        <v/>
      </c>
      <c r="G821" t="str">
        <f>""</f>
        <v/>
      </c>
      <c r="H821" t="str">
        <f>""</f>
        <v/>
      </c>
      <c r="J821" t="str">
        <f>"UNIT 117 INV 1113"</f>
        <v>UNIT 117 INV 1113</v>
      </c>
    </row>
    <row r="822" spans="1:10" x14ac:dyDescent="0.3">
      <c r="A822" t="str">
        <f>""</f>
        <v/>
      </c>
      <c r="G822" t="str">
        <f>""</f>
        <v/>
      </c>
      <c r="H822" t="str">
        <f>""</f>
        <v/>
      </c>
      <c r="J822" t="str">
        <f>"UNIT 88 INV 1114"</f>
        <v>UNIT 88 INV 1114</v>
      </c>
    </row>
    <row r="823" spans="1:10" x14ac:dyDescent="0.3">
      <c r="A823" t="str">
        <f>""</f>
        <v/>
      </c>
      <c r="G823" t="str">
        <f>""</f>
        <v/>
      </c>
      <c r="H823" t="str">
        <f>""</f>
        <v/>
      </c>
      <c r="J823" t="str">
        <f>"UNIT 4426 INV 1116"</f>
        <v>UNIT 4426 INV 1116</v>
      </c>
    </row>
    <row r="824" spans="1:10" x14ac:dyDescent="0.3">
      <c r="A824" t="str">
        <f>""</f>
        <v/>
      </c>
      <c r="G824" t="str">
        <f>""</f>
        <v/>
      </c>
      <c r="H824" t="str">
        <f>""</f>
        <v/>
      </c>
      <c r="J824" t="str">
        <f>"UNIT 71 INV 1117"</f>
        <v>UNIT 71 INV 1117</v>
      </c>
    </row>
    <row r="825" spans="1:10" x14ac:dyDescent="0.3">
      <c r="A825" t="str">
        <f>""</f>
        <v/>
      </c>
      <c r="G825" t="str">
        <f>""</f>
        <v/>
      </c>
      <c r="H825" t="str">
        <f>""</f>
        <v/>
      </c>
      <c r="J825" t="str">
        <f>"UNIT 118 INV 1111"</f>
        <v>UNIT 118 INV 1111</v>
      </c>
    </row>
    <row r="826" spans="1:10" x14ac:dyDescent="0.3">
      <c r="A826" t="str">
        <f>""</f>
        <v/>
      </c>
      <c r="G826" t="str">
        <f>""</f>
        <v/>
      </c>
      <c r="H826" t="str">
        <f>""</f>
        <v/>
      </c>
      <c r="J826" t="str">
        <f>"UNIT 1126 INV 1109"</f>
        <v>UNIT 1126 INV 1109</v>
      </c>
    </row>
    <row r="827" spans="1:10" x14ac:dyDescent="0.3">
      <c r="A827" t="str">
        <f>"003221"</f>
        <v>003221</v>
      </c>
      <c r="B827" t="s">
        <v>219</v>
      </c>
      <c r="C827">
        <v>70839</v>
      </c>
      <c r="D827" s="2">
        <v>7920</v>
      </c>
      <c r="E827" s="1">
        <v>42898</v>
      </c>
      <c r="F827" t="s">
        <v>10</v>
      </c>
      <c r="G827" t="str">
        <f>"162029"</f>
        <v>162029</v>
      </c>
      <c r="H827" t="str">
        <f>"LABOR AND MATERIALS"</f>
        <v>LABOR AND MATERIALS</v>
      </c>
      <c r="I827" s="2">
        <v>7920</v>
      </c>
      <c r="J827" t="str">
        <f>"LABOR AND MATERIALS"</f>
        <v>LABOR AND MATERIALS</v>
      </c>
    </row>
    <row r="828" spans="1:10" x14ac:dyDescent="0.3">
      <c r="A828" t="str">
        <f>"T12037"</f>
        <v>T12037</v>
      </c>
      <c r="B828" t="s">
        <v>220</v>
      </c>
      <c r="C828">
        <v>70840</v>
      </c>
      <c r="D828" s="2">
        <v>154.93</v>
      </c>
      <c r="E828" s="1">
        <v>42898</v>
      </c>
      <c r="F828" t="s">
        <v>10</v>
      </c>
      <c r="G828" t="str">
        <f>"201706052609"</f>
        <v>201706052609</v>
      </c>
      <c r="H828" t="str">
        <f>"REIMBURSEMENT REQUEST"</f>
        <v>REIMBURSEMENT REQUEST</v>
      </c>
      <c r="I828" s="2">
        <v>154.93</v>
      </c>
      <c r="J828" t="str">
        <f>"REIMBURSEMENT REQUEST"</f>
        <v>REIMBURSEMENT REQUEST</v>
      </c>
    </row>
    <row r="829" spans="1:10" x14ac:dyDescent="0.3">
      <c r="A829" t="str">
        <f>"T12037"</f>
        <v>T12037</v>
      </c>
      <c r="B829" t="s">
        <v>220</v>
      </c>
      <c r="C829">
        <v>71205</v>
      </c>
      <c r="D829" s="2">
        <v>175.03</v>
      </c>
      <c r="E829" s="1">
        <v>42912</v>
      </c>
      <c r="F829" t="s">
        <v>10</v>
      </c>
      <c r="G829" t="str">
        <f>"201706193146"</f>
        <v>201706193146</v>
      </c>
      <c r="H829" t="str">
        <f>"REIMB-FOOD FOR PAVING CREW"</f>
        <v>REIMB-FOOD FOR PAVING CREW</v>
      </c>
      <c r="I829" s="2">
        <v>175.03</v>
      </c>
      <c r="J829" t="str">
        <f>"REIMB-FOOD FOR PAVING CREW"</f>
        <v>REIMB-FOOD FOR PAVING CREW</v>
      </c>
    </row>
    <row r="830" spans="1:10" x14ac:dyDescent="0.3">
      <c r="A830" t="str">
        <f>"004605"</f>
        <v>004605</v>
      </c>
      <c r="B830" t="s">
        <v>221</v>
      </c>
      <c r="C830">
        <v>70841</v>
      </c>
      <c r="D830" s="2">
        <v>50</v>
      </c>
      <c r="E830" s="1">
        <v>42898</v>
      </c>
      <c r="F830" t="s">
        <v>10</v>
      </c>
      <c r="G830" t="str">
        <f>"201706022584"</f>
        <v>201706022584</v>
      </c>
      <c r="H830" t="str">
        <f>"RESTITUTION-ELUID ACOSTA 12085"</f>
        <v>RESTITUTION-ELUID ACOSTA 12085</v>
      </c>
      <c r="I830" s="2">
        <v>50</v>
      </c>
      <c r="J830" t="str">
        <f>"RESTITUTION-ELUID ACOSTA 12085"</f>
        <v>RESTITUTION-ELUID ACOSTA 12085</v>
      </c>
    </row>
    <row r="831" spans="1:10" x14ac:dyDescent="0.3">
      <c r="A831" t="str">
        <f>"004353"</f>
        <v>004353</v>
      </c>
      <c r="B831" t="s">
        <v>222</v>
      </c>
      <c r="C831">
        <v>71206</v>
      </c>
      <c r="D831" s="2">
        <v>956.25</v>
      </c>
      <c r="E831" s="1">
        <v>42912</v>
      </c>
      <c r="F831" t="s">
        <v>10</v>
      </c>
      <c r="G831" t="str">
        <f>"201706133059"</f>
        <v>201706133059</v>
      </c>
      <c r="H831" t="str">
        <f>"TRANSPORTATION"</f>
        <v>TRANSPORTATION</v>
      </c>
      <c r="I831" s="2">
        <v>350</v>
      </c>
      <c r="J831" t="str">
        <f>"TRANSPORTATION"</f>
        <v>TRANSPORTATION</v>
      </c>
    </row>
    <row r="832" spans="1:10" x14ac:dyDescent="0.3">
      <c r="A832" t="str">
        <f>""</f>
        <v/>
      </c>
      <c r="F832" t="s">
        <v>10</v>
      </c>
      <c r="G832" t="str">
        <f>"201706193148"</f>
        <v>201706193148</v>
      </c>
      <c r="H832" t="str">
        <f>"TRANSPORT-S. WILLIAMS"</f>
        <v>TRANSPORT-S. WILLIAMS</v>
      </c>
      <c r="I832" s="2">
        <v>606.25</v>
      </c>
      <c r="J832" t="str">
        <f>"TRANSPORT"</f>
        <v>TRANSPORT</v>
      </c>
    </row>
    <row r="833" spans="1:10" x14ac:dyDescent="0.3">
      <c r="A833" t="str">
        <f>"003304"</f>
        <v>003304</v>
      </c>
      <c r="B833" t="s">
        <v>223</v>
      </c>
      <c r="C833">
        <v>70842</v>
      </c>
      <c r="D833" s="2">
        <v>120</v>
      </c>
      <c r="E833" s="1">
        <v>42898</v>
      </c>
      <c r="F833" t="s">
        <v>10</v>
      </c>
      <c r="G833" t="str">
        <f>"201706052636"</f>
        <v>201706052636</v>
      </c>
      <c r="H833" t="str">
        <f>"FERAL HOGS"</f>
        <v>FERAL HOGS</v>
      </c>
      <c r="I833" s="2">
        <v>115</v>
      </c>
      <c r="J833" t="str">
        <f>"FERAL HOGS"</f>
        <v>FERAL HOGS</v>
      </c>
    </row>
    <row r="834" spans="1:10" x14ac:dyDescent="0.3">
      <c r="A834" t="str">
        <f>""</f>
        <v/>
      </c>
      <c r="F834" t="s">
        <v>10</v>
      </c>
      <c r="G834" t="str">
        <f>"201706072989"</f>
        <v>201706072989</v>
      </c>
      <c r="H834" t="str">
        <f>"FERAL HOGS"</f>
        <v>FERAL HOGS</v>
      </c>
      <c r="I834" s="2">
        <v>5</v>
      </c>
      <c r="J834" t="str">
        <f>"FERAL HOGS"</f>
        <v>FERAL HOGS</v>
      </c>
    </row>
    <row r="835" spans="1:10" x14ac:dyDescent="0.3">
      <c r="A835" t="str">
        <f>"005117"</f>
        <v>005117</v>
      </c>
      <c r="B835" t="s">
        <v>224</v>
      </c>
      <c r="C835">
        <v>70843</v>
      </c>
      <c r="D835" s="2">
        <v>897.4</v>
      </c>
      <c r="E835" s="1">
        <v>42898</v>
      </c>
      <c r="F835" t="s">
        <v>10</v>
      </c>
      <c r="G835" t="str">
        <f>"0067201"</f>
        <v>0067201</v>
      </c>
      <c r="H835" t="str">
        <f>"DUST CONTROL - P3"</f>
        <v>DUST CONTROL - P3</v>
      </c>
      <c r="I835" s="2">
        <v>897.4</v>
      </c>
      <c r="J835" t="str">
        <f>"DUST CONTROL - P3"</f>
        <v>DUST CONTROL - P3</v>
      </c>
    </row>
    <row r="836" spans="1:10" x14ac:dyDescent="0.3">
      <c r="A836" t="str">
        <f>"T12872"</f>
        <v>T12872</v>
      </c>
      <c r="B836" t="s">
        <v>225</v>
      </c>
      <c r="C836">
        <v>70844</v>
      </c>
      <c r="D836" s="2">
        <v>2228.5</v>
      </c>
      <c r="E836" s="1">
        <v>42898</v>
      </c>
      <c r="F836" t="s">
        <v>10</v>
      </c>
      <c r="G836" t="str">
        <f>"54836024"</f>
        <v>54836024</v>
      </c>
      <c r="H836" t="str">
        <f>"Mag Tek"</f>
        <v>Mag Tek</v>
      </c>
      <c r="I836" s="2">
        <v>2228.5</v>
      </c>
      <c r="J836" t="str">
        <f>"Mag Tek"</f>
        <v>Mag Tek</v>
      </c>
    </row>
    <row r="837" spans="1:10" x14ac:dyDescent="0.3">
      <c r="A837" t="str">
        <f>"T12872"</f>
        <v>T12872</v>
      </c>
      <c r="B837" t="s">
        <v>225</v>
      </c>
      <c r="C837">
        <v>71207</v>
      </c>
      <c r="D837" s="2">
        <v>38876.01</v>
      </c>
      <c r="E837" s="1">
        <v>42912</v>
      </c>
      <c r="F837" t="s">
        <v>10</v>
      </c>
      <c r="G837" t="str">
        <f>"MULTIPLE INVOICES"</f>
        <v>MULTIPLE INVOICES</v>
      </c>
      <c r="H837" t="str">
        <f>"Quote# 24206907.10-W1"</f>
        <v>Quote# 24206907.10-W1</v>
      </c>
      <c r="I837" s="2">
        <v>38876.01</v>
      </c>
      <c r="J837" t="str">
        <f>"Item# 26835612"</f>
        <v>Item# 26835612</v>
      </c>
    </row>
    <row r="838" spans="1:10" x14ac:dyDescent="0.3">
      <c r="A838" t="str">
        <f>""</f>
        <v/>
      </c>
      <c r="G838" t="str">
        <f>""</f>
        <v/>
      </c>
      <c r="H838" t="str">
        <f>""</f>
        <v/>
      </c>
      <c r="J838" t="str">
        <f>"Item# 2251479"</f>
        <v>Item# 2251479</v>
      </c>
    </row>
    <row r="839" spans="1:10" x14ac:dyDescent="0.3">
      <c r="A839" t="str">
        <f>""</f>
        <v/>
      </c>
      <c r="G839" t="str">
        <f>""</f>
        <v/>
      </c>
      <c r="H839" t="str">
        <f>""</f>
        <v/>
      </c>
      <c r="J839" t="str">
        <f>"Item# 8332974"</f>
        <v>Item# 8332974</v>
      </c>
    </row>
    <row r="840" spans="1:10" x14ac:dyDescent="0.3">
      <c r="A840" t="str">
        <f>""</f>
        <v/>
      </c>
      <c r="G840" t="str">
        <f>""</f>
        <v/>
      </c>
      <c r="H840" t="str">
        <f>""</f>
        <v/>
      </c>
      <c r="J840" t="str">
        <f>"Item# 1860417"</f>
        <v>Item# 1860417</v>
      </c>
    </row>
    <row r="841" spans="1:10" x14ac:dyDescent="0.3">
      <c r="A841" t="str">
        <f>""</f>
        <v/>
      </c>
      <c r="G841" t="str">
        <f>""</f>
        <v/>
      </c>
      <c r="H841" t="str">
        <f>""</f>
        <v/>
      </c>
      <c r="J841" t="str">
        <f>"Item# 17638854"</f>
        <v>Item# 17638854</v>
      </c>
    </row>
    <row r="842" spans="1:10" x14ac:dyDescent="0.3">
      <c r="A842" t="str">
        <f>""</f>
        <v/>
      </c>
      <c r="G842" t="str">
        <f>""</f>
        <v/>
      </c>
      <c r="H842" t="str">
        <f>""</f>
        <v/>
      </c>
      <c r="J842" t="str">
        <f>"Item# 9660339"</f>
        <v>Item# 9660339</v>
      </c>
    </row>
    <row r="843" spans="1:10" x14ac:dyDescent="0.3">
      <c r="A843" t="str">
        <f>""</f>
        <v/>
      </c>
      <c r="G843" t="str">
        <f>""</f>
        <v/>
      </c>
      <c r="H843" t="str">
        <f>""</f>
        <v/>
      </c>
      <c r="J843" t="str">
        <f>"Iem# 9660355"</f>
        <v>Iem# 9660355</v>
      </c>
    </row>
    <row r="844" spans="1:10" x14ac:dyDescent="0.3">
      <c r="A844" t="str">
        <f>""</f>
        <v/>
      </c>
      <c r="G844" t="str">
        <f>""</f>
        <v/>
      </c>
      <c r="H844" t="str">
        <f>""</f>
        <v/>
      </c>
      <c r="J844" t="str">
        <f>"Item# Install"</f>
        <v>Item# Install</v>
      </c>
    </row>
    <row r="845" spans="1:10" x14ac:dyDescent="0.3">
      <c r="A845" t="str">
        <f>"WWGI"</f>
        <v>WWGI</v>
      </c>
      <c r="B845" t="s">
        <v>226</v>
      </c>
      <c r="C845">
        <v>70845</v>
      </c>
      <c r="D845" s="2">
        <v>597.37</v>
      </c>
      <c r="E845" s="1">
        <v>42898</v>
      </c>
      <c r="F845" t="s">
        <v>10</v>
      </c>
      <c r="G845" t="str">
        <f>"9463406992"</f>
        <v>9463406992</v>
      </c>
      <c r="H845" t="str">
        <f>"Invoice# 9463406992"</f>
        <v>Invoice# 9463406992</v>
      </c>
      <c r="I845" s="2">
        <v>597.37</v>
      </c>
      <c r="J845" t="str">
        <f>"Item# 30RF41"</f>
        <v>Item# 30RF41</v>
      </c>
    </row>
    <row r="846" spans="1:10" x14ac:dyDescent="0.3">
      <c r="A846" t="str">
        <f>"WWGI"</f>
        <v>WWGI</v>
      </c>
      <c r="B846" t="s">
        <v>226</v>
      </c>
      <c r="C846">
        <v>71208</v>
      </c>
      <c r="D846" s="2">
        <v>549.79999999999995</v>
      </c>
      <c r="E846" s="1">
        <v>42912</v>
      </c>
      <c r="F846" t="s">
        <v>10</v>
      </c>
      <c r="G846" t="str">
        <f>"9NN20/5WMN1/30RF43"</f>
        <v>9NN20/5WMN1/30RF43</v>
      </c>
      <c r="H846" t="str">
        <f>"Acct# 814780730"</f>
        <v>Acct# 814780730</v>
      </c>
      <c r="I846" s="2">
        <v>549.79999999999995</v>
      </c>
      <c r="J846" t="str">
        <f>"9NN20"</f>
        <v>9NN20</v>
      </c>
    </row>
    <row r="847" spans="1:10" x14ac:dyDescent="0.3">
      <c r="A847" t="str">
        <f>""</f>
        <v/>
      </c>
      <c r="G847" t="str">
        <f>""</f>
        <v/>
      </c>
      <c r="H847" t="str">
        <f>""</f>
        <v/>
      </c>
      <c r="J847" t="str">
        <f>"5WMN1"</f>
        <v>5WMN1</v>
      </c>
    </row>
    <row r="848" spans="1:10" x14ac:dyDescent="0.3">
      <c r="A848" t="str">
        <f>""</f>
        <v/>
      </c>
      <c r="G848" t="str">
        <f>""</f>
        <v/>
      </c>
      <c r="H848" t="str">
        <f>""</f>
        <v/>
      </c>
      <c r="J848" t="str">
        <f>"30RF43"</f>
        <v>30RF43</v>
      </c>
    </row>
    <row r="849" spans="1:10" x14ac:dyDescent="0.3">
      <c r="A849" t="str">
        <f>"T13464"</f>
        <v>T13464</v>
      </c>
      <c r="B849" t="s">
        <v>227</v>
      </c>
      <c r="C849">
        <v>70846</v>
      </c>
      <c r="D849" s="2">
        <v>240</v>
      </c>
      <c r="E849" s="1">
        <v>42898</v>
      </c>
      <c r="F849" t="s">
        <v>10</v>
      </c>
      <c r="G849" t="str">
        <f>"201706022569"</f>
        <v>201706022569</v>
      </c>
      <c r="H849" t="str">
        <f>"STATE BAR DUES"</f>
        <v>STATE BAR DUES</v>
      </c>
      <c r="I849" s="2">
        <v>240</v>
      </c>
      <c r="J849" t="str">
        <f>"STATE BAR DUES"</f>
        <v>STATE BAR DUES</v>
      </c>
    </row>
    <row r="850" spans="1:10" x14ac:dyDescent="0.3">
      <c r="A850" t="str">
        <f>"001515"</f>
        <v>001515</v>
      </c>
      <c r="B850" t="s">
        <v>228</v>
      </c>
      <c r="C850">
        <v>70847</v>
      </c>
      <c r="D850" s="2">
        <v>2737.5</v>
      </c>
      <c r="E850" s="1">
        <v>42898</v>
      </c>
      <c r="F850" t="s">
        <v>10</v>
      </c>
      <c r="G850" t="str">
        <f>"430543"</f>
        <v>430543</v>
      </c>
      <c r="H850" t="str">
        <f>"DEPOSIT ON OPEB VALUATION"</f>
        <v>DEPOSIT ON OPEB VALUATION</v>
      </c>
      <c r="I850" s="2">
        <v>2737.5</v>
      </c>
      <c r="J850" t="str">
        <f>"DEPOSIT ON OPEB VALUATION"</f>
        <v>DEPOSIT ON OPEB VALUATION</v>
      </c>
    </row>
    <row r="851" spans="1:10" x14ac:dyDescent="0.3">
      <c r="A851" t="str">
        <f>"GTDI"</f>
        <v>GTDI</v>
      </c>
      <c r="B851" t="s">
        <v>229</v>
      </c>
      <c r="C851">
        <v>70848</v>
      </c>
      <c r="D851" s="2">
        <v>113.98</v>
      </c>
      <c r="E851" s="1">
        <v>42898</v>
      </c>
      <c r="F851" t="s">
        <v>10</v>
      </c>
      <c r="G851" t="str">
        <f>"INV0617388"</f>
        <v>INV0617388</v>
      </c>
      <c r="H851" t="str">
        <f>"CUST ID 000825 CON2"</f>
        <v>CUST ID 000825 CON2</v>
      </c>
      <c r="I851" s="2">
        <v>113.98</v>
      </c>
      <c r="J851" t="str">
        <f>"CUST ID 000825 CON2"</f>
        <v>CUST ID 000825 CON2</v>
      </c>
    </row>
    <row r="852" spans="1:10" x14ac:dyDescent="0.3">
      <c r="A852" t="str">
        <f>"002838"</f>
        <v>002838</v>
      </c>
      <c r="B852" t="s">
        <v>230</v>
      </c>
      <c r="C852">
        <v>71209</v>
      </c>
      <c r="D852" s="2">
        <v>55</v>
      </c>
      <c r="E852" s="1">
        <v>42912</v>
      </c>
      <c r="F852" t="s">
        <v>10</v>
      </c>
      <c r="G852" t="str">
        <f>"7400 A"</f>
        <v>7400 A</v>
      </c>
      <c r="H852" t="str">
        <f>"SERVICE-3/24/17"</f>
        <v>SERVICE-3/24/17</v>
      </c>
      <c r="I852" s="2">
        <v>55</v>
      </c>
      <c r="J852" t="str">
        <f>"SERVICE-3/24/17"</f>
        <v>SERVICE-3/24/17</v>
      </c>
    </row>
    <row r="853" spans="1:10" x14ac:dyDescent="0.3">
      <c r="A853" t="str">
        <f>"T3667"</f>
        <v>T3667</v>
      </c>
      <c r="B853" t="s">
        <v>231</v>
      </c>
      <c r="C853">
        <v>70849</v>
      </c>
      <c r="D853" s="2">
        <v>716.77</v>
      </c>
      <c r="E853" s="1">
        <v>42898</v>
      </c>
      <c r="F853" t="s">
        <v>10</v>
      </c>
      <c r="G853" t="str">
        <f>"1324058"</f>
        <v>1324058</v>
      </c>
      <c r="H853" t="str">
        <f>"CUST# 01/0007014928/SUPPLIES"</f>
        <v>CUST# 01/0007014928/SUPPLIES</v>
      </c>
      <c r="I853" s="2">
        <v>637.73</v>
      </c>
      <c r="J853" t="str">
        <f>"CUST# 01/0007014928/SUPPLIES"</f>
        <v>CUST# 01/0007014928/SUPPLIES</v>
      </c>
    </row>
    <row r="854" spans="1:10" x14ac:dyDescent="0.3">
      <c r="A854" t="str">
        <f>""</f>
        <v/>
      </c>
      <c r="F854" t="s">
        <v>10</v>
      </c>
      <c r="G854" t="str">
        <f>"1330587"</f>
        <v>1330587</v>
      </c>
      <c r="H854" t="str">
        <f>"OFFICE SUPPLIES"</f>
        <v>OFFICE SUPPLIES</v>
      </c>
      <c r="I854" s="2">
        <v>79.040000000000006</v>
      </c>
      <c r="J854" t="str">
        <f>"OFFICE SUPPLIES"</f>
        <v>OFFICE SUPPLIES</v>
      </c>
    </row>
    <row r="855" spans="1:10" x14ac:dyDescent="0.3">
      <c r="A855" t="str">
        <f>"T3667"</f>
        <v>T3667</v>
      </c>
      <c r="B855" t="s">
        <v>231</v>
      </c>
      <c r="C855">
        <v>71210</v>
      </c>
      <c r="D855" s="2">
        <v>321.42</v>
      </c>
      <c r="E855" s="1">
        <v>42912</v>
      </c>
      <c r="F855" t="s">
        <v>10</v>
      </c>
      <c r="G855" t="str">
        <f>"1340205"</f>
        <v>1340205</v>
      </c>
      <c r="H855" t="str">
        <f>"CUST # 0007014928 / GS"</f>
        <v>CUST # 0007014928 / GS</v>
      </c>
      <c r="I855" s="2">
        <v>321.42</v>
      </c>
      <c r="J855" t="str">
        <f>"CUST # 0007014928 / GS"</f>
        <v>CUST # 0007014928 / GS</v>
      </c>
    </row>
    <row r="856" spans="1:10" x14ac:dyDescent="0.3">
      <c r="A856" t="str">
        <f>"T14120"</f>
        <v>T14120</v>
      </c>
      <c r="B856" t="s">
        <v>232</v>
      </c>
      <c r="C856">
        <v>71211</v>
      </c>
      <c r="D856" s="2">
        <v>85</v>
      </c>
      <c r="E856" s="1">
        <v>42912</v>
      </c>
      <c r="F856" t="s">
        <v>10</v>
      </c>
      <c r="G856" t="str">
        <f>"84388"</f>
        <v>84388</v>
      </c>
      <c r="H856" t="str">
        <f>"ACCT#41985/TRUCK CHARGE"</f>
        <v>ACCT#41985/TRUCK CHARGE</v>
      </c>
      <c r="I856" s="2">
        <v>85</v>
      </c>
      <c r="J856" t="str">
        <f>"ACCT#41985"</f>
        <v>ACCT#41985</v>
      </c>
    </row>
    <row r="857" spans="1:10" x14ac:dyDescent="0.3">
      <c r="A857" t="str">
        <f>"T13876"</f>
        <v>T13876</v>
      </c>
      <c r="B857" t="s">
        <v>233</v>
      </c>
      <c r="C857">
        <v>71212</v>
      </c>
      <c r="D857" s="2">
        <v>11500</v>
      </c>
      <c r="E857" s="1">
        <v>42912</v>
      </c>
      <c r="F857" t="s">
        <v>10</v>
      </c>
      <c r="G857" t="str">
        <f>"00001673"</f>
        <v>00001673</v>
      </c>
      <c r="H857" t="str">
        <f>"Inv# 00001673"</f>
        <v>Inv# 00001673</v>
      </c>
      <c r="I857" s="2">
        <v>11500</v>
      </c>
      <c r="J857" t="str">
        <f>"Inv# 00001673"</f>
        <v>Inv# 00001673</v>
      </c>
    </row>
    <row r="858" spans="1:10" x14ac:dyDescent="0.3">
      <c r="A858" t="str">
        <f>"HEWI"</f>
        <v>HEWI</v>
      </c>
      <c r="B858" t="s">
        <v>234</v>
      </c>
      <c r="C858">
        <v>70850</v>
      </c>
      <c r="D858" s="2">
        <v>330.11</v>
      </c>
      <c r="E858" s="1">
        <v>42898</v>
      </c>
      <c r="F858" t="s">
        <v>10</v>
      </c>
      <c r="G858" t="str">
        <f>"539544"</f>
        <v>539544</v>
      </c>
      <c r="H858" t="str">
        <f>"INV539544FAN MOTOR"</f>
        <v>INV539544FAN MOTOR</v>
      </c>
      <c r="I858" s="2">
        <v>330.11</v>
      </c>
      <c r="J858" t="str">
        <f>"INV539544FAN MOTOR"</f>
        <v>INV539544FAN MOTOR</v>
      </c>
    </row>
    <row r="859" spans="1:10" x14ac:dyDescent="0.3">
      <c r="A859" t="str">
        <f>"005122"</f>
        <v>005122</v>
      </c>
      <c r="B859" t="s">
        <v>235</v>
      </c>
      <c r="C859">
        <v>71213</v>
      </c>
      <c r="D859" s="2">
        <v>214.52</v>
      </c>
      <c r="E859" s="1">
        <v>42912</v>
      </c>
      <c r="F859" t="s">
        <v>10</v>
      </c>
      <c r="G859" t="str">
        <f>"201706213227"</f>
        <v>201706213227</v>
      </c>
      <c r="H859" t="str">
        <f>"INDIGENT HEALTH"</f>
        <v>INDIGENT HEALTH</v>
      </c>
      <c r="I859" s="2">
        <v>214.52</v>
      </c>
      <c r="J859" t="str">
        <f>"INDIGENT HEALTH"</f>
        <v>INDIGENT HEALTH</v>
      </c>
    </row>
    <row r="860" spans="1:10" x14ac:dyDescent="0.3">
      <c r="A860" t="str">
        <f>"003170"</f>
        <v>003170</v>
      </c>
      <c r="B860" t="s">
        <v>236</v>
      </c>
      <c r="C860">
        <v>70851</v>
      </c>
      <c r="D860" s="2">
        <v>150</v>
      </c>
      <c r="E860" s="1">
        <v>42898</v>
      </c>
      <c r="F860" t="s">
        <v>10</v>
      </c>
      <c r="G860" t="s">
        <v>74</v>
      </c>
      <c r="H860" t="s">
        <v>77</v>
      </c>
      <c r="I860" s="2" t="str">
        <f>"SERVICE-3/24/2017"</f>
        <v>SERVICE-3/24/2017</v>
      </c>
      <c r="J860" t="str">
        <f>"995-4110"</f>
        <v>995-4110</v>
      </c>
    </row>
    <row r="861" spans="1:10" x14ac:dyDescent="0.3">
      <c r="A861" t="str">
        <f>""</f>
        <v/>
      </c>
      <c r="F861" t="s">
        <v>10</v>
      </c>
      <c r="G861" t="str">
        <f>"12000"</f>
        <v>12000</v>
      </c>
      <c r="H861" t="str">
        <f>"SERVICE 03/06/2017"</f>
        <v>SERVICE 03/06/2017</v>
      </c>
      <c r="I861" s="2">
        <v>75</v>
      </c>
      <c r="J861" t="str">
        <f>"SERVICE 03/06/2017"</f>
        <v>SERVICE 03/06/2017</v>
      </c>
    </row>
    <row r="862" spans="1:10" x14ac:dyDescent="0.3">
      <c r="A862" t="str">
        <f>"003170"</f>
        <v>003170</v>
      </c>
      <c r="B862" t="s">
        <v>236</v>
      </c>
      <c r="C862">
        <v>71214</v>
      </c>
      <c r="D862" s="2">
        <v>75</v>
      </c>
      <c r="E862" s="1">
        <v>42912</v>
      </c>
      <c r="F862" t="s">
        <v>10</v>
      </c>
      <c r="G862" t="str">
        <f>"12492"</f>
        <v>12492</v>
      </c>
      <c r="H862" t="str">
        <f>"SERVICE-4/4/17"</f>
        <v>SERVICE-4/4/17</v>
      </c>
      <c r="I862" s="2">
        <v>75</v>
      </c>
      <c r="J862" t="str">
        <f>"SERVICE-4/4/17"</f>
        <v>SERVICE-4/4/17</v>
      </c>
    </row>
    <row r="863" spans="1:10" x14ac:dyDescent="0.3">
      <c r="A863" t="str">
        <f>"002540"</f>
        <v>002540</v>
      </c>
      <c r="B863" t="s">
        <v>237</v>
      </c>
      <c r="C863">
        <v>70852</v>
      </c>
      <c r="D863" s="2">
        <v>75</v>
      </c>
      <c r="E863" s="1">
        <v>42898</v>
      </c>
      <c r="F863" t="s">
        <v>10</v>
      </c>
      <c r="G863" t="s">
        <v>64</v>
      </c>
      <c r="H863" t="s">
        <v>67</v>
      </c>
      <c r="I863" s="2" t="str">
        <f>"SERVICE 3/29/2017"</f>
        <v>SERVICE 3/29/2017</v>
      </c>
      <c r="J863" t="str">
        <f>"995-4110"</f>
        <v>995-4110</v>
      </c>
    </row>
    <row r="864" spans="1:10" x14ac:dyDescent="0.3">
      <c r="A864" t="str">
        <f>"001798"</f>
        <v>001798</v>
      </c>
      <c r="B864" t="s">
        <v>238</v>
      </c>
      <c r="C864">
        <v>70853</v>
      </c>
      <c r="D864" s="2">
        <v>1248.3</v>
      </c>
      <c r="E864" s="1">
        <v>42898</v>
      </c>
      <c r="F864" t="s">
        <v>10</v>
      </c>
      <c r="G864" t="str">
        <f>"46507"</f>
        <v>46507</v>
      </c>
      <c r="H864" t="str">
        <f>"Inv#46507"</f>
        <v>Inv#46507</v>
      </c>
      <c r="I864" s="2">
        <v>529.35</v>
      </c>
      <c r="J864" t="str">
        <f>"1HW710"</f>
        <v>1HW710</v>
      </c>
    </row>
    <row r="865" spans="1:10" x14ac:dyDescent="0.3">
      <c r="A865" t="str">
        <f>""</f>
        <v/>
      </c>
      <c r="G865" t="str">
        <f>""</f>
        <v/>
      </c>
      <c r="H865" t="str">
        <f>""</f>
        <v/>
      </c>
      <c r="J865" t="str">
        <f>"Freight"</f>
        <v>Freight</v>
      </c>
    </row>
    <row r="866" spans="1:10" x14ac:dyDescent="0.3">
      <c r="A866" t="str">
        <f>""</f>
        <v/>
      </c>
      <c r="F866" t="s">
        <v>10</v>
      </c>
      <c r="G866" t="str">
        <f>"47074"</f>
        <v>47074</v>
      </c>
      <c r="H866" t="str">
        <f>"Quote# 052517-04"</f>
        <v>Quote# 052517-04</v>
      </c>
      <c r="I866" s="2">
        <v>718.95</v>
      </c>
      <c r="J866" t="str">
        <f>"Item# 1CA12CD-S"</f>
        <v>Item# 1CA12CD-S</v>
      </c>
    </row>
    <row r="867" spans="1:10" x14ac:dyDescent="0.3">
      <c r="A867" t="str">
        <f>""</f>
        <v/>
      </c>
      <c r="G867" t="str">
        <f>""</f>
        <v/>
      </c>
      <c r="H867" t="str">
        <f>""</f>
        <v/>
      </c>
      <c r="J867" t="str">
        <f>"Freight"</f>
        <v>Freight</v>
      </c>
    </row>
    <row r="868" spans="1:10" x14ac:dyDescent="0.3">
      <c r="A868" t="str">
        <f>"T8039"</f>
        <v>T8039</v>
      </c>
      <c r="B868" t="s">
        <v>239</v>
      </c>
      <c r="C868">
        <v>70854</v>
      </c>
      <c r="D868" s="2">
        <v>92.45</v>
      </c>
      <c r="E868" s="1">
        <v>42898</v>
      </c>
      <c r="F868" t="s">
        <v>10</v>
      </c>
      <c r="G868" t="str">
        <f>"201706072839"</f>
        <v>201706072839</v>
      </c>
      <c r="H868" t="str">
        <f>"INDIGENT HEALTH"</f>
        <v>INDIGENT HEALTH</v>
      </c>
      <c r="I868" s="2">
        <v>92.45</v>
      </c>
      <c r="J868" t="str">
        <f>"INDIGENT HEALTH"</f>
        <v>INDIGENT HEALTH</v>
      </c>
    </row>
    <row r="869" spans="1:10" x14ac:dyDescent="0.3">
      <c r="A869" t="str">
        <f>"HP&amp;S"</f>
        <v>HP&amp;S</v>
      </c>
      <c r="B869" t="s">
        <v>240</v>
      </c>
      <c r="C869">
        <v>70855</v>
      </c>
      <c r="D869" s="2">
        <v>132</v>
      </c>
      <c r="E869" s="1">
        <v>42898</v>
      </c>
      <c r="F869" t="s">
        <v>10</v>
      </c>
      <c r="G869" t="str">
        <f>"038589"</f>
        <v>038589</v>
      </c>
      <c r="H869" t="str">
        <f>"BUSINESS CARDS"</f>
        <v>BUSINESS CARDS</v>
      </c>
      <c r="I869" s="2">
        <v>132</v>
      </c>
      <c r="J869" t="str">
        <f>"BUSINESS CARDS"</f>
        <v>BUSINESS CARDS</v>
      </c>
    </row>
    <row r="870" spans="1:10" x14ac:dyDescent="0.3">
      <c r="A870" t="str">
        <f>"005068"</f>
        <v>005068</v>
      </c>
      <c r="B870" t="s">
        <v>241</v>
      </c>
      <c r="C870">
        <v>70856</v>
      </c>
      <c r="D870" s="2">
        <v>15</v>
      </c>
      <c r="E870" s="1">
        <v>42898</v>
      </c>
      <c r="F870" t="s">
        <v>10</v>
      </c>
      <c r="G870" t="str">
        <f>"201706072990"</f>
        <v>201706072990</v>
      </c>
      <c r="H870" t="str">
        <f>"FERAL HOGS"</f>
        <v>FERAL HOGS</v>
      </c>
      <c r="I870" s="2">
        <v>15</v>
      </c>
      <c r="J870" t="str">
        <f>"FERAL HOGS"</f>
        <v>FERAL HOGS</v>
      </c>
    </row>
    <row r="871" spans="1:10" x14ac:dyDescent="0.3">
      <c r="A871" t="str">
        <f>"004368"</f>
        <v>004368</v>
      </c>
      <c r="B871" t="s">
        <v>242</v>
      </c>
      <c r="C871">
        <v>70857</v>
      </c>
      <c r="D871" s="2">
        <v>130</v>
      </c>
      <c r="E871" s="1">
        <v>42898</v>
      </c>
      <c r="F871" t="s">
        <v>10</v>
      </c>
      <c r="G871" t="str">
        <f>"201706052637"</f>
        <v>201706052637</v>
      </c>
      <c r="H871" t="str">
        <f>"FERAL HOGS"</f>
        <v>FERAL HOGS</v>
      </c>
      <c r="I871" s="2">
        <v>110</v>
      </c>
      <c r="J871" t="str">
        <f>"FERAL HOGS"</f>
        <v>FERAL HOGS</v>
      </c>
    </row>
    <row r="872" spans="1:10" x14ac:dyDescent="0.3">
      <c r="A872" t="str">
        <f>""</f>
        <v/>
      </c>
      <c r="F872" t="s">
        <v>10</v>
      </c>
      <c r="G872" t="str">
        <f>"201706072991"</f>
        <v>201706072991</v>
      </c>
      <c r="H872" t="str">
        <f>"FERAL HOGS"</f>
        <v>FERAL HOGS</v>
      </c>
      <c r="I872" s="2">
        <v>20</v>
      </c>
      <c r="J872" t="str">
        <f>"FERAL HOGS"</f>
        <v>FERAL HOGS</v>
      </c>
    </row>
    <row r="873" spans="1:10" x14ac:dyDescent="0.3">
      <c r="A873" t="str">
        <f>"004624"</f>
        <v>004624</v>
      </c>
      <c r="B873" t="s">
        <v>243</v>
      </c>
      <c r="C873">
        <v>70858</v>
      </c>
      <c r="D873" s="2">
        <v>100</v>
      </c>
      <c r="E873" s="1">
        <v>42898</v>
      </c>
      <c r="F873" t="s">
        <v>10</v>
      </c>
      <c r="G873" t="str">
        <f>"201706022585"</f>
        <v>201706022585</v>
      </c>
      <c r="H873" t="str">
        <f>"RESTITUT MICHAEL FELTS 10 658"</f>
        <v>RESTITUT MICHAEL FELTS 10 658</v>
      </c>
      <c r="I873" s="2">
        <v>100</v>
      </c>
      <c r="J873" t="str">
        <f>"RESTITUT MICHAEL FELTS 10 658"</f>
        <v>RESTITUT MICHAEL FELTS 10 658</v>
      </c>
    </row>
    <row r="874" spans="1:10" x14ac:dyDescent="0.3">
      <c r="A874" t="str">
        <f>"002677"</f>
        <v>002677</v>
      </c>
      <c r="B874" t="s">
        <v>244</v>
      </c>
      <c r="C874">
        <v>70859</v>
      </c>
      <c r="D874" s="2">
        <v>168</v>
      </c>
      <c r="E874" s="1">
        <v>42898</v>
      </c>
      <c r="F874" t="s">
        <v>10</v>
      </c>
      <c r="G874" t="str">
        <f>"12226-03/16/2017"</f>
        <v>12226-03/16/2017</v>
      </c>
      <c r="H874" t="str">
        <f>"SERVICE 03/16/2017"</f>
        <v>SERVICE 03/16/2017</v>
      </c>
      <c r="I874" s="2">
        <v>168</v>
      </c>
      <c r="J874" t="str">
        <f>"SERVICE 03/16/2017"</f>
        <v>SERVICE 03/16/2017</v>
      </c>
    </row>
    <row r="875" spans="1:10" x14ac:dyDescent="0.3">
      <c r="A875" t="str">
        <f>"004351"</f>
        <v>004351</v>
      </c>
      <c r="B875" t="s">
        <v>245</v>
      </c>
      <c r="C875">
        <v>70690</v>
      </c>
      <c r="D875" s="2">
        <v>368.07</v>
      </c>
      <c r="E875" s="1">
        <v>42891</v>
      </c>
      <c r="F875" t="s">
        <v>10</v>
      </c>
      <c r="G875" t="str">
        <f>"201706052611"</f>
        <v>201706052611</v>
      </c>
      <c r="H875" t="str">
        <f>"MILEAGE APRIL 2017"</f>
        <v>MILEAGE APRIL 2017</v>
      </c>
      <c r="I875" s="2">
        <v>113.42</v>
      </c>
    </row>
    <row r="876" spans="1:10" x14ac:dyDescent="0.3">
      <c r="A876" t="str">
        <f>""</f>
        <v/>
      </c>
      <c r="F876" t="s">
        <v>10</v>
      </c>
      <c r="G876" t="str">
        <f>"201706052612"</f>
        <v>201706052612</v>
      </c>
      <c r="H876" t="str">
        <f>"STATE 4H HOTEL ADVANCE"</f>
        <v>STATE 4H HOTEL ADVANCE</v>
      </c>
      <c r="I876" s="2">
        <v>254.65</v>
      </c>
    </row>
    <row r="877" spans="1:10" x14ac:dyDescent="0.3">
      <c r="A877" t="str">
        <f>"004351"</f>
        <v>004351</v>
      </c>
      <c r="B877" t="s">
        <v>245</v>
      </c>
      <c r="C877">
        <v>70690</v>
      </c>
      <c r="D877" s="2">
        <v>368.07</v>
      </c>
      <c r="E877" s="1">
        <v>42901</v>
      </c>
      <c r="F877" t="s">
        <v>246</v>
      </c>
      <c r="G877" t="str">
        <f>"CHECK"</f>
        <v>CHECK</v>
      </c>
      <c r="H877" t="str">
        <f>""</f>
        <v/>
      </c>
      <c r="I877" s="2">
        <v>368.07</v>
      </c>
    </row>
    <row r="878" spans="1:10" x14ac:dyDescent="0.3">
      <c r="A878" t="str">
        <f>"004351"</f>
        <v>004351</v>
      </c>
      <c r="B878" t="s">
        <v>245</v>
      </c>
      <c r="C878">
        <v>71094</v>
      </c>
      <c r="D878" s="2">
        <v>113.42</v>
      </c>
      <c r="E878" s="1">
        <v>42901</v>
      </c>
      <c r="F878" t="s">
        <v>10</v>
      </c>
      <c r="G878" t="str">
        <f>"201706153103"</f>
        <v>201706153103</v>
      </c>
      <c r="H878" t="str">
        <f>"MILEAGE REIMBURSEMENT 04/2017"</f>
        <v>MILEAGE REIMBURSEMENT 04/2017</v>
      </c>
      <c r="I878" s="2">
        <v>113.42</v>
      </c>
      <c r="J878" t="str">
        <f>"MILEAGE REIMBURSEMENT 04/2017"</f>
        <v>MILEAGE REIMBURSEMENT 04/2017</v>
      </c>
    </row>
    <row r="879" spans="1:10" x14ac:dyDescent="0.3">
      <c r="A879" t="str">
        <f>"HPC"</f>
        <v>HPC</v>
      </c>
      <c r="B879" t="s">
        <v>247</v>
      </c>
      <c r="C879">
        <v>71215</v>
      </c>
      <c r="D879" s="2">
        <v>650</v>
      </c>
      <c r="E879" s="1">
        <v>42912</v>
      </c>
      <c r="F879" t="s">
        <v>10</v>
      </c>
      <c r="G879" t="str">
        <f>"JUNE SERVICE"</f>
        <v>JUNE SERVICE</v>
      </c>
      <c r="H879" t="str">
        <f>"JUNE SERVICE"</f>
        <v>JUNE SERVICE</v>
      </c>
      <c r="I879" s="2">
        <v>650</v>
      </c>
      <c r="J879" t="str">
        <f>"JUNE SERVICE"</f>
        <v>JUNE SERVICE</v>
      </c>
    </row>
    <row r="880" spans="1:10" x14ac:dyDescent="0.3">
      <c r="A880" t="str">
        <f>"ECKEL"</f>
        <v>ECKEL</v>
      </c>
      <c r="B880" t="s">
        <v>248</v>
      </c>
      <c r="C880">
        <v>70860</v>
      </c>
      <c r="D880" s="2">
        <v>1737.5</v>
      </c>
      <c r="E880" s="1">
        <v>42898</v>
      </c>
      <c r="F880" t="s">
        <v>10</v>
      </c>
      <c r="G880" t="str">
        <f>"201706012505"</f>
        <v>201706012505</v>
      </c>
      <c r="H880" t="str">
        <f>"423-1467"</f>
        <v>423-1467</v>
      </c>
      <c r="I880" s="2">
        <v>100</v>
      </c>
      <c r="J880" t="str">
        <f>"423-1467"</f>
        <v>423-1467</v>
      </c>
    </row>
    <row r="881" spans="1:10" x14ac:dyDescent="0.3">
      <c r="A881" t="str">
        <f>""</f>
        <v/>
      </c>
      <c r="F881" t="s">
        <v>10</v>
      </c>
      <c r="G881" t="str">
        <f>"201706012506"</f>
        <v>201706012506</v>
      </c>
      <c r="H881" t="str">
        <f>"423-702"</f>
        <v>423-702</v>
      </c>
      <c r="I881" s="2">
        <v>100</v>
      </c>
      <c r="J881" t="str">
        <f>"423-702"</f>
        <v>423-702</v>
      </c>
    </row>
    <row r="882" spans="1:10" x14ac:dyDescent="0.3">
      <c r="A882" t="str">
        <f>""</f>
        <v/>
      </c>
      <c r="F882" t="s">
        <v>10</v>
      </c>
      <c r="G882" t="str">
        <f>"201706012507"</f>
        <v>201706012507</v>
      </c>
      <c r="H882" t="str">
        <f>"55 083"</f>
        <v>55 083</v>
      </c>
      <c r="I882" s="2">
        <v>250</v>
      </c>
      <c r="J882" t="str">
        <f>"55 083"</f>
        <v>55 083</v>
      </c>
    </row>
    <row r="883" spans="1:10" x14ac:dyDescent="0.3">
      <c r="A883" t="str">
        <f>""</f>
        <v/>
      </c>
      <c r="F883" t="s">
        <v>10</v>
      </c>
      <c r="G883" t="str">
        <f>"201706012508"</f>
        <v>201706012508</v>
      </c>
      <c r="H883" t="str">
        <f>"55 054/55 055"</f>
        <v>55 054/55 055</v>
      </c>
      <c r="I883" s="2">
        <v>375</v>
      </c>
      <c r="J883" t="str">
        <f>"55 054/55 055"</f>
        <v>55 054/55 055</v>
      </c>
    </row>
    <row r="884" spans="1:10" x14ac:dyDescent="0.3">
      <c r="A884" t="str">
        <f>""</f>
        <v/>
      </c>
      <c r="F884" t="s">
        <v>10</v>
      </c>
      <c r="G884" t="str">
        <f>"201706012509"</f>
        <v>201706012509</v>
      </c>
      <c r="H884" t="str">
        <f>"54 881"</f>
        <v>54 881</v>
      </c>
      <c r="I884" s="2">
        <v>250</v>
      </c>
      <c r="J884" t="str">
        <f>"54 881"</f>
        <v>54 881</v>
      </c>
    </row>
    <row r="885" spans="1:10" x14ac:dyDescent="0.3">
      <c r="A885" t="str">
        <f>""</f>
        <v/>
      </c>
      <c r="F885" t="s">
        <v>10</v>
      </c>
      <c r="G885" t="str">
        <f>"201706072877"</f>
        <v>201706072877</v>
      </c>
      <c r="H885" t="str">
        <f>"16-17601"</f>
        <v>16-17601</v>
      </c>
      <c r="I885" s="2">
        <v>212.5</v>
      </c>
      <c r="J885" t="str">
        <f>"16-17601"</f>
        <v>16-17601</v>
      </c>
    </row>
    <row r="886" spans="1:10" x14ac:dyDescent="0.3">
      <c r="A886" t="str">
        <f>""</f>
        <v/>
      </c>
      <c r="F886" t="s">
        <v>10</v>
      </c>
      <c r="G886" t="str">
        <f>"201706072878"</f>
        <v>201706072878</v>
      </c>
      <c r="H886" t="str">
        <f>"17-18114"</f>
        <v>17-18114</v>
      </c>
      <c r="I886" s="2">
        <v>175</v>
      </c>
      <c r="J886" t="str">
        <f>"17-18114"</f>
        <v>17-18114</v>
      </c>
    </row>
    <row r="887" spans="1:10" x14ac:dyDescent="0.3">
      <c r="A887" t="str">
        <f>""</f>
        <v/>
      </c>
      <c r="F887" t="s">
        <v>10</v>
      </c>
      <c r="G887" t="str">
        <f>"201706072879"</f>
        <v>201706072879</v>
      </c>
      <c r="H887" t="str">
        <f>"16-17760"</f>
        <v>16-17760</v>
      </c>
      <c r="I887" s="2">
        <v>100</v>
      </c>
      <c r="J887" t="str">
        <f>"16-17760"</f>
        <v>16-17760</v>
      </c>
    </row>
    <row r="888" spans="1:10" x14ac:dyDescent="0.3">
      <c r="A888" t="str">
        <f>""</f>
        <v/>
      </c>
      <c r="F888" t="s">
        <v>10</v>
      </c>
      <c r="G888" t="str">
        <f>"201706072880"</f>
        <v>201706072880</v>
      </c>
      <c r="H888" t="str">
        <f>"17-18277"</f>
        <v>17-18277</v>
      </c>
      <c r="I888" s="2">
        <v>175</v>
      </c>
      <c r="J888" t="str">
        <f>"17-18277"</f>
        <v>17-18277</v>
      </c>
    </row>
    <row r="889" spans="1:10" x14ac:dyDescent="0.3">
      <c r="A889" t="str">
        <f>"ECKEL"</f>
        <v>ECKEL</v>
      </c>
      <c r="B889" t="s">
        <v>248</v>
      </c>
      <c r="C889">
        <v>71216</v>
      </c>
      <c r="D889" s="2">
        <v>1187.5</v>
      </c>
      <c r="E889" s="1">
        <v>42912</v>
      </c>
      <c r="F889" t="s">
        <v>10</v>
      </c>
      <c r="G889" t="str">
        <f>"201706213191"</f>
        <v>201706213191</v>
      </c>
      <c r="H889" t="str">
        <f>"54 847"</f>
        <v>54 847</v>
      </c>
      <c r="I889" s="2">
        <v>250</v>
      </c>
      <c r="J889" t="str">
        <f>"54 847"</f>
        <v>54 847</v>
      </c>
    </row>
    <row r="890" spans="1:10" x14ac:dyDescent="0.3">
      <c r="A890" t="str">
        <f>""</f>
        <v/>
      </c>
      <c r="F890" t="s">
        <v>10</v>
      </c>
      <c r="G890" t="str">
        <f>"201706213192"</f>
        <v>201706213192</v>
      </c>
      <c r="H890" t="str">
        <f>"04-8922"</f>
        <v>04-8922</v>
      </c>
      <c r="I890" s="2">
        <v>100</v>
      </c>
      <c r="J890" t="str">
        <f>"04-8922"</f>
        <v>04-8922</v>
      </c>
    </row>
    <row r="891" spans="1:10" x14ac:dyDescent="0.3">
      <c r="A891" t="str">
        <f>""</f>
        <v/>
      </c>
      <c r="F891" t="s">
        <v>10</v>
      </c>
      <c r="G891" t="str">
        <f>"201706213193"</f>
        <v>201706213193</v>
      </c>
      <c r="H891" t="str">
        <f>"05 10025"</f>
        <v>05 10025</v>
      </c>
      <c r="I891" s="2">
        <v>100</v>
      </c>
      <c r="J891" t="str">
        <f>"05 10025"</f>
        <v>05 10025</v>
      </c>
    </row>
    <row r="892" spans="1:10" x14ac:dyDescent="0.3">
      <c r="A892" t="str">
        <f>""</f>
        <v/>
      </c>
      <c r="F892" t="s">
        <v>10</v>
      </c>
      <c r="G892" t="str">
        <f>"201706213194"</f>
        <v>201706213194</v>
      </c>
      <c r="H892" t="str">
        <f>"17-18119"</f>
        <v>17-18119</v>
      </c>
      <c r="I892" s="2">
        <v>187.5</v>
      </c>
      <c r="J892" t="str">
        <f>"17-18119"</f>
        <v>17-18119</v>
      </c>
    </row>
    <row r="893" spans="1:10" x14ac:dyDescent="0.3">
      <c r="A893" t="str">
        <f>""</f>
        <v/>
      </c>
      <c r="F893" t="s">
        <v>10</v>
      </c>
      <c r="G893" t="str">
        <f>"201706213195"</f>
        <v>201706213195</v>
      </c>
      <c r="H893" t="str">
        <f>"11-14791"</f>
        <v>11-14791</v>
      </c>
      <c r="I893" s="2">
        <v>100</v>
      </c>
      <c r="J893" t="str">
        <f>"11-14791"</f>
        <v>11-14791</v>
      </c>
    </row>
    <row r="894" spans="1:10" x14ac:dyDescent="0.3">
      <c r="A894" t="str">
        <f>""</f>
        <v/>
      </c>
      <c r="F894" t="s">
        <v>10</v>
      </c>
      <c r="G894" t="str">
        <f>"201706213196"</f>
        <v>201706213196</v>
      </c>
      <c r="H894" t="str">
        <f>"16-17601"</f>
        <v>16-17601</v>
      </c>
      <c r="I894" s="2">
        <v>450</v>
      </c>
      <c r="J894" t="str">
        <f>"16-17601"</f>
        <v>16-17601</v>
      </c>
    </row>
    <row r="895" spans="1:10" x14ac:dyDescent="0.3">
      <c r="A895" t="str">
        <f>"T7901"</f>
        <v>T7901</v>
      </c>
      <c r="B895" t="s">
        <v>249</v>
      </c>
      <c r="C895">
        <v>70861</v>
      </c>
      <c r="D895" s="2">
        <v>145</v>
      </c>
      <c r="E895" s="1">
        <v>42898</v>
      </c>
      <c r="F895" t="s">
        <v>10</v>
      </c>
      <c r="G895" t="str">
        <f>"201706012510"</f>
        <v>201706012510</v>
      </c>
      <c r="H895" t="str">
        <f>"15 559/15 560"</f>
        <v>15 559/15 560</v>
      </c>
      <c r="I895" s="2">
        <v>145</v>
      </c>
      <c r="J895" t="str">
        <f>"15 559/15 560"</f>
        <v>15 559/15 560</v>
      </c>
    </row>
    <row r="896" spans="1:10" x14ac:dyDescent="0.3">
      <c r="A896" t="str">
        <f>"HM"</f>
        <v>HM</v>
      </c>
      <c r="B896" t="s">
        <v>250</v>
      </c>
      <c r="C896">
        <v>71217</v>
      </c>
      <c r="D896" s="2">
        <v>6902.19</v>
      </c>
      <c r="E896" s="1">
        <v>42912</v>
      </c>
      <c r="F896" t="s">
        <v>10</v>
      </c>
      <c r="G896" t="str">
        <f>"201706203159"</f>
        <v>201706203159</v>
      </c>
      <c r="H896" t="str">
        <f>"CUST#0129150/PCT#3"</f>
        <v>CUST#0129150/PCT#3</v>
      </c>
      <c r="I896" s="2">
        <v>6715.87</v>
      </c>
      <c r="J896" t="str">
        <f>"CUST#0129150/PCT#3"</f>
        <v>CUST#0129150/PCT#3</v>
      </c>
    </row>
    <row r="897" spans="1:10" x14ac:dyDescent="0.3">
      <c r="A897" t="str">
        <f>""</f>
        <v/>
      </c>
      <c r="F897" t="s">
        <v>10</v>
      </c>
      <c r="G897" t="str">
        <f>"PIGM0031641"</f>
        <v>PIGM0031641</v>
      </c>
      <c r="H897" t="str">
        <f>"CUST#0129050"</f>
        <v>CUST#0129050</v>
      </c>
      <c r="I897" s="2">
        <v>186.32</v>
      </c>
      <c r="J897" t="str">
        <f>"CUST#0129050"</f>
        <v>CUST#0129050</v>
      </c>
    </row>
    <row r="898" spans="1:10" x14ac:dyDescent="0.3">
      <c r="A898" t="str">
        <f>"T8869"</f>
        <v>T8869</v>
      </c>
      <c r="B898" t="s">
        <v>251</v>
      </c>
      <c r="C898">
        <v>70862</v>
      </c>
      <c r="D898" s="2">
        <v>1816.61</v>
      </c>
      <c r="E898" s="1">
        <v>42898</v>
      </c>
      <c r="F898" t="s">
        <v>10</v>
      </c>
      <c r="G898" t="str">
        <f>"HOME DEPOT/5/28/17"</f>
        <v>HOME DEPOT/5/28/17</v>
      </c>
      <c r="H898" t="str">
        <f>"Acct# 7656"</f>
        <v>Acct# 7656</v>
      </c>
      <c r="I898" s="2">
        <v>1816.61</v>
      </c>
      <c r="J898" t="str">
        <f>"Inv# 5020822"</f>
        <v>Inv# 5020822</v>
      </c>
    </row>
    <row r="899" spans="1:10" x14ac:dyDescent="0.3">
      <c r="A899" t="str">
        <f>""</f>
        <v/>
      </c>
      <c r="G899" t="str">
        <f>""</f>
        <v/>
      </c>
      <c r="H899" t="str">
        <f>""</f>
        <v/>
      </c>
      <c r="J899" t="str">
        <f>"Inv# 1015922"</f>
        <v>Inv# 1015922</v>
      </c>
    </row>
    <row r="900" spans="1:10" x14ac:dyDescent="0.3">
      <c r="A900" t="str">
        <f>""</f>
        <v/>
      </c>
      <c r="G900" t="str">
        <f>""</f>
        <v/>
      </c>
      <c r="H900" t="str">
        <f>""</f>
        <v/>
      </c>
      <c r="J900" t="str">
        <f>"Inv# 1015876"</f>
        <v>Inv# 1015876</v>
      </c>
    </row>
    <row r="901" spans="1:10" x14ac:dyDescent="0.3">
      <c r="A901" t="str">
        <f>""</f>
        <v/>
      </c>
      <c r="G901" t="str">
        <f>""</f>
        <v/>
      </c>
      <c r="H901" t="str">
        <f>""</f>
        <v/>
      </c>
      <c r="J901" t="str">
        <f>"Inv# 16024"</f>
        <v>Inv# 16024</v>
      </c>
    </row>
    <row r="902" spans="1:10" x14ac:dyDescent="0.3">
      <c r="A902" t="str">
        <f>""</f>
        <v/>
      </c>
      <c r="G902" t="str">
        <f>""</f>
        <v/>
      </c>
      <c r="H902" t="str">
        <f>""</f>
        <v/>
      </c>
      <c r="J902" t="str">
        <f>"Inv# 4162378"</f>
        <v>Inv# 4162378</v>
      </c>
    </row>
    <row r="903" spans="1:10" x14ac:dyDescent="0.3">
      <c r="A903" t="str">
        <f>""</f>
        <v/>
      </c>
      <c r="G903" t="str">
        <f>""</f>
        <v/>
      </c>
      <c r="H903" t="str">
        <f>""</f>
        <v/>
      </c>
      <c r="J903" t="str">
        <f>"Inv# 4162377"</f>
        <v>Inv# 4162377</v>
      </c>
    </row>
    <row r="904" spans="1:10" x14ac:dyDescent="0.3">
      <c r="A904" t="str">
        <f>""</f>
        <v/>
      </c>
      <c r="G904" t="str">
        <f>""</f>
        <v/>
      </c>
      <c r="H904" t="str">
        <f>""</f>
        <v/>
      </c>
      <c r="J904" t="str">
        <f>"Inv# 5015518"</f>
        <v>Inv# 5015518</v>
      </c>
    </row>
    <row r="905" spans="1:10" x14ac:dyDescent="0.3">
      <c r="A905" t="str">
        <f>""</f>
        <v/>
      </c>
      <c r="G905" t="str">
        <f>""</f>
        <v/>
      </c>
      <c r="H905" t="str">
        <f>""</f>
        <v/>
      </c>
      <c r="J905" t="str">
        <f>"Inv# 5015563"</f>
        <v>Inv# 5015563</v>
      </c>
    </row>
    <row r="906" spans="1:10" x14ac:dyDescent="0.3">
      <c r="A906" t="str">
        <f>""</f>
        <v/>
      </c>
      <c r="G906" t="str">
        <f>""</f>
        <v/>
      </c>
      <c r="H906" t="str">
        <f>""</f>
        <v/>
      </c>
      <c r="J906" t="str">
        <f>"Inv# 1021192"</f>
        <v>Inv# 1021192</v>
      </c>
    </row>
    <row r="907" spans="1:10" x14ac:dyDescent="0.3">
      <c r="A907" t="str">
        <f>""</f>
        <v/>
      </c>
      <c r="G907" t="str">
        <f>""</f>
        <v/>
      </c>
      <c r="H907" t="str">
        <f>""</f>
        <v/>
      </c>
      <c r="J907" t="str">
        <f>"Inv# 4010444"</f>
        <v>Inv# 4010444</v>
      </c>
    </row>
    <row r="908" spans="1:10" x14ac:dyDescent="0.3">
      <c r="A908" t="str">
        <f>""</f>
        <v/>
      </c>
      <c r="G908" t="str">
        <f>""</f>
        <v/>
      </c>
      <c r="H908" t="str">
        <f>""</f>
        <v/>
      </c>
      <c r="J908" t="str">
        <f>"Inv# 1010672"</f>
        <v>Inv# 1010672</v>
      </c>
    </row>
    <row r="909" spans="1:10" x14ac:dyDescent="0.3">
      <c r="A909" t="str">
        <f>""</f>
        <v/>
      </c>
      <c r="G909" t="str">
        <f>""</f>
        <v/>
      </c>
      <c r="H909" t="str">
        <f>""</f>
        <v/>
      </c>
      <c r="J909" t="str">
        <f>"Inv# 1010709"</f>
        <v>Inv# 1010709</v>
      </c>
    </row>
    <row r="910" spans="1:10" x14ac:dyDescent="0.3">
      <c r="A910" t="str">
        <f>""</f>
        <v/>
      </c>
      <c r="G910" t="str">
        <f>""</f>
        <v/>
      </c>
      <c r="H910" t="str">
        <f>""</f>
        <v/>
      </c>
      <c r="J910" t="str">
        <f>"Inv# 8010901"</f>
        <v>Inv# 8010901</v>
      </c>
    </row>
    <row r="911" spans="1:10" x14ac:dyDescent="0.3">
      <c r="A911" t="str">
        <f>""</f>
        <v/>
      </c>
      <c r="G911" t="str">
        <f>""</f>
        <v/>
      </c>
      <c r="H911" t="str">
        <f>""</f>
        <v/>
      </c>
      <c r="J911" t="str">
        <f>"Inv# 6022697"</f>
        <v>Inv# 6022697</v>
      </c>
    </row>
    <row r="912" spans="1:10" x14ac:dyDescent="0.3">
      <c r="A912" t="str">
        <f>""</f>
        <v/>
      </c>
      <c r="G912" t="str">
        <f>""</f>
        <v/>
      </c>
      <c r="H912" t="str">
        <f>""</f>
        <v/>
      </c>
      <c r="J912" t="str">
        <f>"Inv# 7023541"</f>
        <v>Inv# 7023541</v>
      </c>
    </row>
    <row r="913" spans="1:10" x14ac:dyDescent="0.3">
      <c r="A913" t="str">
        <f>""</f>
        <v/>
      </c>
      <c r="G913" t="str">
        <f>""</f>
        <v/>
      </c>
      <c r="H913" t="str">
        <f>""</f>
        <v/>
      </c>
      <c r="J913" t="str">
        <f>"Inv# 3010510"</f>
        <v>Inv# 3010510</v>
      </c>
    </row>
    <row r="914" spans="1:10" x14ac:dyDescent="0.3">
      <c r="A914" t="str">
        <f>""</f>
        <v/>
      </c>
      <c r="G914" t="str">
        <f>""</f>
        <v/>
      </c>
      <c r="H914" t="str">
        <f>""</f>
        <v/>
      </c>
      <c r="J914" t="str">
        <f>"Inv# 2100910"</f>
        <v>Inv# 2100910</v>
      </c>
    </row>
    <row r="915" spans="1:10" x14ac:dyDescent="0.3">
      <c r="A915" t="str">
        <f>""</f>
        <v/>
      </c>
      <c r="G915" t="str">
        <f>""</f>
        <v/>
      </c>
      <c r="H915" t="str">
        <f>""</f>
        <v/>
      </c>
      <c r="J915" t="str">
        <f>"Inv# 1023126"</f>
        <v>Inv# 1023126</v>
      </c>
    </row>
    <row r="916" spans="1:10" x14ac:dyDescent="0.3">
      <c r="A916" t="str">
        <f>""</f>
        <v/>
      </c>
      <c r="G916" t="str">
        <f>""</f>
        <v/>
      </c>
      <c r="H916" t="str">
        <f>""</f>
        <v/>
      </c>
      <c r="J916" t="str">
        <f>"Inv# 2150066"</f>
        <v>Inv# 2150066</v>
      </c>
    </row>
    <row r="917" spans="1:10" x14ac:dyDescent="0.3">
      <c r="A917" t="str">
        <f>""</f>
        <v/>
      </c>
      <c r="G917" t="str">
        <f>""</f>
        <v/>
      </c>
      <c r="H917" t="str">
        <f>""</f>
        <v/>
      </c>
      <c r="J917" t="str">
        <f>"Inv# 7570576"</f>
        <v>Inv# 7570576</v>
      </c>
    </row>
    <row r="918" spans="1:10" x14ac:dyDescent="0.3">
      <c r="A918" t="str">
        <f>""</f>
        <v/>
      </c>
      <c r="G918" t="str">
        <f>""</f>
        <v/>
      </c>
      <c r="H918" t="str">
        <f>""</f>
        <v/>
      </c>
      <c r="J918" t="str">
        <f>"Inv# 8900387"</f>
        <v>Inv# 8900387</v>
      </c>
    </row>
    <row r="919" spans="1:10" x14ac:dyDescent="0.3">
      <c r="A919" t="str">
        <f>""</f>
        <v/>
      </c>
      <c r="G919" t="str">
        <f>""</f>
        <v/>
      </c>
      <c r="H919" t="str">
        <f>""</f>
        <v/>
      </c>
      <c r="J919" t="str">
        <f>"Inv# 3570207"</f>
        <v>Inv# 3570207</v>
      </c>
    </row>
    <row r="920" spans="1:10" x14ac:dyDescent="0.3">
      <c r="A920" t="str">
        <f>""</f>
        <v/>
      </c>
      <c r="G920" t="str">
        <f>""</f>
        <v/>
      </c>
      <c r="H920" t="str">
        <f>""</f>
        <v/>
      </c>
      <c r="J920" t="str">
        <f>"Inv# 2150066"</f>
        <v>Inv# 2150066</v>
      </c>
    </row>
    <row r="921" spans="1:10" x14ac:dyDescent="0.3">
      <c r="A921" t="str">
        <f>""</f>
        <v/>
      </c>
      <c r="G921" t="str">
        <f>""</f>
        <v/>
      </c>
      <c r="H921" t="str">
        <f>""</f>
        <v/>
      </c>
      <c r="J921" t="str">
        <f>"Inv# 2150065"</f>
        <v>Inv# 2150065</v>
      </c>
    </row>
    <row r="922" spans="1:10" x14ac:dyDescent="0.3">
      <c r="A922" t="str">
        <f>""</f>
        <v/>
      </c>
      <c r="G922" t="str">
        <f>""</f>
        <v/>
      </c>
      <c r="H922" t="str">
        <f>""</f>
        <v/>
      </c>
      <c r="J922" t="str">
        <f>"Inv# 7570576"</f>
        <v>Inv# 7570576</v>
      </c>
    </row>
    <row r="923" spans="1:10" x14ac:dyDescent="0.3">
      <c r="A923" t="str">
        <f>""</f>
        <v/>
      </c>
      <c r="G923" t="str">
        <f>""</f>
        <v/>
      </c>
      <c r="H923" t="str">
        <f>""</f>
        <v/>
      </c>
      <c r="J923" t="str">
        <f>"Inv# 1150383"</f>
        <v>Inv# 1150383</v>
      </c>
    </row>
    <row r="924" spans="1:10" x14ac:dyDescent="0.3">
      <c r="A924" t="str">
        <f>""</f>
        <v/>
      </c>
      <c r="G924" t="str">
        <f>""</f>
        <v/>
      </c>
      <c r="H924" t="str">
        <f>""</f>
        <v/>
      </c>
      <c r="J924" t="str">
        <f>"Inv# 1150385"</f>
        <v>Inv# 1150385</v>
      </c>
    </row>
    <row r="925" spans="1:10" x14ac:dyDescent="0.3">
      <c r="A925" t="str">
        <f>""</f>
        <v/>
      </c>
      <c r="G925" t="str">
        <f>""</f>
        <v/>
      </c>
      <c r="H925" t="str">
        <f>""</f>
        <v/>
      </c>
      <c r="J925" t="str">
        <f>"Inv# 9023351"</f>
        <v>Inv# 9023351</v>
      </c>
    </row>
    <row r="926" spans="1:10" x14ac:dyDescent="0.3">
      <c r="A926" t="str">
        <f>""</f>
        <v/>
      </c>
      <c r="G926" t="str">
        <f>""</f>
        <v/>
      </c>
      <c r="H926" t="str">
        <f>""</f>
        <v/>
      </c>
      <c r="J926" t="str">
        <f>"Inv# 9172762"</f>
        <v>Inv# 9172762</v>
      </c>
    </row>
    <row r="927" spans="1:10" x14ac:dyDescent="0.3">
      <c r="A927" t="str">
        <f>""</f>
        <v/>
      </c>
      <c r="G927" t="str">
        <f>""</f>
        <v/>
      </c>
      <c r="H927" t="str">
        <f>""</f>
        <v/>
      </c>
      <c r="J927" t="str">
        <f>"Inv# 8023490"</f>
        <v>Inv# 8023490</v>
      </c>
    </row>
    <row r="928" spans="1:10" x14ac:dyDescent="0.3">
      <c r="A928" t="str">
        <f>""</f>
        <v/>
      </c>
      <c r="G928" t="str">
        <f>""</f>
        <v/>
      </c>
      <c r="H928" t="str">
        <f>""</f>
        <v/>
      </c>
      <c r="J928" t="str">
        <f>"Inv# 21365"</f>
        <v>Inv# 21365</v>
      </c>
    </row>
    <row r="929" spans="1:10" x14ac:dyDescent="0.3">
      <c r="A929" t="str">
        <f>""</f>
        <v/>
      </c>
      <c r="G929" t="str">
        <f>""</f>
        <v/>
      </c>
      <c r="H929" t="str">
        <f>""</f>
        <v/>
      </c>
      <c r="J929" t="str">
        <f>"Inv# 9021476"</f>
        <v>Inv# 9021476</v>
      </c>
    </row>
    <row r="930" spans="1:10" x14ac:dyDescent="0.3">
      <c r="A930" t="str">
        <f>""</f>
        <v/>
      </c>
      <c r="G930" t="str">
        <f>""</f>
        <v/>
      </c>
      <c r="H930" t="str">
        <f>""</f>
        <v/>
      </c>
      <c r="J930" t="str">
        <f>"Inv# 8010119"</f>
        <v>Inv# 8010119</v>
      </c>
    </row>
    <row r="931" spans="1:10" x14ac:dyDescent="0.3">
      <c r="A931" t="str">
        <f>""</f>
        <v/>
      </c>
      <c r="G931" t="str">
        <f>""</f>
        <v/>
      </c>
      <c r="H931" t="str">
        <f>""</f>
        <v/>
      </c>
      <c r="J931" t="str">
        <f>"Inv# 8010121"</f>
        <v>Inv# 8010121</v>
      </c>
    </row>
    <row r="932" spans="1:10" x14ac:dyDescent="0.3">
      <c r="A932" t="str">
        <f>""</f>
        <v/>
      </c>
      <c r="G932" t="str">
        <f>""</f>
        <v/>
      </c>
      <c r="H932" t="str">
        <f>""</f>
        <v/>
      </c>
      <c r="J932" t="str">
        <f>"Inv# 7021708"</f>
        <v>Inv# 7021708</v>
      </c>
    </row>
    <row r="933" spans="1:10" x14ac:dyDescent="0.3">
      <c r="A933" t="str">
        <f>""</f>
        <v/>
      </c>
      <c r="G933" t="str">
        <f>""</f>
        <v/>
      </c>
      <c r="H933" t="str">
        <f>""</f>
        <v/>
      </c>
      <c r="J933" t="str">
        <f>"Inv# 5021786"</f>
        <v>Inv# 5021786</v>
      </c>
    </row>
    <row r="934" spans="1:10" x14ac:dyDescent="0.3">
      <c r="A934" t="str">
        <f>""</f>
        <v/>
      </c>
      <c r="G934" t="str">
        <f>""</f>
        <v/>
      </c>
      <c r="H934" t="str">
        <f>""</f>
        <v/>
      </c>
      <c r="J934" t="str">
        <f>"Inv# 7093728"</f>
        <v>Inv# 7093728</v>
      </c>
    </row>
    <row r="935" spans="1:10" x14ac:dyDescent="0.3">
      <c r="A935" t="str">
        <f>""</f>
        <v/>
      </c>
      <c r="G935" t="str">
        <f>""</f>
        <v/>
      </c>
      <c r="H935" t="str">
        <f>""</f>
        <v/>
      </c>
      <c r="J935" t="str">
        <f>"Inv# 3010528"</f>
        <v>Inv# 3010528</v>
      </c>
    </row>
    <row r="936" spans="1:10" x14ac:dyDescent="0.3">
      <c r="A936" t="str">
        <f>""</f>
        <v/>
      </c>
      <c r="G936" t="str">
        <f>""</f>
        <v/>
      </c>
      <c r="H936" t="str">
        <f>""</f>
        <v/>
      </c>
      <c r="J936" t="str">
        <f>"Inv# 3022043"</f>
        <v>Inv# 3022043</v>
      </c>
    </row>
    <row r="937" spans="1:10" x14ac:dyDescent="0.3">
      <c r="A937" t="str">
        <f>""</f>
        <v/>
      </c>
      <c r="G937" t="str">
        <f>""</f>
        <v/>
      </c>
      <c r="H937" t="str">
        <f>""</f>
        <v/>
      </c>
      <c r="J937" t="str">
        <f>"Inv# 560183"</f>
        <v>Inv# 560183</v>
      </c>
    </row>
    <row r="938" spans="1:10" x14ac:dyDescent="0.3">
      <c r="A938" t="str">
        <f>""</f>
        <v/>
      </c>
      <c r="G938" t="str">
        <f>""</f>
        <v/>
      </c>
      <c r="H938" t="str">
        <f>""</f>
        <v/>
      </c>
      <c r="J938" t="str">
        <f>"Inv# 5560825"</f>
        <v>Inv# 5560825</v>
      </c>
    </row>
    <row r="939" spans="1:10" x14ac:dyDescent="0.3">
      <c r="A939" t="str">
        <f>""</f>
        <v/>
      </c>
      <c r="G939" t="str">
        <f>""</f>
        <v/>
      </c>
      <c r="H939" t="str">
        <f>""</f>
        <v/>
      </c>
      <c r="J939" t="str">
        <f>"Inv# 8972913"</f>
        <v>Inv# 8972913</v>
      </c>
    </row>
    <row r="940" spans="1:10" x14ac:dyDescent="0.3">
      <c r="A940" t="str">
        <f>""</f>
        <v/>
      </c>
      <c r="G940" t="str">
        <f>""</f>
        <v/>
      </c>
      <c r="H940" t="str">
        <f>""</f>
        <v/>
      </c>
      <c r="J940" t="str">
        <f>"Inv# 1093157"</f>
        <v>Inv# 1093157</v>
      </c>
    </row>
    <row r="941" spans="1:10" x14ac:dyDescent="0.3">
      <c r="A941" t="str">
        <f>""</f>
        <v/>
      </c>
      <c r="G941" t="str">
        <f>""</f>
        <v/>
      </c>
      <c r="H941" t="str">
        <f>""</f>
        <v/>
      </c>
      <c r="J941" t="str">
        <f>"Inv# 6011073"</f>
        <v>Inv# 6011073</v>
      </c>
    </row>
    <row r="942" spans="1:10" x14ac:dyDescent="0.3">
      <c r="A942" t="str">
        <f>""</f>
        <v/>
      </c>
      <c r="G942" t="str">
        <f>""</f>
        <v/>
      </c>
      <c r="H942" t="str">
        <f>""</f>
        <v/>
      </c>
      <c r="J942" t="str">
        <f>"Inv# 580775"</f>
        <v>Inv# 580775</v>
      </c>
    </row>
    <row r="943" spans="1:10" x14ac:dyDescent="0.3">
      <c r="A943" t="str">
        <f>""</f>
        <v/>
      </c>
      <c r="G943" t="str">
        <f>""</f>
        <v/>
      </c>
      <c r="H943" t="str">
        <f>""</f>
        <v/>
      </c>
      <c r="J943" t="str">
        <f>"Inv# 8023382"</f>
        <v>Inv# 8023382</v>
      </c>
    </row>
    <row r="944" spans="1:10" x14ac:dyDescent="0.3">
      <c r="A944" t="str">
        <f>""</f>
        <v/>
      </c>
      <c r="G944" t="str">
        <f>""</f>
        <v/>
      </c>
      <c r="H944" t="str">
        <f>""</f>
        <v/>
      </c>
      <c r="J944" t="str">
        <f>"Inv# 7023527"</f>
        <v>Inv# 7023527</v>
      </c>
    </row>
    <row r="945" spans="1:10" x14ac:dyDescent="0.3">
      <c r="A945" t="str">
        <f>"005044"</f>
        <v>005044</v>
      </c>
      <c r="B945" t="s">
        <v>252</v>
      </c>
      <c r="C945">
        <v>70863</v>
      </c>
      <c r="D945" s="2">
        <v>213.75</v>
      </c>
      <c r="E945" s="1">
        <v>42898</v>
      </c>
      <c r="F945" t="s">
        <v>10</v>
      </c>
      <c r="G945" t="str">
        <f>"263914"</f>
        <v>263914</v>
      </c>
      <c r="H945" t="str">
        <f>"Inv# 1073902 ELECTIONS"</f>
        <v>Inv# 1073902 ELECTIONS</v>
      </c>
      <c r="I945" s="2">
        <v>213.75</v>
      </c>
      <c r="J945" t="str">
        <f>"Inv# 263914"</f>
        <v>Inv# 263914</v>
      </c>
    </row>
    <row r="946" spans="1:10" x14ac:dyDescent="0.3">
      <c r="A946" t="str">
        <f>"003653"</f>
        <v>003653</v>
      </c>
      <c r="B946" t="s">
        <v>253</v>
      </c>
      <c r="C946">
        <v>70864</v>
      </c>
      <c r="D946" s="2">
        <v>1928.04</v>
      </c>
      <c r="E946" s="1">
        <v>42898</v>
      </c>
      <c r="F946" t="s">
        <v>10</v>
      </c>
      <c r="G946" t="str">
        <f>"10443720006974479"</f>
        <v>10443720006974479</v>
      </c>
      <c r="H946" t="str">
        <f>"ACCT#100402264 PCT#4"</f>
        <v>ACCT#100402264 PCT#4</v>
      </c>
      <c r="I946" s="2">
        <v>1928.04</v>
      </c>
      <c r="J946" t="str">
        <f>"ACCT#100402264 PCT#4"</f>
        <v>ACCT#100402264 PCT#4</v>
      </c>
    </row>
    <row r="947" spans="1:10" x14ac:dyDescent="0.3">
      <c r="A947" t="str">
        <f>"004973"</f>
        <v>004973</v>
      </c>
      <c r="B947" t="s">
        <v>254</v>
      </c>
      <c r="C947">
        <v>70865</v>
      </c>
      <c r="D947" s="2">
        <v>280</v>
      </c>
      <c r="E947" s="1">
        <v>42898</v>
      </c>
      <c r="F947" t="s">
        <v>10</v>
      </c>
      <c r="G947" t="str">
        <f>"201706052638"</f>
        <v>201706052638</v>
      </c>
      <c r="H947" t="str">
        <f>"FERAL HOGS"</f>
        <v>FERAL HOGS</v>
      </c>
      <c r="I947" s="2">
        <v>280</v>
      </c>
      <c r="J947" t="str">
        <f>"FERAL HOGS"</f>
        <v>FERAL HOGS</v>
      </c>
    </row>
    <row r="948" spans="1:10" x14ac:dyDescent="0.3">
      <c r="A948" t="str">
        <f>"002466"</f>
        <v>002466</v>
      </c>
      <c r="B948" t="s">
        <v>255</v>
      </c>
      <c r="C948">
        <v>70866</v>
      </c>
      <c r="D948" s="2">
        <v>123.27</v>
      </c>
      <c r="E948" s="1">
        <v>42898</v>
      </c>
      <c r="F948" t="s">
        <v>10</v>
      </c>
      <c r="G948" t="str">
        <f>"12887"</f>
        <v>12887</v>
      </c>
      <c r="H948" t="str">
        <f>"V BELTS INV12887"</f>
        <v>V BELTS INV12887</v>
      </c>
      <c r="I948" s="2">
        <v>123.27</v>
      </c>
      <c r="J948" t="str">
        <f>"V BELTS INV12887"</f>
        <v>V BELTS INV12887</v>
      </c>
    </row>
    <row r="949" spans="1:10" x14ac:dyDescent="0.3">
      <c r="A949" t="str">
        <f>"003545"</f>
        <v>003545</v>
      </c>
      <c r="B949" t="s">
        <v>256</v>
      </c>
      <c r="C949">
        <v>70867</v>
      </c>
      <c r="D949" s="2">
        <v>67.33</v>
      </c>
      <c r="E949" s="1">
        <v>42898</v>
      </c>
      <c r="F949" t="s">
        <v>10</v>
      </c>
      <c r="G949" t="str">
        <f>"99367"</f>
        <v>99367</v>
      </c>
      <c r="H949" t="str">
        <f>"5/8 HIGH PRESSURE HOSE"</f>
        <v>5/8 HIGH PRESSURE HOSE</v>
      </c>
      <c r="I949" s="2">
        <v>67.33</v>
      </c>
      <c r="J949" t="str">
        <f>"5/8 HIGH PRESSURE HOSE"</f>
        <v>5/8 HIGH PRESSURE HOSE</v>
      </c>
    </row>
    <row r="950" spans="1:10" x14ac:dyDescent="0.3">
      <c r="A950" t="str">
        <f>"000045"</f>
        <v>000045</v>
      </c>
      <c r="B950" t="s">
        <v>257</v>
      </c>
      <c r="C950">
        <v>71218</v>
      </c>
      <c r="D950" s="2">
        <v>655.63</v>
      </c>
      <c r="E950" s="1">
        <v>42912</v>
      </c>
      <c r="F950" t="s">
        <v>10</v>
      </c>
      <c r="G950" t="str">
        <f>"W0836900"</f>
        <v>W0836900</v>
      </c>
      <c r="H950" t="str">
        <f>"MATTRESS COVERS/W0836900"</f>
        <v>MATTRESS COVERS/W0836900</v>
      </c>
      <c r="I950" s="2">
        <v>655.63</v>
      </c>
      <c r="J950" t="str">
        <f>"MATTRESS COVERS/W0836900"</f>
        <v>MATTRESS COVERS/W0836900</v>
      </c>
    </row>
    <row r="951" spans="1:10" x14ac:dyDescent="0.3">
      <c r="A951" t="str">
        <f>""</f>
        <v/>
      </c>
      <c r="G951" t="str">
        <f>""</f>
        <v/>
      </c>
      <c r="H951" t="str">
        <f>""</f>
        <v/>
      </c>
      <c r="J951" t="str">
        <f>"FREIGHT"</f>
        <v>FREIGHT</v>
      </c>
    </row>
    <row r="952" spans="1:10" x14ac:dyDescent="0.3">
      <c r="A952" t="str">
        <f>"003830"</f>
        <v>003830</v>
      </c>
      <c r="B952" t="s">
        <v>258</v>
      </c>
      <c r="C952">
        <v>70868</v>
      </c>
      <c r="D952" s="2">
        <v>6548.95</v>
      </c>
      <c r="E952" s="1">
        <v>42898</v>
      </c>
      <c r="F952" t="s">
        <v>10</v>
      </c>
      <c r="G952" t="str">
        <f>"1335975"</f>
        <v>1335975</v>
      </c>
      <c r="H952" t="str">
        <f>"Quote#279078-41917B"</f>
        <v>Quote#279078-41917B</v>
      </c>
      <c r="I952" s="2">
        <v>6548.95</v>
      </c>
      <c r="J952" t="str">
        <f>"Item# 55520"</f>
        <v>Item# 55520</v>
      </c>
    </row>
    <row r="953" spans="1:10" x14ac:dyDescent="0.3">
      <c r="A953" t="str">
        <f>""</f>
        <v/>
      </c>
      <c r="G953" t="str">
        <f>""</f>
        <v/>
      </c>
      <c r="H953" t="str">
        <f>""</f>
        <v/>
      </c>
      <c r="J953" t="str">
        <f>"Item# 86177"</f>
        <v>Item# 86177</v>
      </c>
    </row>
    <row r="954" spans="1:10" x14ac:dyDescent="0.3">
      <c r="A954" t="str">
        <f>""</f>
        <v/>
      </c>
      <c r="G954" t="str">
        <f>""</f>
        <v/>
      </c>
      <c r="H954" t="str">
        <f>""</f>
        <v/>
      </c>
      <c r="J954" t="str">
        <f>"Item# 86412"</f>
        <v>Item# 86412</v>
      </c>
    </row>
    <row r="955" spans="1:10" x14ac:dyDescent="0.3">
      <c r="A955" t="str">
        <f>""</f>
        <v/>
      </c>
      <c r="G955" t="str">
        <f>""</f>
        <v/>
      </c>
      <c r="H955" t="str">
        <f>""</f>
        <v/>
      </c>
      <c r="J955" t="str">
        <f>"Item# 45210"</f>
        <v>Item# 45210</v>
      </c>
    </row>
    <row r="956" spans="1:10" x14ac:dyDescent="0.3">
      <c r="A956" t="str">
        <f>""</f>
        <v/>
      </c>
      <c r="G956" t="str">
        <f>""</f>
        <v/>
      </c>
      <c r="H956" t="str">
        <f>""</f>
        <v/>
      </c>
      <c r="J956" t="str">
        <f>"Item# 82604"</f>
        <v>Item# 82604</v>
      </c>
    </row>
    <row r="957" spans="1:10" x14ac:dyDescent="0.3">
      <c r="A957" t="str">
        <f>""</f>
        <v/>
      </c>
      <c r="G957" t="str">
        <f>""</f>
        <v/>
      </c>
      <c r="H957" t="str">
        <f>""</f>
        <v/>
      </c>
      <c r="J957" t="str">
        <f>"Item# T-L460"</f>
        <v>Item# T-L460</v>
      </c>
    </row>
    <row r="958" spans="1:10" x14ac:dyDescent="0.3">
      <c r="A958" t="str">
        <f>"T11576"</f>
        <v>T11576</v>
      </c>
      <c r="B958" t="s">
        <v>259</v>
      </c>
      <c r="C958">
        <v>71219</v>
      </c>
      <c r="D958" s="2">
        <v>2430</v>
      </c>
      <c r="E958" s="1">
        <v>42912</v>
      </c>
      <c r="F958" t="s">
        <v>10</v>
      </c>
      <c r="G958" t="str">
        <f>"64192"</f>
        <v>64192</v>
      </c>
      <c r="H958" t="str">
        <f>"PROFESSIONAL SVCS-JULY 2017"</f>
        <v>PROFESSIONAL SVCS-JULY 2017</v>
      </c>
      <c r="I958" s="2">
        <v>2430</v>
      </c>
      <c r="J958" t="str">
        <f>"PROFESSIONAL SVCS-JULY 2017"</f>
        <v>PROFESSIONAL SVCS-JULY 2017</v>
      </c>
    </row>
    <row r="959" spans="1:10" x14ac:dyDescent="0.3">
      <c r="A959" t="str">
        <f>""</f>
        <v/>
      </c>
      <c r="G959" t="str">
        <f>""</f>
        <v/>
      </c>
      <c r="H959" t="str">
        <f>""</f>
        <v/>
      </c>
      <c r="J959" t="str">
        <f>"PROFESSIONAL SVCS-JULY 2017"</f>
        <v>PROFESSIONAL SVCS-JULY 2017</v>
      </c>
    </row>
    <row r="960" spans="1:10" x14ac:dyDescent="0.3">
      <c r="A960" t="str">
        <f>"005111"</f>
        <v>005111</v>
      </c>
      <c r="B960" t="s">
        <v>260</v>
      </c>
      <c r="C960">
        <v>70869</v>
      </c>
      <c r="D960" s="2">
        <v>600</v>
      </c>
      <c r="E960" s="1">
        <v>42898</v>
      </c>
      <c r="F960" t="s">
        <v>10</v>
      </c>
      <c r="G960" t="str">
        <f>"459"</f>
        <v>459</v>
      </c>
      <c r="H960" t="str">
        <f>"Inv# 459"</f>
        <v>Inv# 459</v>
      </c>
      <c r="I960" s="2">
        <v>600</v>
      </c>
      <c r="J960" t="str">
        <f>"Teresa LeGesse"</f>
        <v>Teresa LeGesse</v>
      </c>
    </row>
    <row r="961" spans="1:10" x14ac:dyDescent="0.3">
      <c r="A961" t="str">
        <f>""</f>
        <v/>
      </c>
      <c r="G961" t="str">
        <f>""</f>
        <v/>
      </c>
      <c r="H961" t="str">
        <f>""</f>
        <v/>
      </c>
      <c r="J961" t="str">
        <f>"Virna Jameson"</f>
        <v>Virna Jameson</v>
      </c>
    </row>
    <row r="962" spans="1:10" x14ac:dyDescent="0.3">
      <c r="A962" t="str">
        <f>"005064"</f>
        <v>005064</v>
      </c>
      <c r="B962" t="s">
        <v>261</v>
      </c>
      <c r="C962">
        <v>70870</v>
      </c>
      <c r="D962" s="2">
        <v>1535.04</v>
      </c>
      <c r="E962" s="1">
        <v>42898</v>
      </c>
      <c r="F962" t="s">
        <v>10</v>
      </c>
      <c r="G962" t="str">
        <f>"201706022573"</f>
        <v>201706022573</v>
      </c>
      <c r="H962" t="str">
        <f>"CONFIRMATION# 293351862"</f>
        <v>CONFIRMATION# 293351862</v>
      </c>
      <c r="I962" s="2">
        <v>1535.04</v>
      </c>
      <c r="J962" t="str">
        <f>"CONFIRMATION# 293351862"</f>
        <v>CONFIRMATION# 293351862</v>
      </c>
    </row>
    <row r="963" spans="1:10" x14ac:dyDescent="0.3">
      <c r="A963" t="str">
        <f>"T7585"</f>
        <v>T7585</v>
      </c>
      <c r="B963" t="s">
        <v>262</v>
      </c>
      <c r="C963">
        <v>70871</v>
      </c>
      <c r="D963" s="2">
        <v>260</v>
      </c>
      <c r="E963" s="1">
        <v>42898</v>
      </c>
      <c r="F963" t="s">
        <v>10</v>
      </c>
      <c r="G963" t="str">
        <f>"14185"</f>
        <v>14185</v>
      </c>
      <c r="H963" t="str">
        <f>"UNIT RENT/HANDICAP RENT/FUEL"</f>
        <v>UNIT RENT/HANDICAP RENT/FUEL</v>
      </c>
      <c r="I963" s="2">
        <v>260</v>
      </c>
      <c r="J963" t="str">
        <f>"UNIT RENT/HANDICAP RENT/FUEL"</f>
        <v>UNIT RENT/HANDICAP RENT/FUEL</v>
      </c>
    </row>
    <row r="964" spans="1:10" x14ac:dyDescent="0.3">
      <c r="A964" t="str">
        <f>"T7585"</f>
        <v>T7585</v>
      </c>
      <c r="B964" t="s">
        <v>262</v>
      </c>
      <c r="C964">
        <v>71220</v>
      </c>
      <c r="D964" s="2">
        <v>220</v>
      </c>
      <c r="E964" s="1">
        <v>42912</v>
      </c>
      <c r="F964" t="s">
        <v>10</v>
      </c>
      <c r="G964" t="str">
        <f>"12437"</f>
        <v>12437</v>
      </c>
      <c r="H964" t="str">
        <f>"TOILET RENTALS/CC PARK"</f>
        <v>TOILET RENTALS/CC PARK</v>
      </c>
      <c r="I964" s="2">
        <v>220</v>
      </c>
      <c r="J964" t="str">
        <f>"TOILET RENTALS/CC PARK"</f>
        <v>TOILET RENTALS/CC PARK</v>
      </c>
    </row>
    <row r="965" spans="1:10" x14ac:dyDescent="0.3">
      <c r="A965" t="str">
        <f>"002002"</f>
        <v>002002</v>
      </c>
      <c r="B965" t="s">
        <v>263</v>
      </c>
      <c r="C965">
        <v>70872</v>
      </c>
      <c r="D965" s="2">
        <v>50</v>
      </c>
      <c r="E965" s="1">
        <v>42898</v>
      </c>
      <c r="F965" t="s">
        <v>10</v>
      </c>
      <c r="G965" t="str">
        <f>"201706052639"</f>
        <v>201706052639</v>
      </c>
      <c r="H965" t="str">
        <f>"FERAL HOGS"</f>
        <v>FERAL HOGS</v>
      </c>
      <c r="I965" s="2">
        <v>50</v>
      </c>
      <c r="J965" t="str">
        <f>"FERAL HOGS"</f>
        <v>FERAL HOGS</v>
      </c>
    </row>
    <row r="966" spans="1:10" x14ac:dyDescent="0.3">
      <c r="A966" t="str">
        <f>"JEG"</f>
        <v>JEG</v>
      </c>
      <c r="B966" t="s">
        <v>264</v>
      </c>
      <c r="C966">
        <v>70873</v>
      </c>
      <c r="D966" s="2">
        <v>3600</v>
      </c>
      <c r="E966" s="1">
        <v>42898</v>
      </c>
      <c r="F966" t="s">
        <v>10</v>
      </c>
      <c r="G966" t="str">
        <f>"RIVERSIDE DR SURVE"</f>
        <v>RIVERSIDE DR SURVE</v>
      </c>
      <c r="H966" t="str">
        <f>"JAMES E. GARON &amp; ASSOC."</f>
        <v>JAMES E. GARON &amp; ASSOC.</v>
      </c>
      <c r="I966" s="2">
        <v>3600</v>
      </c>
      <c r="J966" t="str">
        <f>"RIVERSIDE DR SURVEY"</f>
        <v>RIVERSIDE DR SURVEY</v>
      </c>
    </row>
    <row r="967" spans="1:10" x14ac:dyDescent="0.3">
      <c r="A967" t="str">
        <f>"EAGLE"</f>
        <v>EAGLE</v>
      </c>
      <c r="B967" t="s">
        <v>265</v>
      </c>
      <c r="C967">
        <v>71221</v>
      </c>
      <c r="D967" s="2">
        <v>1592</v>
      </c>
      <c r="E967" s="1">
        <v>42912</v>
      </c>
      <c r="F967" t="s">
        <v>10</v>
      </c>
      <c r="G967" t="str">
        <f>"201706153104"</f>
        <v>201706153104</v>
      </c>
      <c r="H967" t="str">
        <f>"EXTERMINATE COUNTY BLDGS"</f>
        <v>EXTERMINATE COUNTY BLDGS</v>
      </c>
      <c r="I967" s="2">
        <v>1592</v>
      </c>
      <c r="J967" t="str">
        <f>"EXTERMINATE COUNTY BLDGS"</f>
        <v>EXTERMINATE COUNTY BLDGS</v>
      </c>
    </row>
    <row r="968" spans="1:10" x14ac:dyDescent="0.3">
      <c r="A968" t="str">
        <f>"JOB"</f>
        <v>JOB</v>
      </c>
      <c r="B968" t="s">
        <v>266</v>
      </c>
      <c r="C968">
        <v>70874</v>
      </c>
      <c r="D968" s="2">
        <v>750</v>
      </c>
      <c r="E968" s="1">
        <v>42898</v>
      </c>
      <c r="F968" t="s">
        <v>10</v>
      </c>
      <c r="G968" t="str">
        <f>"201706012511"</f>
        <v>201706012511</v>
      </c>
      <c r="H968" t="str">
        <f>"1JR33017B"</f>
        <v>1JR33017B</v>
      </c>
      <c r="I968" s="2">
        <v>250</v>
      </c>
      <c r="J968" t="str">
        <f>"1JR33017B"</f>
        <v>1JR33017B</v>
      </c>
    </row>
    <row r="969" spans="1:10" x14ac:dyDescent="0.3">
      <c r="A969" t="str">
        <f>""</f>
        <v/>
      </c>
      <c r="F969" t="s">
        <v>10</v>
      </c>
      <c r="G969" t="str">
        <f>"201706012512"</f>
        <v>201706012512</v>
      </c>
      <c r="H969" t="str">
        <f>"CH-20170311-A"</f>
        <v>CH-20170311-A</v>
      </c>
      <c r="I969" s="2">
        <v>250</v>
      </c>
      <c r="J969" t="str">
        <f>"CH-20170311-A"</f>
        <v>CH-20170311-A</v>
      </c>
    </row>
    <row r="970" spans="1:10" x14ac:dyDescent="0.3">
      <c r="A970" t="str">
        <f>""</f>
        <v/>
      </c>
      <c r="F970" t="s">
        <v>10</v>
      </c>
      <c r="G970" t="str">
        <f>"201706012513"</f>
        <v>201706012513</v>
      </c>
      <c r="H970" t="str">
        <f>"3031420017A"</f>
        <v>3031420017A</v>
      </c>
      <c r="I970" s="2">
        <v>250</v>
      </c>
      <c r="J970" t="str">
        <f>"3031420017A"</f>
        <v>3031420017A</v>
      </c>
    </row>
    <row r="971" spans="1:10" x14ac:dyDescent="0.3">
      <c r="A971" t="str">
        <f>"JOB"</f>
        <v>JOB</v>
      </c>
      <c r="B971" t="s">
        <v>266</v>
      </c>
      <c r="C971">
        <v>71222</v>
      </c>
      <c r="D971" s="2">
        <v>750</v>
      </c>
      <c r="E971" s="1">
        <v>42912</v>
      </c>
      <c r="F971" t="s">
        <v>10</v>
      </c>
      <c r="G971" t="str">
        <f>"201706143093"</f>
        <v>201706143093</v>
      </c>
      <c r="H971" t="str">
        <f>"54 743"</f>
        <v>54 743</v>
      </c>
      <c r="I971" s="2">
        <v>250</v>
      </c>
      <c r="J971" t="str">
        <f>"54 743"</f>
        <v>54 743</v>
      </c>
    </row>
    <row r="972" spans="1:10" x14ac:dyDescent="0.3">
      <c r="A972" t="str">
        <f>""</f>
        <v/>
      </c>
      <c r="F972" t="s">
        <v>10</v>
      </c>
      <c r="G972" t="str">
        <f>"201706143094"</f>
        <v>201706143094</v>
      </c>
      <c r="H972" t="str">
        <f>"54 948"</f>
        <v>54 948</v>
      </c>
      <c r="I972" s="2">
        <v>250</v>
      </c>
      <c r="J972" t="str">
        <f>"54 948"</f>
        <v>54 948</v>
      </c>
    </row>
    <row r="973" spans="1:10" x14ac:dyDescent="0.3">
      <c r="A973" t="str">
        <f>""</f>
        <v/>
      </c>
      <c r="F973" t="s">
        <v>10</v>
      </c>
      <c r="G973" t="str">
        <f>"201706143095"</f>
        <v>201706143095</v>
      </c>
      <c r="H973" t="str">
        <f>"54 273"</f>
        <v>54 273</v>
      </c>
      <c r="I973" s="2">
        <v>250</v>
      </c>
      <c r="J973" t="str">
        <f>"54 273"</f>
        <v>54 273</v>
      </c>
    </row>
    <row r="974" spans="1:10" x14ac:dyDescent="0.3">
      <c r="A974" t="str">
        <f>"005105"</f>
        <v>005105</v>
      </c>
      <c r="B974" t="s">
        <v>267</v>
      </c>
      <c r="C974">
        <v>70875</v>
      </c>
      <c r="D974" s="2">
        <v>63</v>
      </c>
      <c r="E974" s="1">
        <v>42898</v>
      </c>
      <c r="F974" t="s">
        <v>10</v>
      </c>
      <c r="G974" t="str">
        <f>"201706052597"</f>
        <v>201706052597</v>
      </c>
      <c r="H974" t="str">
        <f>"REFUND FOR COURT COSTS/JP#1"</f>
        <v>REFUND FOR COURT COSTS/JP#1</v>
      </c>
      <c r="I974" s="2">
        <v>63</v>
      </c>
      <c r="J974" t="str">
        <f>"REFUND FOR COURT COSTS/JP#1"</f>
        <v>REFUND FOR COURT COSTS/JP#1</v>
      </c>
    </row>
    <row r="975" spans="1:10" x14ac:dyDescent="0.3">
      <c r="A975" t="str">
        <f>"004316"</f>
        <v>004316</v>
      </c>
      <c r="B975" t="s">
        <v>268</v>
      </c>
      <c r="C975">
        <v>70876</v>
      </c>
      <c r="D975" s="2">
        <v>65</v>
      </c>
      <c r="E975" s="1">
        <v>42898</v>
      </c>
      <c r="F975" t="s">
        <v>10</v>
      </c>
      <c r="G975" t="str">
        <f>"201706072992"</f>
        <v>201706072992</v>
      </c>
      <c r="H975" t="str">
        <f>"FERAL HOGS"</f>
        <v>FERAL HOGS</v>
      </c>
      <c r="I975" s="2">
        <v>65</v>
      </c>
      <c r="J975" t="str">
        <f>"FERAL HOGS"</f>
        <v>FERAL HOGS</v>
      </c>
    </row>
    <row r="976" spans="1:10" x14ac:dyDescent="0.3">
      <c r="A976" t="str">
        <f>"004314"</f>
        <v>004314</v>
      </c>
      <c r="B976" t="s">
        <v>269</v>
      </c>
      <c r="C976">
        <v>70877</v>
      </c>
      <c r="D976" s="2">
        <v>90</v>
      </c>
      <c r="E976" s="1">
        <v>42898</v>
      </c>
      <c r="F976" t="s">
        <v>10</v>
      </c>
      <c r="G976" t="str">
        <f>"201706052640"</f>
        <v>201706052640</v>
      </c>
      <c r="H976" t="str">
        <f>"FERAL HOGS"</f>
        <v>FERAL HOGS</v>
      </c>
      <c r="I976" s="2">
        <v>90</v>
      </c>
      <c r="J976" t="str">
        <f>"FERAL HOGS"</f>
        <v>FERAL HOGS</v>
      </c>
    </row>
    <row r="977" spans="1:10" x14ac:dyDescent="0.3">
      <c r="A977" t="str">
        <f>"002708"</f>
        <v>002708</v>
      </c>
      <c r="B977" t="s">
        <v>270</v>
      </c>
      <c r="C977">
        <v>70878</v>
      </c>
      <c r="D977" s="2">
        <v>140</v>
      </c>
      <c r="E977" s="1">
        <v>42898</v>
      </c>
      <c r="F977" t="s">
        <v>10</v>
      </c>
      <c r="G977" t="str">
        <f>"12411"</f>
        <v>12411</v>
      </c>
      <c r="H977" t="str">
        <f>"SERVICE/3-31-2017"</f>
        <v>SERVICE/3-31-2017</v>
      </c>
      <c r="I977" s="2">
        <v>140</v>
      </c>
      <c r="J977" t="str">
        <f>"SERVICE/3-31-2017"</f>
        <v>SERVICE/3-31-2017</v>
      </c>
    </row>
    <row r="978" spans="1:10" x14ac:dyDescent="0.3">
      <c r="A978" t="str">
        <f>"T7860"</f>
        <v>T7860</v>
      </c>
      <c r="B978" t="s">
        <v>271</v>
      </c>
      <c r="C978">
        <v>70879</v>
      </c>
      <c r="D978" s="2">
        <v>2950</v>
      </c>
      <c r="E978" s="1">
        <v>42898</v>
      </c>
      <c r="F978" t="s">
        <v>10</v>
      </c>
      <c r="G978" t="s">
        <v>68</v>
      </c>
      <c r="H978" t="s">
        <v>272</v>
      </c>
      <c r="I978" s="2" t="str">
        <f>"AD LITEM-3/31/2017"</f>
        <v>AD LITEM-3/31/2017</v>
      </c>
      <c r="J978" t="str">
        <f>"995-4110"</f>
        <v>995-4110</v>
      </c>
    </row>
    <row r="979" spans="1:10" x14ac:dyDescent="0.3">
      <c r="A979" t="str">
        <f>""</f>
        <v/>
      </c>
      <c r="F979" t="s">
        <v>10</v>
      </c>
      <c r="G979" t="s">
        <v>68</v>
      </c>
      <c r="H979" t="s">
        <v>71</v>
      </c>
      <c r="I979" s="2" t="str">
        <f>"AD LITEM FEE-3/24/2017"</f>
        <v>AD LITEM FEE-3/24/2017</v>
      </c>
      <c r="J979" t="str">
        <f>"995-4110"</f>
        <v>995-4110</v>
      </c>
    </row>
    <row r="980" spans="1:10" x14ac:dyDescent="0.3">
      <c r="A980" t="str">
        <f>""</f>
        <v/>
      </c>
      <c r="F980" t="s">
        <v>10</v>
      </c>
      <c r="G980" t="s">
        <v>68</v>
      </c>
      <c r="H980" t="s">
        <v>73</v>
      </c>
      <c r="I980" s="2" t="str">
        <f>"SERVICE 03/29/2017"</f>
        <v>SERVICE 03/29/2017</v>
      </c>
      <c r="J980" t="str">
        <f>"995-4110"</f>
        <v>995-4110</v>
      </c>
    </row>
    <row r="981" spans="1:10" x14ac:dyDescent="0.3">
      <c r="A981" t="str">
        <f>""</f>
        <v/>
      </c>
      <c r="F981" t="s">
        <v>10</v>
      </c>
      <c r="G981" t="str">
        <f>"11861"</f>
        <v>11861</v>
      </c>
      <c r="H981" t="str">
        <f>"SERVICE 03/06/2017"</f>
        <v>SERVICE 03/06/2017</v>
      </c>
      <c r="I981" s="2">
        <v>150</v>
      </c>
      <c r="J981" t="str">
        <f>"SERVICE 03/06/2017"</f>
        <v>SERVICE 03/06/2017</v>
      </c>
    </row>
    <row r="982" spans="1:10" x14ac:dyDescent="0.3">
      <c r="A982" t="str">
        <f>""</f>
        <v/>
      </c>
      <c r="F982" t="s">
        <v>10</v>
      </c>
      <c r="G982" t="s">
        <v>74</v>
      </c>
      <c r="H982" t="s">
        <v>75</v>
      </c>
      <c r="I982" s="2" t="str">
        <f>"AD LITEM FEE-3/24/2017"</f>
        <v>AD LITEM FEE-3/24/2017</v>
      </c>
      <c r="J982" t="str">
        <f>"995-4110"</f>
        <v>995-4110</v>
      </c>
    </row>
    <row r="983" spans="1:10" x14ac:dyDescent="0.3">
      <c r="A983" t="str">
        <f>""</f>
        <v/>
      </c>
      <c r="F983" t="s">
        <v>10</v>
      </c>
      <c r="G983" t="s">
        <v>74</v>
      </c>
      <c r="H983" t="s">
        <v>76</v>
      </c>
      <c r="I983" s="2" t="str">
        <f>"AD LITEM FEE-3/24/2017"</f>
        <v>AD LITEM FEE-3/24/2017</v>
      </c>
      <c r="J983" t="str">
        <f>"995-4110"</f>
        <v>995-4110</v>
      </c>
    </row>
    <row r="984" spans="1:10" x14ac:dyDescent="0.3">
      <c r="A984" t="str">
        <f>""</f>
        <v/>
      </c>
      <c r="F984" t="s">
        <v>10</v>
      </c>
      <c r="G984" t="s">
        <v>74</v>
      </c>
      <c r="H984" t="s">
        <v>77</v>
      </c>
      <c r="I984" s="2" t="str">
        <f>"AD LITEM FEE-3/24/2017"</f>
        <v>AD LITEM FEE-3/24/2017</v>
      </c>
      <c r="J984" t="str">
        <f>"995-4110"</f>
        <v>995-4110</v>
      </c>
    </row>
    <row r="985" spans="1:10" x14ac:dyDescent="0.3">
      <c r="A985" t="str">
        <f>""</f>
        <v/>
      </c>
      <c r="F985" t="s">
        <v>10</v>
      </c>
      <c r="G985" t="str">
        <f>"12000"</f>
        <v>12000</v>
      </c>
      <c r="H985" t="str">
        <f>"SERVICE 03/06/2017"</f>
        <v>SERVICE 03/06/2017</v>
      </c>
      <c r="I985" s="2">
        <v>150</v>
      </c>
      <c r="J985" t="str">
        <f>"SERVICE 03/06/2017"</f>
        <v>SERVICE 03/06/2017</v>
      </c>
    </row>
    <row r="986" spans="1:10" x14ac:dyDescent="0.3">
      <c r="A986" t="str">
        <f>""</f>
        <v/>
      </c>
      <c r="F986" t="s">
        <v>10</v>
      </c>
      <c r="G986" t="str">
        <f>"12364"</f>
        <v>12364</v>
      </c>
      <c r="H986" t="str">
        <f>"SERVICE 03/06/2017"</f>
        <v>SERVICE 03/06/2017</v>
      </c>
      <c r="I986" s="2">
        <v>150</v>
      </c>
      <c r="J986" t="str">
        <f>"SERVICE 03/06/2017"</f>
        <v>SERVICE 03/06/2017</v>
      </c>
    </row>
    <row r="987" spans="1:10" x14ac:dyDescent="0.3">
      <c r="A987" t="str">
        <f>""</f>
        <v/>
      </c>
      <c r="F987" t="s">
        <v>10</v>
      </c>
      <c r="G987" t="str">
        <f>"12411"</f>
        <v>12411</v>
      </c>
      <c r="H987" t="str">
        <f>"AD LITEM FEE-3/31/2017"</f>
        <v>AD LITEM FEE-3/31/2017</v>
      </c>
      <c r="I987" s="2">
        <v>150</v>
      </c>
      <c r="J987" t="str">
        <f>"AD LITEM FEE-3/31/2017"</f>
        <v>AD LITEM FEE-3/31/2017</v>
      </c>
    </row>
    <row r="988" spans="1:10" x14ac:dyDescent="0.3">
      <c r="A988" t="str">
        <f>""</f>
        <v/>
      </c>
      <c r="F988" t="s">
        <v>10</v>
      </c>
      <c r="G988" t="str">
        <f>"12443"</f>
        <v>12443</v>
      </c>
      <c r="H988" t="str">
        <f>"SERVICE 03/08/2017"</f>
        <v>SERVICE 03/08/2017</v>
      </c>
      <c r="I988" s="2">
        <v>150</v>
      </c>
      <c r="J988" t="str">
        <f>"SERVICE 03/08/2017"</f>
        <v>SERVICE 03/08/2017</v>
      </c>
    </row>
    <row r="989" spans="1:10" x14ac:dyDescent="0.3">
      <c r="A989" t="str">
        <f>""</f>
        <v/>
      </c>
      <c r="F989" t="s">
        <v>10</v>
      </c>
      <c r="G989" t="str">
        <f>"201706012550"</f>
        <v>201706012550</v>
      </c>
      <c r="H989" t="str">
        <f>"55 071"</f>
        <v>55 071</v>
      </c>
      <c r="I989" s="2">
        <v>250</v>
      </c>
      <c r="J989" t="str">
        <f>"55 071"</f>
        <v>55 071</v>
      </c>
    </row>
    <row r="990" spans="1:10" x14ac:dyDescent="0.3">
      <c r="A990" t="str">
        <f>""</f>
        <v/>
      </c>
      <c r="F990" t="s">
        <v>10</v>
      </c>
      <c r="G990" t="str">
        <f>"201706072887"</f>
        <v>201706072887</v>
      </c>
      <c r="H990" t="str">
        <f>"C160112"</f>
        <v>C160112</v>
      </c>
      <c r="I990" s="2">
        <v>250</v>
      </c>
      <c r="J990" t="str">
        <f>"C160112"</f>
        <v>C160112</v>
      </c>
    </row>
    <row r="991" spans="1:10" x14ac:dyDescent="0.3">
      <c r="A991" t="str">
        <f>""</f>
        <v/>
      </c>
      <c r="F991" t="s">
        <v>10</v>
      </c>
      <c r="G991" t="str">
        <f>"201706072888"</f>
        <v>201706072888</v>
      </c>
      <c r="H991" t="str">
        <f>"1JP112716A"</f>
        <v>1JP112716A</v>
      </c>
      <c r="I991" s="2">
        <v>250</v>
      </c>
      <c r="J991" t="str">
        <f>"1JP112716A"</f>
        <v>1JP112716A</v>
      </c>
    </row>
    <row r="992" spans="1:10" x14ac:dyDescent="0.3">
      <c r="A992" t="str">
        <f>""</f>
        <v/>
      </c>
      <c r="F992" t="s">
        <v>10</v>
      </c>
      <c r="G992" t="str">
        <f>"201706072889"</f>
        <v>201706072889</v>
      </c>
      <c r="H992" t="str">
        <f>"J-3079"</f>
        <v>J-3079</v>
      </c>
      <c r="I992" s="2">
        <v>250</v>
      </c>
      <c r="J992" t="str">
        <f>"J-3079"</f>
        <v>J-3079</v>
      </c>
    </row>
    <row r="993" spans="1:10" x14ac:dyDescent="0.3">
      <c r="A993" t="str">
        <f>""</f>
        <v/>
      </c>
      <c r="F993" t="s">
        <v>10</v>
      </c>
      <c r="G993" t="str">
        <f>"201706072890"</f>
        <v>201706072890</v>
      </c>
      <c r="H993" t="str">
        <f>"17-18277"</f>
        <v>17-18277</v>
      </c>
      <c r="I993" s="2">
        <v>100</v>
      </c>
      <c r="J993" t="str">
        <f>"17-18277"</f>
        <v>17-18277</v>
      </c>
    </row>
    <row r="994" spans="1:10" x14ac:dyDescent="0.3">
      <c r="A994" t="str">
        <f>""</f>
        <v/>
      </c>
      <c r="F994" t="s">
        <v>10</v>
      </c>
      <c r="G994" t="str">
        <f>"201706072891"</f>
        <v>201706072891</v>
      </c>
      <c r="H994" t="str">
        <f>"16-18062"</f>
        <v>16-18062</v>
      </c>
      <c r="I994" s="2">
        <v>100</v>
      </c>
      <c r="J994" t="str">
        <f>"16-18062"</f>
        <v>16-18062</v>
      </c>
    </row>
    <row r="995" spans="1:10" x14ac:dyDescent="0.3">
      <c r="A995" t="str">
        <f>""</f>
        <v/>
      </c>
      <c r="F995" t="s">
        <v>10</v>
      </c>
      <c r="G995" t="str">
        <f>"201706072892"</f>
        <v>201706072892</v>
      </c>
      <c r="H995" t="str">
        <f>"17-18119"</f>
        <v>17-18119</v>
      </c>
      <c r="I995" s="2">
        <v>100</v>
      </c>
      <c r="J995" t="str">
        <f>"17-18119"</f>
        <v>17-18119</v>
      </c>
    </row>
    <row r="996" spans="1:10" x14ac:dyDescent="0.3">
      <c r="A996" t="str">
        <f>"T7860"</f>
        <v>T7860</v>
      </c>
      <c r="B996" t="s">
        <v>271</v>
      </c>
      <c r="C996">
        <v>71223</v>
      </c>
      <c r="D996" s="2">
        <v>1100</v>
      </c>
      <c r="E996" s="1">
        <v>42912</v>
      </c>
      <c r="F996" t="s">
        <v>10</v>
      </c>
      <c r="G996" t="str">
        <f>"12410"</f>
        <v>12410</v>
      </c>
      <c r="H996" t="str">
        <f>"AD LITEM FEE-3/24/2017"</f>
        <v>AD LITEM FEE-3/24/2017</v>
      </c>
      <c r="I996" s="2">
        <v>150</v>
      </c>
      <c r="J996" t="str">
        <f>"AD LITEM FEE-3/24/2017"</f>
        <v>AD LITEM FEE-3/24/2017</v>
      </c>
    </row>
    <row r="997" spans="1:10" x14ac:dyDescent="0.3">
      <c r="A997" t="str">
        <f>""</f>
        <v/>
      </c>
      <c r="F997" t="s">
        <v>10</v>
      </c>
      <c r="G997" t="str">
        <f>"12440"</f>
        <v>12440</v>
      </c>
      <c r="H997" t="str">
        <f>"AD LITEM FEE-3/24/17"</f>
        <v>AD LITEM FEE-3/24/17</v>
      </c>
      <c r="I997" s="2">
        <v>150</v>
      </c>
      <c r="J997" t="str">
        <f>"AD LITEM FEE-3/24/17"</f>
        <v>AD LITEM FEE-3/24/17</v>
      </c>
    </row>
    <row r="998" spans="1:10" x14ac:dyDescent="0.3">
      <c r="A998" t="str">
        <f>""</f>
        <v/>
      </c>
      <c r="F998" t="s">
        <v>10</v>
      </c>
      <c r="G998" t="str">
        <f>"12444"</f>
        <v>12444</v>
      </c>
      <c r="H998" t="str">
        <f>"AD LITEM FEE-3/24/17"</f>
        <v>AD LITEM FEE-3/24/17</v>
      </c>
      <c r="I998" s="2">
        <v>150</v>
      </c>
      <c r="J998" t="str">
        <f>"AD LITEM FEE-3/24/17"</f>
        <v>AD LITEM FEE-3/24/17</v>
      </c>
    </row>
    <row r="999" spans="1:10" x14ac:dyDescent="0.3">
      <c r="A999" t="str">
        <f>""</f>
        <v/>
      </c>
      <c r="F999" t="s">
        <v>10</v>
      </c>
      <c r="G999" t="str">
        <f>"12501"</f>
        <v>12501</v>
      </c>
      <c r="H999" t="str">
        <f>"AD LITEM FEE-3/24/17"</f>
        <v>AD LITEM FEE-3/24/17</v>
      </c>
      <c r="I999" s="2">
        <v>150</v>
      </c>
      <c r="J999" t="str">
        <f>"AD LITEM FEE-3/24/17"</f>
        <v>AD LITEM FEE-3/24/17</v>
      </c>
    </row>
    <row r="1000" spans="1:10" x14ac:dyDescent="0.3">
      <c r="A1000" t="str">
        <f>""</f>
        <v/>
      </c>
      <c r="F1000" t="s">
        <v>10</v>
      </c>
      <c r="G1000" t="str">
        <f>"201706213197"</f>
        <v>201706213197</v>
      </c>
      <c r="H1000" t="str">
        <f>"2016072500/TRN9253439149"</f>
        <v>2016072500/TRN9253439149</v>
      </c>
      <c r="I1000" s="2">
        <v>250</v>
      </c>
      <c r="J1000" t="str">
        <f>"2016072500/TRN9253439149"</f>
        <v>2016072500/TRN9253439149</v>
      </c>
    </row>
    <row r="1001" spans="1:10" x14ac:dyDescent="0.3">
      <c r="A1001" t="str">
        <f>""</f>
        <v/>
      </c>
      <c r="F1001" t="s">
        <v>10</v>
      </c>
      <c r="G1001" t="str">
        <f>"201706213198"</f>
        <v>201706213198</v>
      </c>
      <c r="H1001" t="str">
        <f>"54 715"</f>
        <v>54 715</v>
      </c>
      <c r="I1001" s="2">
        <v>250</v>
      </c>
      <c r="J1001" t="str">
        <f>"54 715"</f>
        <v>54 715</v>
      </c>
    </row>
    <row r="1002" spans="1:10" x14ac:dyDescent="0.3">
      <c r="A1002" t="str">
        <f>"004891"</f>
        <v>004891</v>
      </c>
      <c r="B1002" t="s">
        <v>273</v>
      </c>
      <c r="C1002">
        <v>70880</v>
      </c>
      <c r="D1002" s="2">
        <v>50</v>
      </c>
      <c r="E1002" s="1">
        <v>42898</v>
      </c>
      <c r="F1002" t="s">
        <v>10</v>
      </c>
      <c r="G1002" t="str">
        <f>"201706022583"</f>
        <v>201706022583</v>
      </c>
      <c r="H1002" t="str">
        <f>"RESTITUTION-MARTIN ALMS 14 505"</f>
        <v>RESTITUTION-MARTIN ALMS 14 505</v>
      </c>
      <c r="I1002" s="2">
        <v>50</v>
      </c>
      <c r="J1002" t="str">
        <f>"RESTITUTION-MARTIN ALMS"</f>
        <v>RESTITUTION-MARTIN ALMS</v>
      </c>
    </row>
    <row r="1003" spans="1:10" x14ac:dyDescent="0.3">
      <c r="A1003" t="str">
        <f>"T11068"</f>
        <v>T11068</v>
      </c>
      <c r="B1003" t="s">
        <v>274</v>
      </c>
      <c r="C1003">
        <v>70881</v>
      </c>
      <c r="D1003" s="2">
        <v>3000</v>
      </c>
      <c r="E1003" s="1">
        <v>42898</v>
      </c>
      <c r="F1003" t="s">
        <v>10</v>
      </c>
      <c r="G1003" t="str">
        <f>"201706083029"</f>
        <v>201706083029</v>
      </c>
      <c r="H1003" t="str">
        <f>"Appraisal"</f>
        <v>Appraisal</v>
      </c>
      <c r="I1003" s="2">
        <v>3000</v>
      </c>
    </row>
    <row r="1004" spans="1:10" x14ac:dyDescent="0.3">
      <c r="A1004" t="str">
        <f>"T11068"</f>
        <v>T11068</v>
      </c>
      <c r="B1004" t="s">
        <v>274</v>
      </c>
      <c r="C1004">
        <v>70881</v>
      </c>
      <c r="D1004" s="2">
        <v>3000</v>
      </c>
      <c r="E1004" s="1">
        <v>42898</v>
      </c>
      <c r="F1004" t="s">
        <v>246</v>
      </c>
      <c r="G1004" t="str">
        <f>"CHECK"</f>
        <v>CHECK</v>
      </c>
      <c r="H1004" t="str">
        <f>""</f>
        <v/>
      </c>
      <c r="I1004" s="2">
        <v>3000</v>
      </c>
    </row>
    <row r="1005" spans="1:10" x14ac:dyDescent="0.3">
      <c r="A1005" t="str">
        <f>"002183"</f>
        <v>002183</v>
      </c>
      <c r="B1005" t="s">
        <v>275</v>
      </c>
      <c r="C1005">
        <v>70882</v>
      </c>
      <c r="D1005" s="2">
        <v>25</v>
      </c>
      <c r="E1005" s="1">
        <v>42898</v>
      </c>
      <c r="F1005" t="s">
        <v>10</v>
      </c>
      <c r="G1005" t="str">
        <f>"201706072993"</f>
        <v>201706072993</v>
      </c>
      <c r="H1005" t="str">
        <f>"FERAL HOGS"</f>
        <v>FERAL HOGS</v>
      </c>
      <c r="I1005" s="2">
        <v>25</v>
      </c>
      <c r="J1005" t="str">
        <f>"FERAL HOGS"</f>
        <v>FERAL HOGS</v>
      </c>
    </row>
    <row r="1006" spans="1:10" x14ac:dyDescent="0.3">
      <c r="A1006" t="str">
        <f>"002662"</f>
        <v>002662</v>
      </c>
      <c r="B1006" t="s">
        <v>276</v>
      </c>
      <c r="C1006">
        <v>70883</v>
      </c>
      <c r="D1006" s="2">
        <v>581.52</v>
      </c>
      <c r="E1006" s="1">
        <v>42898</v>
      </c>
      <c r="F1006" t="s">
        <v>10</v>
      </c>
      <c r="G1006" t="str">
        <f>"793"</f>
        <v>793</v>
      </c>
      <c r="H1006" t="str">
        <f>"Order# 10212"</f>
        <v>Order# 10212</v>
      </c>
      <c r="I1006" s="2">
        <v>581.52</v>
      </c>
      <c r="J1006" t="str">
        <f>"Order# 10212"</f>
        <v>Order# 10212</v>
      </c>
    </row>
    <row r="1007" spans="1:10" x14ac:dyDescent="0.3">
      <c r="A1007" t="str">
        <f>""</f>
        <v/>
      </c>
      <c r="G1007" t="str">
        <f>""</f>
        <v/>
      </c>
      <c r="H1007" t="str">
        <f>""</f>
        <v/>
      </c>
      <c r="J1007" t="str">
        <f>"Shipping"</f>
        <v>Shipping</v>
      </c>
    </row>
    <row r="1008" spans="1:10" x14ac:dyDescent="0.3">
      <c r="A1008" t="str">
        <f>"003886"</f>
        <v>003886</v>
      </c>
      <c r="B1008" t="s">
        <v>277</v>
      </c>
      <c r="C1008">
        <v>70884</v>
      </c>
      <c r="D1008" s="2">
        <v>845</v>
      </c>
      <c r="E1008" s="1">
        <v>42898</v>
      </c>
      <c r="F1008" t="s">
        <v>10</v>
      </c>
      <c r="G1008" t="str">
        <f>"201706072994"</f>
        <v>201706072994</v>
      </c>
      <c r="H1008" t="str">
        <f>"FERAL HOGS"</f>
        <v>FERAL HOGS</v>
      </c>
      <c r="I1008" s="2">
        <v>155</v>
      </c>
      <c r="J1008" t="str">
        <f>"FERAL HOGS"</f>
        <v>FERAL HOGS</v>
      </c>
    </row>
    <row r="1009" spans="1:10" x14ac:dyDescent="0.3">
      <c r="A1009" t="str">
        <f>""</f>
        <v/>
      </c>
      <c r="F1009" t="s">
        <v>10</v>
      </c>
      <c r="G1009" t="str">
        <f>"201706072995"</f>
        <v>201706072995</v>
      </c>
      <c r="H1009" t="str">
        <f>"FERAL HOGS"</f>
        <v>FERAL HOGS</v>
      </c>
      <c r="I1009" s="2">
        <v>250</v>
      </c>
      <c r="J1009" t="str">
        <f>"FERAL HOGS"</f>
        <v>FERAL HOGS</v>
      </c>
    </row>
    <row r="1010" spans="1:10" x14ac:dyDescent="0.3">
      <c r="A1010" t="str">
        <f>""</f>
        <v/>
      </c>
      <c r="F1010" t="s">
        <v>10</v>
      </c>
      <c r="G1010" t="str">
        <f>"201706072996"</f>
        <v>201706072996</v>
      </c>
      <c r="H1010" t="str">
        <f>"FERAL HOGS"</f>
        <v>FERAL HOGS</v>
      </c>
      <c r="I1010" s="2">
        <v>355</v>
      </c>
      <c r="J1010" t="str">
        <f>"FERAL HOGS"</f>
        <v>FERAL HOGS</v>
      </c>
    </row>
    <row r="1011" spans="1:10" x14ac:dyDescent="0.3">
      <c r="A1011" t="str">
        <f>""</f>
        <v/>
      </c>
      <c r="F1011" t="s">
        <v>10</v>
      </c>
      <c r="G1011" t="str">
        <f>"201706072997"</f>
        <v>201706072997</v>
      </c>
      <c r="H1011" t="str">
        <f>"FERAL HOGS"</f>
        <v>FERAL HOGS</v>
      </c>
      <c r="I1011" s="2">
        <v>85</v>
      </c>
      <c r="J1011" t="str">
        <f>"FERAL HOGS"</f>
        <v>FERAL HOGS</v>
      </c>
    </row>
    <row r="1012" spans="1:10" x14ac:dyDescent="0.3">
      <c r="A1012" t="str">
        <f>"003848"</f>
        <v>003848</v>
      </c>
      <c r="B1012" t="s">
        <v>278</v>
      </c>
      <c r="C1012">
        <v>70885</v>
      </c>
      <c r="D1012" s="2">
        <v>400</v>
      </c>
      <c r="E1012" s="1">
        <v>42898</v>
      </c>
      <c r="F1012" t="s">
        <v>10</v>
      </c>
      <c r="G1012" t="str">
        <f>"201706012514"</f>
        <v>201706012514</v>
      </c>
      <c r="H1012" t="str">
        <f>"CH2016 0116 G/EPD 201600459"</f>
        <v>CH2016 0116 G/EPD 201600459</v>
      </c>
      <c r="I1012" s="2">
        <v>400</v>
      </c>
      <c r="J1012" t="str">
        <f>"CH2016 0116 G/EPD 201600459"</f>
        <v>CH2016 0116 G/EPD 201600459</v>
      </c>
    </row>
    <row r="1013" spans="1:10" x14ac:dyDescent="0.3">
      <c r="A1013" t="str">
        <f>"003848"</f>
        <v>003848</v>
      </c>
      <c r="B1013" t="s">
        <v>278</v>
      </c>
      <c r="C1013">
        <v>71224</v>
      </c>
      <c r="D1013" s="2">
        <v>600</v>
      </c>
      <c r="E1013" s="1">
        <v>42912</v>
      </c>
      <c r="F1013" t="s">
        <v>10</v>
      </c>
      <c r="G1013" t="str">
        <f>"201706143075"</f>
        <v>201706143075</v>
      </c>
      <c r="H1013" t="str">
        <f>"16220"</f>
        <v>16220</v>
      </c>
      <c r="I1013" s="2">
        <v>400</v>
      </c>
      <c r="J1013" t="str">
        <f>"16220"</f>
        <v>16220</v>
      </c>
    </row>
    <row r="1014" spans="1:10" x14ac:dyDescent="0.3">
      <c r="A1014" t="str">
        <f>""</f>
        <v/>
      </c>
      <c r="F1014" t="s">
        <v>10</v>
      </c>
      <c r="G1014" t="str">
        <f>"201706143076"</f>
        <v>201706143076</v>
      </c>
      <c r="H1014" t="str">
        <f>"15 588"</f>
        <v>15 588</v>
      </c>
      <c r="I1014" s="2">
        <v>200</v>
      </c>
      <c r="J1014" t="str">
        <f>"15 588"</f>
        <v>15 588</v>
      </c>
    </row>
    <row r="1015" spans="1:10" x14ac:dyDescent="0.3">
      <c r="A1015" t="str">
        <f>"005069"</f>
        <v>005069</v>
      </c>
      <c r="B1015" t="s">
        <v>279</v>
      </c>
      <c r="C1015">
        <v>70886</v>
      </c>
      <c r="D1015" s="2">
        <v>20</v>
      </c>
      <c r="E1015" s="1">
        <v>42898</v>
      </c>
      <c r="F1015" t="s">
        <v>10</v>
      </c>
      <c r="G1015" t="str">
        <f>"201706052641"</f>
        <v>201706052641</v>
      </c>
      <c r="H1015" t="str">
        <f>"FERAL HOGS"</f>
        <v>FERAL HOGS</v>
      </c>
      <c r="I1015" s="2">
        <v>20</v>
      </c>
      <c r="J1015" t="str">
        <f>"FERAL HOGS"</f>
        <v>FERAL HOGS</v>
      </c>
    </row>
    <row r="1016" spans="1:10" x14ac:dyDescent="0.3">
      <c r="A1016" t="str">
        <f>"005026"</f>
        <v>005026</v>
      </c>
      <c r="B1016" t="s">
        <v>280</v>
      </c>
      <c r="C1016">
        <v>71225</v>
      </c>
      <c r="D1016" s="2">
        <v>450</v>
      </c>
      <c r="E1016" s="1">
        <v>42912</v>
      </c>
      <c r="F1016" t="s">
        <v>10</v>
      </c>
      <c r="G1016" t="str">
        <f>"201706213242"</f>
        <v>201706213242</v>
      </c>
      <c r="H1016" t="str">
        <f>"VETERINARY SERVICES/INV#100"</f>
        <v>VETERINARY SERVICES/INV#100</v>
      </c>
      <c r="I1016" s="2">
        <v>450</v>
      </c>
      <c r="J1016" t="str">
        <f>"VETERINARY SERVICES/INV#100"</f>
        <v>VETERINARY SERVICES/INV#100</v>
      </c>
    </row>
    <row r="1017" spans="1:10" x14ac:dyDescent="0.3">
      <c r="A1017" t="str">
        <f>"003040"</f>
        <v>003040</v>
      </c>
      <c r="B1017" t="s">
        <v>281</v>
      </c>
      <c r="C1017">
        <v>71226</v>
      </c>
      <c r="D1017" s="2">
        <v>344.47</v>
      </c>
      <c r="E1017" s="1">
        <v>42912</v>
      </c>
      <c r="F1017" t="s">
        <v>10</v>
      </c>
      <c r="G1017" t="str">
        <f>"201706153102"</f>
        <v>201706153102</v>
      </c>
      <c r="H1017" t="str">
        <f>"TRAVEL ADVANCE REQUEST"</f>
        <v>TRAVEL ADVANCE REQUEST</v>
      </c>
      <c r="I1017" s="2">
        <v>344.47</v>
      </c>
      <c r="J1017" t="str">
        <f>"TRAVEL ADVANCE REQUEST"</f>
        <v>TRAVEL ADVANCE REQUEST</v>
      </c>
    </row>
    <row r="1018" spans="1:10" x14ac:dyDescent="0.3">
      <c r="A1018" t="str">
        <f>"004675"</f>
        <v>004675</v>
      </c>
      <c r="B1018" t="s">
        <v>282</v>
      </c>
      <c r="C1018">
        <v>70887</v>
      </c>
      <c r="D1018" s="2">
        <v>100</v>
      </c>
      <c r="E1018" s="1">
        <v>42898</v>
      </c>
      <c r="F1018" t="s">
        <v>10</v>
      </c>
      <c r="G1018" t="str">
        <f>"201706022582"</f>
        <v>201706022582</v>
      </c>
      <c r="H1018" t="str">
        <f>"RESTITUTION-PAUL MILLER 15 204"</f>
        <v>RESTITUTION-PAUL MILLER 15 204</v>
      </c>
      <c r="I1018" s="2">
        <v>100</v>
      </c>
      <c r="J1018" t="str">
        <f>"RESTITUTION-PAUL MILLER 15 204"</f>
        <v>RESTITUTION-PAUL MILLER 15 204</v>
      </c>
    </row>
    <row r="1019" spans="1:10" x14ac:dyDescent="0.3">
      <c r="A1019" t="str">
        <f>"005104"</f>
        <v>005104</v>
      </c>
      <c r="B1019" t="s">
        <v>283</v>
      </c>
      <c r="C1019">
        <v>70888</v>
      </c>
      <c r="D1019" s="2">
        <v>130</v>
      </c>
      <c r="E1019" s="1">
        <v>42898</v>
      </c>
      <c r="F1019" t="s">
        <v>10</v>
      </c>
      <c r="G1019" t="str">
        <f>"10034"</f>
        <v>10034</v>
      </c>
      <c r="H1019" t="str">
        <f>"OVER PMT ON SVC FEES/3-31-2017"</f>
        <v>OVER PMT ON SVC FEES/3-31-2017</v>
      </c>
      <c r="I1019" s="2">
        <v>130</v>
      </c>
      <c r="J1019" t="str">
        <f>"SERVICE/3-31-2017"</f>
        <v>SERVICE/3-31-2017</v>
      </c>
    </row>
    <row r="1020" spans="1:10" x14ac:dyDescent="0.3">
      <c r="A1020" t="str">
        <f>"003379"</f>
        <v>003379</v>
      </c>
      <c r="B1020" t="s">
        <v>284</v>
      </c>
      <c r="C1020">
        <v>70889</v>
      </c>
      <c r="D1020" s="2">
        <v>65</v>
      </c>
      <c r="E1020" s="1">
        <v>42898</v>
      </c>
      <c r="F1020" t="s">
        <v>10</v>
      </c>
      <c r="G1020" t="str">
        <f>"201706072998"</f>
        <v>201706072998</v>
      </c>
      <c r="H1020" t="str">
        <f>"FERAL HOGS"</f>
        <v>FERAL HOGS</v>
      </c>
      <c r="I1020" s="2">
        <v>65</v>
      </c>
      <c r="J1020" t="str">
        <f>"FERAL HOGS"</f>
        <v>FERAL HOGS</v>
      </c>
    </row>
    <row r="1021" spans="1:10" x14ac:dyDescent="0.3">
      <c r="A1021" t="str">
        <f>"T14548"</f>
        <v>T14548</v>
      </c>
      <c r="B1021" t="s">
        <v>285</v>
      </c>
      <c r="C1021">
        <v>70890</v>
      </c>
      <c r="D1021" s="2">
        <v>3200</v>
      </c>
      <c r="E1021" s="1">
        <v>42898</v>
      </c>
      <c r="F1021" t="s">
        <v>10</v>
      </c>
      <c r="G1021" t="str">
        <f>"201706012515"</f>
        <v>201706012515</v>
      </c>
      <c r="H1021" t="str">
        <f>"9716"</f>
        <v>9716</v>
      </c>
      <c r="I1021" s="2">
        <v>400</v>
      </c>
      <c r="J1021" t="str">
        <f>"9716"</f>
        <v>9716</v>
      </c>
    </row>
    <row r="1022" spans="1:10" x14ac:dyDescent="0.3">
      <c r="A1022" t="str">
        <f>""</f>
        <v/>
      </c>
      <c r="F1022" t="s">
        <v>10</v>
      </c>
      <c r="G1022" t="str">
        <f>"201706012516"</f>
        <v>201706012516</v>
      </c>
      <c r="H1022" t="str">
        <f>"54147/54213"</f>
        <v>54147/54213</v>
      </c>
      <c r="I1022" s="2">
        <v>375</v>
      </c>
      <c r="J1022" t="str">
        <f>"54147/54213"</f>
        <v>54147/54213</v>
      </c>
    </row>
    <row r="1023" spans="1:10" x14ac:dyDescent="0.3">
      <c r="A1023" t="str">
        <f>""</f>
        <v/>
      </c>
      <c r="F1023" t="s">
        <v>10</v>
      </c>
      <c r="G1023" t="str">
        <f>"201706012517"</f>
        <v>201706012517</v>
      </c>
      <c r="H1023" t="str">
        <f>"54441"</f>
        <v>54441</v>
      </c>
      <c r="I1023" s="2">
        <v>250</v>
      </c>
      <c r="J1023" t="str">
        <f>"54441"</f>
        <v>54441</v>
      </c>
    </row>
    <row r="1024" spans="1:10" x14ac:dyDescent="0.3">
      <c r="A1024" t="str">
        <f>""</f>
        <v/>
      </c>
      <c r="F1024" t="s">
        <v>10</v>
      </c>
      <c r="G1024" t="str">
        <f>"201706012518"</f>
        <v>201706012518</v>
      </c>
      <c r="H1024" t="str">
        <f>"15427"</f>
        <v>15427</v>
      </c>
      <c r="I1024" s="2">
        <v>400</v>
      </c>
      <c r="J1024" t="str">
        <f>"15427"</f>
        <v>15427</v>
      </c>
    </row>
    <row r="1025" spans="1:10" x14ac:dyDescent="0.3">
      <c r="A1025" t="str">
        <f>""</f>
        <v/>
      </c>
      <c r="F1025" t="s">
        <v>10</v>
      </c>
      <c r="G1025" t="str">
        <f>"201706012519"</f>
        <v>201706012519</v>
      </c>
      <c r="H1025" t="str">
        <f>"306142015F"</f>
        <v>306142015F</v>
      </c>
      <c r="I1025" s="2">
        <v>250</v>
      </c>
      <c r="J1025" t="str">
        <f>"306142015F"</f>
        <v>306142015F</v>
      </c>
    </row>
    <row r="1026" spans="1:10" x14ac:dyDescent="0.3">
      <c r="A1026" t="str">
        <f>""</f>
        <v/>
      </c>
      <c r="F1026" t="s">
        <v>10</v>
      </c>
      <c r="G1026" t="str">
        <f>"201706012520"</f>
        <v>201706012520</v>
      </c>
      <c r="H1026" t="str">
        <f>"02-0409-3"</f>
        <v>02-0409-3</v>
      </c>
      <c r="I1026" s="2">
        <v>275</v>
      </c>
      <c r="J1026" t="str">
        <f>"02-0409-3"</f>
        <v>02-0409-3</v>
      </c>
    </row>
    <row r="1027" spans="1:10" x14ac:dyDescent="0.3">
      <c r="A1027" t="str">
        <f>""</f>
        <v/>
      </c>
      <c r="F1027" t="s">
        <v>10</v>
      </c>
      <c r="G1027" t="str">
        <f>"201706072809"</f>
        <v>201706072809</v>
      </c>
      <c r="H1027" t="str">
        <f>"AC-2017-0106W"</f>
        <v>AC-2017-0106W</v>
      </c>
      <c r="I1027" s="2">
        <v>250</v>
      </c>
      <c r="J1027" t="str">
        <f>"AC-2017-0106W"</f>
        <v>AC-2017-0106W</v>
      </c>
    </row>
    <row r="1028" spans="1:10" x14ac:dyDescent="0.3">
      <c r="A1028" t="str">
        <f>""</f>
        <v/>
      </c>
      <c r="F1028" t="s">
        <v>10</v>
      </c>
      <c r="G1028" t="str">
        <f>"201706072882"</f>
        <v>201706072882</v>
      </c>
      <c r="H1028" t="str">
        <f>"54252"</f>
        <v>54252</v>
      </c>
      <c r="I1028" s="2">
        <v>250</v>
      </c>
      <c r="J1028" t="str">
        <f>"54252"</f>
        <v>54252</v>
      </c>
    </row>
    <row r="1029" spans="1:10" x14ac:dyDescent="0.3">
      <c r="A1029" t="str">
        <f>""</f>
        <v/>
      </c>
      <c r="F1029" t="s">
        <v>10</v>
      </c>
      <c r="G1029" t="str">
        <f>"201706072883"</f>
        <v>201706072883</v>
      </c>
      <c r="H1029" t="str">
        <f>"4072352MW"</f>
        <v>4072352MW</v>
      </c>
      <c r="I1029" s="2">
        <v>250</v>
      </c>
      <c r="J1029" t="str">
        <f>"4072352MW"</f>
        <v>4072352MW</v>
      </c>
    </row>
    <row r="1030" spans="1:10" x14ac:dyDescent="0.3">
      <c r="A1030" t="str">
        <f>""</f>
        <v/>
      </c>
      <c r="F1030" t="s">
        <v>10</v>
      </c>
      <c r="G1030" t="str">
        <f>"201706072884"</f>
        <v>201706072884</v>
      </c>
      <c r="H1030" t="str">
        <f>"AC-2016-1231B"</f>
        <v>AC-2016-1231B</v>
      </c>
      <c r="I1030" s="2">
        <v>250</v>
      </c>
      <c r="J1030" t="str">
        <f>"AC-2016-1231B"</f>
        <v>AC-2016-1231B</v>
      </c>
    </row>
    <row r="1031" spans="1:10" x14ac:dyDescent="0.3">
      <c r="A1031" t="str">
        <f>""</f>
        <v/>
      </c>
      <c r="F1031" t="s">
        <v>10</v>
      </c>
      <c r="G1031" t="str">
        <f>"201706072885"</f>
        <v>201706072885</v>
      </c>
      <c r="H1031" t="str">
        <f>"401257-8"</f>
        <v>401257-8</v>
      </c>
      <c r="I1031" s="2">
        <v>250</v>
      </c>
      <c r="J1031" t="str">
        <f>"401257-8"</f>
        <v>401257-8</v>
      </c>
    </row>
    <row r="1032" spans="1:10" x14ac:dyDescent="0.3">
      <c r="A1032" t="str">
        <f>"T14548"</f>
        <v>T14548</v>
      </c>
      <c r="B1032" t="s">
        <v>285</v>
      </c>
      <c r="C1032">
        <v>71227</v>
      </c>
      <c r="D1032" s="2">
        <v>1050</v>
      </c>
      <c r="E1032" s="1">
        <v>42912</v>
      </c>
      <c r="F1032" t="s">
        <v>10</v>
      </c>
      <c r="G1032" t="str">
        <f>"201706163115"</f>
        <v>201706163115</v>
      </c>
      <c r="H1032" t="str">
        <f>"15601"</f>
        <v>15601</v>
      </c>
      <c r="I1032" s="2">
        <v>400</v>
      </c>
      <c r="J1032" t="str">
        <f>"15601"</f>
        <v>15601</v>
      </c>
    </row>
    <row r="1033" spans="1:10" x14ac:dyDescent="0.3">
      <c r="A1033" t="str">
        <f>""</f>
        <v/>
      </c>
      <c r="F1033" t="s">
        <v>10</v>
      </c>
      <c r="G1033" t="str">
        <f>"201706193154"</f>
        <v>201706193154</v>
      </c>
      <c r="H1033" t="str">
        <f>"423-5055 423-5056 423-5057"</f>
        <v>423-5055 423-5056 423-5057</v>
      </c>
      <c r="I1033" s="2">
        <v>300</v>
      </c>
      <c r="J1033" t="str">
        <f>"423-5055 423-5056 423-5057"</f>
        <v>423-5055 423-5056 423-5057</v>
      </c>
    </row>
    <row r="1034" spans="1:10" x14ac:dyDescent="0.3">
      <c r="A1034" t="str">
        <f>""</f>
        <v/>
      </c>
      <c r="F1034" t="s">
        <v>10</v>
      </c>
      <c r="G1034" t="str">
        <f>"201706213213"</f>
        <v>201706213213</v>
      </c>
      <c r="H1034" t="str">
        <f>"C-14-0066"</f>
        <v>C-14-0066</v>
      </c>
      <c r="I1034" s="2">
        <v>250</v>
      </c>
      <c r="J1034" t="str">
        <f>"C-14-0066"</f>
        <v>C-14-0066</v>
      </c>
    </row>
    <row r="1035" spans="1:10" x14ac:dyDescent="0.3">
      <c r="A1035" t="str">
        <f>""</f>
        <v/>
      </c>
      <c r="F1035" t="s">
        <v>10</v>
      </c>
      <c r="G1035" t="str">
        <f>"201706213214"</f>
        <v>201706213214</v>
      </c>
      <c r="H1035" t="str">
        <f>"17-18432"</f>
        <v>17-18432</v>
      </c>
      <c r="I1035" s="2">
        <v>100</v>
      </c>
      <c r="J1035" t="str">
        <f>"17-18432"</f>
        <v>17-18432</v>
      </c>
    </row>
    <row r="1036" spans="1:10" x14ac:dyDescent="0.3">
      <c r="A1036" t="str">
        <f>"003596"</f>
        <v>003596</v>
      </c>
      <c r="B1036" t="s">
        <v>286</v>
      </c>
      <c r="C1036">
        <v>70697</v>
      </c>
      <c r="D1036" s="2">
        <v>210</v>
      </c>
      <c r="E1036" s="1">
        <v>42894</v>
      </c>
      <c r="F1036" t="s">
        <v>10</v>
      </c>
      <c r="G1036" t="str">
        <f>"201706083035"</f>
        <v>201706083035</v>
      </c>
      <c r="H1036" t="str">
        <f>"FERAL HOGS"</f>
        <v>FERAL HOGS</v>
      </c>
      <c r="I1036" s="2">
        <v>210</v>
      </c>
      <c r="J1036" t="str">
        <f>"FERAL HOGS"</f>
        <v>FERAL HOGS</v>
      </c>
    </row>
    <row r="1037" spans="1:10" x14ac:dyDescent="0.3">
      <c r="A1037" t="str">
        <f>"004892"</f>
        <v>004892</v>
      </c>
      <c r="B1037" t="s">
        <v>287</v>
      </c>
      <c r="C1037">
        <v>70891</v>
      </c>
      <c r="D1037" s="2">
        <v>25</v>
      </c>
      <c r="E1037" s="1">
        <v>42898</v>
      </c>
      <c r="F1037" t="s">
        <v>10</v>
      </c>
      <c r="G1037" t="str">
        <f>"201706022580"</f>
        <v>201706022580</v>
      </c>
      <c r="H1037" t="str">
        <f>"RESTITUTION-JOHNY HOFFMAN"</f>
        <v>RESTITUTION-JOHNY HOFFMAN</v>
      </c>
      <c r="I1037" s="2">
        <v>25</v>
      </c>
      <c r="J1037" t="str">
        <f>"RESTITUTION-JOHNY HOFFMAN"</f>
        <v>RESTITUTION-JOHNY HOFFMAN</v>
      </c>
    </row>
    <row r="1038" spans="1:10" x14ac:dyDescent="0.3">
      <c r="A1038" t="str">
        <f>"003677"</f>
        <v>003677</v>
      </c>
      <c r="B1038" t="s">
        <v>288</v>
      </c>
      <c r="C1038">
        <v>70892</v>
      </c>
      <c r="D1038" s="2">
        <v>25</v>
      </c>
      <c r="E1038" s="1">
        <v>42898</v>
      </c>
      <c r="F1038" t="s">
        <v>10</v>
      </c>
      <c r="G1038" t="str">
        <f>"201706022581"</f>
        <v>201706022581</v>
      </c>
      <c r="H1038" t="str">
        <f>"RESTITUTION-DAVID SPURK 10 393"</f>
        <v>RESTITUTION-DAVID SPURK 10 393</v>
      </c>
      <c r="I1038" s="2">
        <v>25</v>
      </c>
      <c r="J1038" t="str">
        <f>"RESTITUTION-DAVID SPURK 10 393"</f>
        <v>RESTITUTION-DAVID SPURK 10 393</v>
      </c>
    </row>
    <row r="1039" spans="1:10" x14ac:dyDescent="0.3">
      <c r="A1039" t="str">
        <f>"005115"</f>
        <v>005115</v>
      </c>
      <c r="B1039" t="s">
        <v>289</v>
      </c>
      <c r="C1039">
        <v>70894</v>
      </c>
      <c r="D1039" s="2">
        <v>1025</v>
      </c>
      <c r="E1039" s="1">
        <v>42898</v>
      </c>
      <c r="F1039" t="s">
        <v>10</v>
      </c>
      <c r="G1039" t="str">
        <f>"201706072999"</f>
        <v>201706072999</v>
      </c>
      <c r="H1039" t="str">
        <f>"FERAL HOGS"</f>
        <v>FERAL HOGS</v>
      </c>
      <c r="I1039" s="2">
        <v>1025</v>
      </c>
      <c r="J1039" t="str">
        <f>"FERAL HOGS"</f>
        <v>FERAL HOGS</v>
      </c>
    </row>
    <row r="1040" spans="1:10" x14ac:dyDescent="0.3">
      <c r="A1040" t="str">
        <f>"KMPC"</f>
        <v>KMPC</v>
      </c>
      <c r="B1040" t="s">
        <v>290</v>
      </c>
      <c r="C1040">
        <v>70895</v>
      </c>
      <c r="D1040" s="2">
        <v>145.79</v>
      </c>
      <c r="E1040" s="1">
        <v>42898</v>
      </c>
      <c r="F1040" t="s">
        <v>10</v>
      </c>
      <c r="G1040" t="str">
        <f>"1520-00000127438"</f>
        <v>1520-00000127438</v>
      </c>
      <c r="H1040" t="str">
        <f>"INV1520-00000127438 PAINT"</f>
        <v>INV1520-00000127438 PAINT</v>
      </c>
      <c r="I1040" s="2">
        <v>145.79</v>
      </c>
      <c r="J1040" t="str">
        <f>"INV1520-00000127438 PAINT"</f>
        <v>INV1520-00000127438 PAINT</v>
      </c>
    </row>
    <row r="1041" spans="1:10" x14ac:dyDescent="0.3">
      <c r="A1041" t="str">
        <f>"T12139"</f>
        <v>T12139</v>
      </c>
      <c r="B1041" t="s">
        <v>291</v>
      </c>
      <c r="C1041">
        <v>70896</v>
      </c>
      <c r="D1041" s="2">
        <v>360</v>
      </c>
      <c r="E1041" s="1">
        <v>42898</v>
      </c>
      <c r="F1041" t="s">
        <v>10</v>
      </c>
      <c r="G1041" t="str">
        <f>"587742"</f>
        <v>587742</v>
      </c>
      <c r="H1041" t="str">
        <f>"MOW AND TRASH P/U PCT#1"</f>
        <v>MOW AND TRASH P/U PCT#1</v>
      </c>
      <c r="I1041" s="2">
        <v>360</v>
      </c>
      <c r="J1041" t="str">
        <f>"MOW AND TRASH P/U PCT#1"</f>
        <v>MOW AND TRASH P/U PCT#1</v>
      </c>
    </row>
    <row r="1042" spans="1:10" x14ac:dyDescent="0.3">
      <c r="A1042" t="str">
        <f>"KBTRI"</f>
        <v>KBTRI</v>
      </c>
      <c r="B1042" t="s">
        <v>292</v>
      </c>
      <c r="C1042">
        <v>70897</v>
      </c>
      <c r="D1042" s="2">
        <v>2517</v>
      </c>
      <c r="E1042" s="1">
        <v>42898</v>
      </c>
      <c r="F1042" t="s">
        <v>10</v>
      </c>
      <c r="G1042" t="str">
        <f>"47"</f>
        <v>47</v>
      </c>
      <c r="H1042" t="str">
        <f>"TOWER RENT"</f>
        <v>TOWER RENT</v>
      </c>
      <c r="I1042" s="2">
        <v>2517</v>
      </c>
      <c r="J1042" t="str">
        <f>"TOWER RENT"</f>
        <v>TOWER RENT</v>
      </c>
    </row>
    <row r="1043" spans="1:10" x14ac:dyDescent="0.3">
      <c r="A1043" t="str">
        <f>"KBTRI"</f>
        <v>KBTRI</v>
      </c>
      <c r="B1043" t="s">
        <v>292</v>
      </c>
      <c r="C1043">
        <v>71229</v>
      </c>
      <c r="D1043" s="2">
        <v>2517</v>
      </c>
      <c r="E1043" s="1">
        <v>42912</v>
      </c>
      <c r="F1043" t="s">
        <v>10</v>
      </c>
      <c r="G1043" t="str">
        <f>"56"</f>
        <v>56</v>
      </c>
      <c r="H1043" t="str">
        <f>"TOWER RENT"</f>
        <v>TOWER RENT</v>
      </c>
      <c r="I1043" s="2">
        <v>2517</v>
      </c>
      <c r="J1043" t="str">
        <f>"TOWER RENT"</f>
        <v>TOWER RENT</v>
      </c>
    </row>
    <row r="1044" spans="1:10" x14ac:dyDescent="0.3">
      <c r="A1044" t="str">
        <f>"002740"</f>
        <v>002740</v>
      </c>
      <c r="B1044" t="s">
        <v>293</v>
      </c>
      <c r="C1044">
        <v>70898</v>
      </c>
      <c r="D1044" s="2">
        <v>255</v>
      </c>
      <c r="E1044" s="1">
        <v>42898</v>
      </c>
      <c r="F1044" t="s">
        <v>10</v>
      </c>
      <c r="G1044" t="str">
        <f>"12364"</f>
        <v>12364</v>
      </c>
      <c r="H1044" t="str">
        <f>"SERVICE 03/06/2017"</f>
        <v>SERVICE 03/06/2017</v>
      </c>
      <c r="I1044" s="2">
        <v>255</v>
      </c>
      <c r="J1044" t="str">
        <f>"SERVICE 03/06/2017"</f>
        <v>SERVICE 03/06/2017</v>
      </c>
    </row>
    <row r="1045" spans="1:10" x14ac:dyDescent="0.3">
      <c r="A1045" t="str">
        <f>"005109"</f>
        <v>005109</v>
      </c>
      <c r="B1045" t="s">
        <v>294</v>
      </c>
      <c r="C1045">
        <v>70899</v>
      </c>
      <c r="D1045" s="2">
        <v>107.31</v>
      </c>
      <c r="E1045" s="1">
        <v>42898</v>
      </c>
      <c r="F1045" t="s">
        <v>10</v>
      </c>
      <c r="G1045" t="str">
        <f>"201706062660"</f>
        <v>201706062660</v>
      </c>
      <c r="H1045" t="str">
        <f>"TRAVEL EXPENSE REIMBURSEMENT"</f>
        <v>TRAVEL EXPENSE REIMBURSEMENT</v>
      </c>
      <c r="I1045" s="2">
        <v>107.31</v>
      </c>
      <c r="J1045" t="str">
        <f>"TRAVEL EXPENSE REIMBURSEMENT"</f>
        <v>TRAVEL EXPENSE REIMBURSEMENT</v>
      </c>
    </row>
    <row r="1046" spans="1:10" x14ac:dyDescent="0.3">
      <c r="A1046" t="str">
        <f>"000162"</f>
        <v>000162</v>
      </c>
      <c r="B1046" t="s">
        <v>295</v>
      </c>
      <c r="C1046">
        <v>70900</v>
      </c>
      <c r="D1046" s="2">
        <v>375</v>
      </c>
      <c r="E1046" s="1">
        <v>42898</v>
      </c>
      <c r="F1046" t="s">
        <v>10</v>
      </c>
      <c r="G1046" t="str">
        <f>"201706052614"</f>
        <v>201706052614</v>
      </c>
      <c r="H1046" t="str">
        <f>"STATE BAR DUES REIMBURSEMENT"</f>
        <v>STATE BAR DUES REIMBURSEMENT</v>
      </c>
      <c r="I1046" s="2">
        <v>375</v>
      </c>
      <c r="J1046" t="str">
        <f>"STATE BAR DUES REIMBURSEMENT"</f>
        <v>STATE BAR DUES REIMBURSEMENT</v>
      </c>
    </row>
    <row r="1047" spans="1:10" x14ac:dyDescent="0.3">
      <c r="A1047" t="str">
        <f>"KFT"</f>
        <v>KFT</v>
      </c>
      <c r="B1047" t="s">
        <v>296</v>
      </c>
      <c r="C1047">
        <v>70901</v>
      </c>
      <c r="D1047" s="2">
        <v>439.6</v>
      </c>
      <c r="E1047" s="1">
        <v>42898</v>
      </c>
      <c r="F1047" t="s">
        <v>10</v>
      </c>
      <c r="G1047" t="str">
        <f>"BASCO3 - 053117"</f>
        <v>BASCO3 - 053117</v>
      </c>
      <c r="H1047" t="str">
        <f>"ACCT # BASCO3 - 05/31/17 - P3"</f>
        <v>ACCT # BASCO3 - 05/31/17 - P3</v>
      </c>
      <c r="I1047" s="2">
        <v>439.6</v>
      </c>
      <c r="J1047" t="str">
        <f>"ACCT # BASCO3 - 05/31/17 - P3"</f>
        <v>ACCT # BASCO3 - 05/31/17 - P3</v>
      </c>
    </row>
    <row r="1048" spans="1:10" x14ac:dyDescent="0.3">
      <c r="A1048" t="str">
        <f>"004319"</f>
        <v>004319</v>
      </c>
      <c r="B1048" t="s">
        <v>297</v>
      </c>
      <c r="C1048">
        <v>70902</v>
      </c>
      <c r="D1048" s="2">
        <v>175</v>
      </c>
      <c r="E1048" s="1">
        <v>42898</v>
      </c>
      <c r="F1048" t="s">
        <v>10</v>
      </c>
      <c r="G1048" t="str">
        <f>"201706073000"</f>
        <v>201706073000</v>
      </c>
      <c r="H1048" t="str">
        <f>"FERAL HOGS"</f>
        <v>FERAL HOGS</v>
      </c>
      <c r="I1048" s="2">
        <v>80</v>
      </c>
      <c r="J1048" t="str">
        <f>"FERAL HOGS"</f>
        <v>FERAL HOGS</v>
      </c>
    </row>
    <row r="1049" spans="1:10" x14ac:dyDescent="0.3">
      <c r="A1049" t="str">
        <f>""</f>
        <v/>
      </c>
      <c r="F1049" t="s">
        <v>10</v>
      </c>
      <c r="G1049" t="str">
        <f>"201706073001"</f>
        <v>201706073001</v>
      </c>
      <c r="H1049" t="str">
        <f>"FERAL HOGS"</f>
        <v>FERAL HOGS</v>
      </c>
      <c r="I1049" s="2">
        <v>40</v>
      </c>
      <c r="J1049" t="str">
        <f>"FERAL HOGS"</f>
        <v>FERAL HOGS</v>
      </c>
    </row>
    <row r="1050" spans="1:10" x14ac:dyDescent="0.3">
      <c r="A1050" t="str">
        <f>""</f>
        <v/>
      </c>
      <c r="F1050" t="s">
        <v>10</v>
      </c>
      <c r="G1050" t="str">
        <f>"201706073002"</f>
        <v>201706073002</v>
      </c>
      <c r="H1050" t="str">
        <f>"FERAL HOGS"</f>
        <v>FERAL HOGS</v>
      </c>
      <c r="I1050" s="2">
        <v>55</v>
      </c>
      <c r="J1050" t="str">
        <f>"FERAL HOGS"</f>
        <v>FERAL HOGS</v>
      </c>
    </row>
    <row r="1051" spans="1:10" x14ac:dyDescent="0.3">
      <c r="A1051" t="str">
        <f>"005106"</f>
        <v>005106</v>
      </c>
      <c r="B1051" t="s">
        <v>298</v>
      </c>
      <c r="C1051">
        <v>71230</v>
      </c>
      <c r="D1051" s="2">
        <v>527.71</v>
      </c>
      <c r="E1051" s="1">
        <v>42912</v>
      </c>
      <c r="F1051" t="s">
        <v>10</v>
      </c>
      <c r="G1051" t="str">
        <f>"TX CRIME PREV CONF"</f>
        <v>TX CRIME PREV CONF</v>
      </c>
      <c r="H1051" t="str">
        <f>"LODGING"</f>
        <v>LODGING</v>
      </c>
      <c r="I1051" s="2">
        <v>527.71</v>
      </c>
    </row>
    <row r="1052" spans="1:10" x14ac:dyDescent="0.3">
      <c r="A1052" t="str">
        <f>"002763"</f>
        <v>002763</v>
      </c>
      <c r="B1052" t="s">
        <v>299</v>
      </c>
      <c r="C1052">
        <v>70903</v>
      </c>
      <c r="D1052" s="2">
        <v>200</v>
      </c>
      <c r="E1052" s="1">
        <v>42898</v>
      </c>
      <c r="F1052" t="s">
        <v>10</v>
      </c>
      <c r="G1052" t="str">
        <f>"12000"</f>
        <v>12000</v>
      </c>
      <c r="H1052" t="str">
        <f>"SERVICE 03/06/2017"</f>
        <v>SERVICE 03/06/2017</v>
      </c>
      <c r="I1052" s="2">
        <v>200</v>
      </c>
      <c r="J1052" t="str">
        <f>"SERVICE 03/06/2017"</f>
        <v>SERVICE 03/06/2017</v>
      </c>
    </row>
    <row r="1053" spans="1:10" x14ac:dyDescent="0.3">
      <c r="A1053" t="str">
        <f>"001722"</f>
        <v>001722</v>
      </c>
      <c r="B1053" t="s">
        <v>300</v>
      </c>
      <c r="C1053">
        <v>70904</v>
      </c>
      <c r="D1053" s="2">
        <v>3517.98</v>
      </c>
      <c r="E1053" s="1">
        <v>42898</v>
      </c>
      <c r="F1053" t="s">
        <v>10</v>
      </c>
      <c r="G1053" t="str">
        <f>"05173044"</f>
        <v>05173044</v>
      </c>
      <c r="H1053" t="str">
        <f>"INV 05173044 FOOD"</f>
        <v>INV 05173044 FOOD</v>
      </c>
      <c r="I1053" s="2">
        <v>1134.27</v>
      </c>
      <c r="J1053" t="str">
        <f>"INV 05173044 FOOD"</f>
        <v>INV 05173044 FOOD</v>
      </c>
    </row>
    <row r="1054" spans="1:10" x14ac:dyDescent="0.3">
      <c r="A1054" t="str">
        <f>""</f>
        <v/>
      </c>
      <c r="F1054" t="s">
        <v>10</v>
      </c>
      <c r="G1054" t="str">
        <f>"05319361"</f>
        <v>05319361</v>
      </c>
      <c r="H1054" t="str">
        <f>"FOOD INV535311"</f>
        <v>FOOD INV535311</v>
      </c>
      <c r="I1054" s="2">
        <v>1206.95</v>
      </c>
      <c r="J1054" t="str">
        <f>"FOOD INV535311"</f>
        <v>FOOD INV535311</v>
      </c>
    </row>
    <row r="1055" spans="1:10" x14ac:dyDescent="0.3">
      <c r="A1055" t="str">
        <f>""</f>
        <v/>
      </c>
      <c r="F1055" t="s">
        <v>10</v>
      </c>
      <c r="G1055" t="str">
        <f>"INV05247555"</f>
        <v>INV05247555</v>
      </c>
      <c r="H1055" t="str">
        <f>"FOOD INV05247555"</f>
        <v>FOOD INV05247555</v>
      </c>
      <c r="I1055" s="2">
        <v>1176.76</v>
      </c>
      <c r="J1055" t="str">
        <f>"FOOD INV05247555"</f>
        <v>FOOD INV05247555</v>
      </c>
    </row>
    <row r="1056" spans="1:10" x14ac:dyDescent="0.3">
      <c r="A1056" t="str">
        <f>"001722"</f>
        <v>001722</v>
      </c>
      <c r="B1056" t="s">
        <v>300</v>
      </c>
      <c r="C1056">
        <v>71231</v>
      </c>
      <c r="D1056" s="2">
        <v>2088.4699999999998</v>
      </c>
      <c r="E1056" s="1">
        <v>42912</v>
      </c>
      <c r="F1056" t="s">
        <v>10</v>
      </c>
      <c r="G1056" t="str">
        <f>"06070405"</f>
        <v>06070405</v>
      </c>
      <c r="H1056" t="str">
        <f>"FOOD INVOICE 06070405"</f>
        <v>FOOD INVOICE 06070405</v>
      </c>
      <c r="I1056" s="2">
        <v>1039.8699999999999</v>
      </c>
      <c r="J1056" t="str">
        <f>"FOOD INVOICE 06070405"</f>
        <v>FOOD INVOICE 06070405</v>
      </c>
    </row>
    <row r="1057" spans="1:10" x14ac:dyDescent="0.3">
      <c r="A1057" t="str">
        <f>""</f>
        <v/>
      </c>
      <c r="F1057" t="s">
        <v>10</v>
      </c>
      <c r="G1057" t="str">
        <f>"06141374"</f>
        <v>06141374</v>
      </c>
      <c r="H1057" t="str">
        <f>"FOOD INV06141374"</f>
        <v>FOOD INV06141374</v>
      </c>
      <c r="I1057" s="2">
        <v>1048.5999999999999</v>
      </c>
      <c r="J1057" t="str">
        <f>"FOOD INV06141374"</f>
        <v>FOOD INV06141374</v>
      </c>
    </row>
    <row r="1058" spans="1:10" x14ac:dyDescent="0.3">
      <c r="A1058" t="str">
        <f>"005065"</f>
        <v>005065</v>
      </c>
      <c r="B1058" t="s">
        <v>301</v>
      </c>
      <c r="C1058">
        <v>70905</v>
      </c>
      <c r="D1058" s="2">
        <v>729</v>
      </c>
      <c r="E1058" s="1">
        <v>42898</v>
      </c>
      <c r="F1058" t="s">
        <v>10</v>
      </c>
      <c r="G1058" t="str">
        <f>"276910-000"</f>
        <v>276910-000</v>
      </c>
      <c r="H1058" t="str">
        <f>"EXHAUST FAN 276910-000"</f>
        <v>EXHAUST FAN 276910-000</v>
      </c>
      <c r="I1058" s="2">
        <v>729</v>
      </c>
      <c r="J1058" t="str">
        <f>"EXHAUST FAN 276910-000"</f>
        <v>EXHAUST FAN 276910-000</v>
      </c>
    </row>
    <row r="1059" spans="1:10" x14ac:dyDescent="0.3">
      <c r="A1059" t="str">
        <f>"000900"</f>
        <v>000900</v>
      </c>
      <c r="B1059" t="s">
        <v>302</v>
      </c>
      <c r="C1059">
        <v>71232</v>
      </c>
      <c r="D1059" s="2">
        <v>8734</v>
      </c>
      <c r="E1059" s="1">
        <v>42912</v>
      </c>
      <c r="F1059" t="s">
        <v>10</v>
      </c>
      <c r="G1059" t="str">
        <f>"256653"</f>
        <v>256653</v>
      </c>
      <c r="H1059" t="str">
        <f>"CUST#BASCOU/PCT#1"</f>
        <v>CUST#BASCOU/PCT#1</v>
      </c>
      <c r="I1059" s="2">
        <v>8734</v>
      </c>
      <c r="J1059" t="str">
        <f>"CUST#BASCOU/PCT#1"</f>
        <v>CUST#BASCOU/PCT#1</v>
      </c>
    </row>
    <row r="1060" spans="1:10" x14ac:dyDescent="0.3">
      <c r="A1060" t="str">
        <f>"002420"</f>
        <v>002420</v>
      </c>
      <c r="B1060" t="s">
        <v>303</v>
      </c>
      <c r="C1060">
        <v>71233</v>
      </c>
      <c r="D1060" s="2">
        <v>3642.5</v>
      </c>
      <c r="E1060" s="1">
        <v>42912</v>
      </c>
      <c r="F1060" t="s">
        <v>10</v>
      </c>
      <c r="G1060" t="str">
        <f>"201706213199"</f>
        <v>201706213199</v>
      </c>
      <c r="H1060" t="str">
        <f>"423-2783"</f>
        <v>423-2783</v>
      </c>
      <c r="I1060" s="2">
        <v>210</v>
      </c>
      <c r="J1060" t="str">
        <f>"423-2783"</f>
        <v>423-2783</v>
      </c>
    </row>
    <row r="1061" spans="1:10" x14ac:dyDescent="0.3">
      <c r="A1061" t="str">
        <f>""</f>
        <v/>
      </c>
      <c r="F1061" t="s">
        <v>10</v>
      </c>
      <c r="G1061" t="str">
        <f>"201706213200"</f>
        <v>201706213200</v>
      </c>
      <c r="H1061" t="str">
        <f>"423-2403"</f>
        <v>423-2403</v>
      </c>
      <c r="I1061" s="2">
        <v>455</v>
      </c>
      <c r="J1061" t="str">
        <f>"423-2403"</f>
        <v>423-2403</v>
      </c>
    </row>
    <row r="1062" spans="1:10" x14ac:dyDescent="0.3">
      <c r="A1062" t="str">
        <f>""</f>
        <v/>
      </c>
      <c r="F1062" t="s">
        <v>10</v>
      </c>
      <c r="G1062" t="str">
        <f>"201706213201"</f>
        <v>201706213201</v>
      </c>
      <c r="H1062" t="str">
        <f>"423-2788"</f>
        <v>423-2788</v>
      </c>
      <c r="I1062" s="2">
        <v>272.5</v>
      </c>
      <c r="J1062" t="str">
        <f>"423-2788"</f>
        <v>423-2788</v>
      </c>
    </row>
    <row r="1063" spans="1:10" x14ac:dyDescent="0.3">
      <c r="A1063" t="str">
        <f>""</f>
        <v/>
      </c>
      <c r="F1063" t="s">
        <v>10</v>
      </c>
      <c r="G1063" t="str">
        <f>"201706213202"</f>
        <v>201706213202</v>
      </c>
      <c r="H1063" t="str">
        <f>"14-16754"</f>
        <v>14-16754</v>
      </c>
      <c r="I1063" s="2">
        <v>750</v>
      </c>
      <c r="J1063" t="str">
        <f>"14-16754"</f>
        <v>14-16754</v>
      </c>
    </row>
    <row r="1064" spans="1:10" x14ac:dyDescent="0.3">
      <c r="A1064" t="str">
        <f>""</f>
        <v/>
      </c>
      <c r="F1064" t="s">
        <v>10</v>
      </c>
      <c r="G1064" t="str">
        <f>"201706213203"</f>
        <v>201706213203</v>
      </c>
      <c r="H1064" t="str">
        <f>"16-180 67"</f>
        <v>16-180 67</v>
      </c>
      <c r="I1064" s="2">
        <v>450</v>
      </c>
      <c r="J1064" t="str">
        <f>"16-180 67"</f>
        <v>16-180 67</v>
      </c>
    </row>
    <row r="1065" spans="1:10" x14ac:dyDescent="0.3">
      <c r="A1065" t="str">
        <f>""</f>
        <v/>
      </c>
      <c r="F1065" t="s">
        <v>10</v>
      </c>
      <c r="G1065" t="str">
        <f>"201706213204"</f>
        <v>201706213204</v>
      </c>
      <c r="H1065" t="str">
        <f>"02 7700"</f>
        <v>02 7700</v>
      </c>
      <c r="I1065" s="2">
        <v>22.5</v>
      </c>
      <c r="J1065" t="str">
        <f>"02 7700"</f>
        <v>02 7700</v>
      </c>
    </row>
    <row r="1066" spans="1:10" x14ac:dyDescent="0.3">
      <c r="A1066" t="str">
        <f>""</f>
        <v/>
      </c>
      <c r="F1066" t="s">
        <v>10</v>
      </c>
      <c r="G1066" t="str">
        <f>"201706213205"</f>
        <v>201706213205</v>
      </c>
      <c r="H1066" t="str">
        <f>"16-17760"</f>
        <v>16-17760</v>
      </c>
      <c r="I1066" s="2">
        <v>285</v>
      </c>
      <c r="J1066" t="str">
        <f>"16-17760"</f>
        <v>16-17760</v>
      </c>
    </row>
    <row r="1067" spans="1:10" x14ac:dyDescent="0.3">
      <c r="A1067" t="str">
        <f>""</f>
        <v/>
      </c>
      <c r="F1067" t="s">
        <v>10</v>
      </c>
      <c r="G1067" t="str">
        <f>"201706213206"</f>
        <v>201706213206</v>
      </c>
      <c r="H1067" t="str">
        <f>"16-17708"</f>
        <v>16-17708</v>
      </c>
      <c r="I1067" s="2">
        <v>45</v>
      </c>
      <c r="J1067" t="str">
        <f>"16-17708"</f>
        <v>16-17708</v>
      </c>
    </row>
    <row r="1068" spans="1:10" x14ac:dyDescent="0.3">
      <c r="A1068" t="str">
        <f>""</f>
        <v/>
      </c>
      <c r="F1068" t="s">
        <v>10</v>
      </c>
      <c r="G1068" t="str">
        <f>"201706213207"</f>
        <v>201706213207</v>
      </c>
      <c r="H1068" t="str">
        <f>"16-17747"</f>
        <v>16-17747</v>
      </c>
      <c r="I1068" s="2">
        <v>197.5</v>
      </c>
      <c r="J1068" t="str">
        <f>"16-17747"</f>
        <v>16-17747</v>
      </c>
    </row>
    <row r="1069" spans="1:10" x14ac:dyDescent="0.3">
      <c r="A1069" t="str">
        <f>""</f>
        <v/>
      </c>
      <c r="F1069" t="s">
        <v>10</v>
      </c>
      <c r="G1069" t="str">
        <f>"201706213208"</f>
        <v>201706213208</v>
      </c>
      <c r="H1069" t="str">
        <f>"05-10080"</f>
        <v>05-10080</v>
      </c>
      <c r="I1069" s="2">
        <v>122.5</v>
      </c>
      <c r="J1069" t="str">
        <f>"05-10080"</f>
        <v>05-10080</v>
      </c>
    </row>
    <row r="1070" spans="1:10" x14ac:dyDescent="0.3">
      <c r="A1070" t="str">
        <f>""</f>
        <v/>
      </c>
      <c r="F1070" t="s">
        <v>10</v>
      </c>
      <c r="G1070" t="str">
        <f>"201706213209"</f>
        <v>201706213209</v>
      </c>
      <c r="H1070" t="str">
        <f>"03-8456"</f>
        <v>03-8456</v>
      </c>
      <c r="I1070" s="2">
        <v>137.5</v>
      </c>
      <c r="J1070" t="str">
        <f>"03-8456"</f>
        <v>03-8456</v>
      </c>
    </row>
    <row r="1071" spans="1:10" x14ac:dyDescent="0.3">
      <c r="A1071" t="str">
        <f>""</f>
        <v/>
      </c>
      <c r="F1071" t="s">
        <v>10</v>
      </c>
      <c r="G1071" t="str">
        <f>"201706213210"</f>
        <v>201706213210</v>
      </c>
      <c r="H1071" t="str">
        <f>"16-17785"</f>
        <v>16-17785</v>
      </c>
      <c r="I1071" s="2">
        <v>187.5</v>
      </c>
      <c r="J1071" t="str">
        <f>"16-17785"</f>
        <v>16-17785</v>
      </c>
    </row>
    <row r="1072" spans="1:10" x14ac:dyDescent="0.3">
      <c r="A1072" t="str">
        <f>""</f>
        <v/>
      </c>
      <c r="F1072" t="s">
        <v>10</v>
      </c>
      <c r="G1072" t="str">
        <f>"201706213211"</f>
        <v>201706213211</v>
      </c>
      <c r="H1072" t="str">
        <f>"08-12854"</f>
        <v>08-12854</v>
      </c>
      <c r="I1072" s="2">
        <v>175</v>
      </c>
      <c r="J1072" t="str">
        <f>"08-12854"</f>
        <v>08-12854</v>
      </c>
    </row>
    <row r="1073" spans="1:10" x14ac:dyDescent="0.3">
      <c r="A1073" t="str">
        <f>""</f>
        <v/>
      </c>
      <c r="F1073" t="s">
        <v>10</v>
      </c>
      <c r="G1073" t="str">
        <f>"201706213212"</f>
        <v>201706213212</v>
      </c>
      <c r="H1073" t="str">
        <f>"16-18010"</f>
        <v>16-18010</v>
      </c>
      <c r="I1073" s="2">
        <v>332.5</v>
      </c>
      <c r="J1073" t="str">
        <f>"16-18010"</f>
        <v>16-18010</v>
      </c>
    </row>
    <row r="1074" spans="1:10" x14ac:dyDescent="0.3">
      <c r="A1074" t="str">
        <f>"T9279"</f>
        <v>T9279</v>
      </c>
      <c r="B1074" t="s">
        <v>304</v>
      </c>
      <c r="C1074">
        <v>70696</v>
      </c>
      <c r="D1074" s="2">
        <v>100.5</v>
      </c>
      <c r="E1074" s="1">
        <v>42893</v>
      </c>
      <c r="F1074" t="s">
        <v>10</v>
      </c>
      <c r="G1074" t="str">
        <f>"201706072944"</f>
        <v>201706072944</v>
      </c>
      <c r="H1074" t="str">
        <f>"ACCT # 3-09-00175-03"</f>
        <v>ACCT # 3-09-00175-03</v>
      </c>
      <c r="I1074" s="2">
        <v>50.25</v>
      </c>
      <c r="J1074" t="str">
        <f>"ACCT # 3-09-00175-03"</f>
        <v>ACCT # 3-09-00175-03</v>
      </c>
    </row>
    <row r="1075" spans="1:10" x14ac:dyDescent="0.3">
      <c r="A1075" t="str">
        <f>""</f>
        <v/>
      </c>
      <c r="F1075" t="s">
        <v>10</v>
      </c>
      <c r="G1075" t="str">
        <f>"201706072945"</f>
        <v>201706072945</v>
      </c>
      <c r="H1075" t="str">
        <f>"ACCT# 1-09-00072-02"</f>
        <v>ACCT# 1-09-00072-02</v>
      </c>
      <c r="I1075" s="2">
        <v>50.25</v>
      </c>
      <c r="J1075" t="str">
        <f>"ACCT# 1-09-00072-02"</f>
        <v>ACCT# 1-09-00072-02</v>
      </c>
    </row>
    <row r="1076" spans="1:10" x14ac:dyDescent="0.3">
      <c r="A1076" t="str">
        <f>"LO"</f>
        <v>LO</v>
      </c>
      <c r="B1076" t="s">
        <v>305</v>
      </c>
      <c r="C1076">
        <v>70906</v>
      </c>
      <c r="D1076" s="2">
        <v>250</v>
      </c>
      <c r="E1076" s="1">
        <v>42898</v>
      </c>
      <c r="F1076" t="s">
        <v>10</v>
      </c>
      <c r="G1076" t="str">
        <f>"201706073003"</f>
        <v>201706073003</v>
      </c>
      <c r="H1076" t="str">
        <f>"FERAL HOGS"</f>
        <v>FERAL HOGS</v>
      </c>
      <c r="I1076" s="2">
        <v>110</v>
      </c>
      <c r="J1076" t="str">
        <f>"FERAL HOGS"</f>
        <v>FERAL HOGS</v>
      </c>
    </row>
    <row r="1077" spans="1:10" x14ac:dyDescent="0.3">
      <c r="A1077" t="str">
        <f>""</f>
        <v/>
      </c>
      <c r="F1077" t="s">
        <v>10</v>
      </c>
      <c r="G1077" t="str">
        <f>"201706073004"</f>
        <v>201706073004</v>
      </c>
      <c r="H1077" t="str">
        <f>"FERAL HOGS"</f>
        <v>FERAL HOGS</v>
      </c>
      <c r="I1077" s="2">
        <v>140</v>
      </c>
      <c r="J1077" t="str">
        <f>"FERAL HOGS"</f>
        <v>FERAL HOGS</v>
      </c>
    </row>
    <row r="1078" spans="1:10" x14ac:dyDescent="0.3">
      <c r="A1078" t="str">
        <f>"002900"</f>
        <v>002900</v>
      </c>
      <c r="B1078" t="s">
        <v>306</v>
      </c>
      <c r="C1078">
        <v>70907</v>
      </c>
      <c r="D1078" s="2">
        <v>70.62</v>
      </c>
      <c r="E1078" s="1">
        <v>42898</v>
      </c>
      <c r="F1078" t="s">
        <v>10</v>
      </c>
      <c r="G1078" t="str">
        <f>"551980167"</f>
        <v>551980167</v>
      </c>
      <c r="H1078" t="str">
        <f>"INV551980167 SENSOR"</f>
        <v>INV551980167 SENSOR</v>
      </c>
      <c r="I1078" s="2">
        <v>46.87</v>
      </c>
      <c r="J1078" t="str">
        <f>"INV551980167 SENSOR"</f>
        <v>INV551980167 SENSOR</v>
      </c>
    </row>
    <row r="1079" spans="1:10" x14ac:dyDescent="0.3">
      <c r="A1079" t="str">
        <f>""</f>
        <v/>
      </c>
      <c r="F1079" t="s">
        <v>10</v>
      </c>
      <c r="G1079" t="str">
        <f>"552037024"</f>
        <v>552037024</v>
      </c>
      <c r="H1079" t="str">
        <f>"INV552037024 SENSOR"</f>
        <v>INV552037024 SENSOR</v>
      </c>
      <c r="I1079" s="2">
        <v>23.75</v>
      </c>
      <c r="J1079" t="str">
        <f>"INV552037024 SENSOR"</f>
        <v>INV552037024 SENSOR</v>
      </c>
    </row>
    <row r="1080" spans="1:10" x14ac:dyDescent="0.3">
      <c r="A1080" t="str">
        <f>"004651"</f>
        <v>004651</v>
      </c>
      <c r="B1080" t="s">
        <v>307</v>
      </c>
      <c r="C1080">
        <v>71234</v>
      </c>
      <c r="D1080" s="2">
        <v>95.98</v>
      </c>
      <c r="E1080" s="1">
        <v>42912</v>
      </c>
      <c r="F1080" t="s">
        <v>10</v>
      </c>
      <c r="G1080" t="str">
        <f>"201706193157"</f>
        <v>201706193157</v>
      </c>
      <c r="H1080" t="str">
        <f>"REIMB-PER DIEM/PARKING"</f>
        <v>REIMB-PER DIEM/PARKING</v>
      </c>
      <c r="I1080" s="2">
        <v>95.98</v>
      </c>
      <c r="J1080" t="str">
        <f>"REIMB-PER DIEM/PARKING"</f>
        <v>REIMB-PER DIEM/PARKING</v>
      </c>
    </row>
    <row r="1081" spans="1:10" x14ac:dyDescent="0.3">
      <c r="A1081" t="str">
        <f>"005116"</f>
        <v>005116</v>
      </c>
      <c r="B1081" t="s">
        <v>308</v>
      </c>
      <c r="C1081">
        <v>70908</v>
      </c>
      <c r="D1081" s="2">
        <v>50</v>
      </c>
      <c r="E1081" s="1">
        <v>42898</v>
      </c>
      <c r="F1081" t="s">
        <v>10</v>
      </c>
      <c r="G1081" t="str">
        <f>"201706073005"</f>
        <v>201706073005</v>
      </c>
      <c r="H1081" t="str">
        <f>"FERAL HOGS"</f>
        <v>FERAL HOGS</v>
      </c>
      <c r="I1081" s="2">
        <v>50</v>
      </c>
      <c r="J1081" t="str">
        <f>"FERAL HOGS"</f>
        <v>FERAL HOGS</v>
      </c>
    </row>
    <row r="1082" spans="1:10" x14ac:dyDescent="0.3">
      <c r="A1082" t="str">
        <f>"001530"</f>
        <v>001530</v>
      </c>
      <c r="B1082" t="s">
        <v>309</v>
      </c>
      <c r="C1082">
        <v>70909</v>
      </c>
      <c r="D1082" s="2">
        <v>670.8</v>
      </c>
      <c r="E1082" s="1">
        <v>42898</v>
      </c>
      <c r="F1082" t="s">
        <v>10</v>
      </c>
      <c r="G1082" t="str">
        <f>"1211621-20170531"</f>
        <v>1211621-20170531</v>
      </c>
      <c r="H1082" t="str">
        <f>"ACCT#1211621/HEALTH SERVICES"</f>
        <v>ACCT#1211621/HEALTH SERVICES</v>
      </c>
      <c r="I1082" s="2">
        <v>50</v>
      </c>
      <c r="J1082" t="str">
        <f>"ACCT#1211621/HEALTH SERVICES"</f>
        <v>ACCT#1211621/HEALTH SERVICES</v>
      </c>
    </row>
    <row r="1083" spans="1:10" x14ac:dyDescent="0.3">
      <c r="A1083" t="str">
        <f>""</f>
        <v/>
      </c>
      <c r="F1083" t="s">
        <v>10</v>
      </c>
      <c r="G1083" t="str">
        <f>"1420944-20170531"</f>
        <v>1420944-20170531</v>
      </c>
      <c r="H1083" t="str">
        <f>"BILLING ID 1420944/HEALTH SERV"</f>
        <v>BILLING ID 1420944/HEALTH SERV</v>
      </c>
      <c r="I1083" s="2">
        <v>620.79999999999995</v>
      </c>
      <c r="J1083" t="str">
        <f>"BILLING ID 1420944/HEALTH SERV"</f>
        <v>BILLING ID 1420944/HEALTH SERV</v>
      </c>
    </row>
    <row r="1084" spans="1:10" x14ac:dyDescent="0.3">
      <c r="A1084" t="str">
        <f>"001530"</f>
        <v>001530</v>
      </c>
      <c r="B1084" t="s">
        <v>309</v>
      </c>
      <c r="C1084">
        <v>71235</v>
      </c>
      <c r="D1084" s="2">
        <v>227.35</v>
      </c>
      <c r="E1084" s="1">
        <v>42912</v>
      </c>
      <c r="F1084" t="s">
        <v>10</v>
      </c>
      <c r="G1084" t="str">
        <f>"1361725-20170531"</f>
        <v>1361725-20170531</v>
      </c>
      <c r="H1084" t="str">
        <f>"ID#1361725/INDIGENT HEALTH"</f>
        <v>ID#1361725/INDIGENT HEALTH</v>
      </c>
      <c r="I1084" s="2">
        <v>127.35</v>
      </c>
      <c r="J1084" t="str">
        <f>"ID#1361725/INDIGENT HEALTH"</f>
        <v>ID#1361725/INDIGENT HEALTH</v>
      </c>
    </row>
    <row r="1085" spans="1:10" x14ac:dyDescent="0.3">
      <c r="A1085" t="str">
        <f>""</f>
        <v/>
      </c>
      <c r="F1085" t="s">
        <v>10</v>
      </c>
      <c r="G1085" t="str">
        <f>"1394645-20170531"</f>
        <v>1394645-20170531</v>
      </c>
      <c r="H1085" t="str">
        <f>"BILLING ID 1394645/CO CLERK"</f>
        <v>BILLING ID 1394645/CO CLERK</v>
      </c>
      <c r="I1085" s="2">
        <v>50</v>
      </c>
      <c r="J1085" t="str">
        <f>"BILLING ID 1394645/CO CLERK"</f>
        <v>BILLING ID 1394645/CO CLERK</v>
      </c>
    </row>
    <row r="1086" spans="1:10" x14ac:dyDescent="0.3">
      <c r="A1086" t="str">
        <f>""</f>
        <v/>
      </c>
      <c r="F1086" t="s">
        <v>10</v>
      </c>
      <c r="G1086" t="str">
        <f>"1489870-20170531"</f>
        <v>1489870-20170531</v>
      </c>
      <c r="H1086" t="str">
        <f>"BILLING ID 1489870/DIST CLERK"</f>
        <v>BILLING ID 1489870/DIST CLERK</v>
      </c>
      <c r="I1086" s="2">
        <v>50</v>
      </c>
      <c r="J1086" t="str">
        <f>"BILLING ID 1489870/DIST CLERK"</f>
        <v>BILLING ID 1489870/DIST CLERK</v>
      </c>
    </row>
    <row r="1087" spans="1:10" x14ac:dyDescent="0.3">
      <c r="A1087" t="str">
        <f>"002548"</f>
        <v>002548</v>
      </c>
      <c r="B1087" t="s">
        <v>310</v>
      </c>
      <c r="C1087">
        <v>70910</v>
      </c>
      <c r="D1087" s="2">
        <v>150</v>
      </c>
      <c r="E1087" s="1">
        <v>42898</v>
      </c>
      <c r="F1087" t="s">
        <v>10</v>
      </c>
      <c r="G1087" t="str">
        <f>"12370"</f>
        <v>12370</v>
      </c>
      <c r="H1087" t="str">
        <f>"SERVICE-3/14/2017"</f>
        <v>SERVICE-3/14/2017</v>
      </c>
      <c r="I1087" s="2">
        <v>75</v>
      </c>
      <c r="J1087" t="str">
        <f>"SERVICE-3/14/2017"</f>
        <v>SERVICE-3/14/2017</v>
      </c>
    </row>
    <row r="1088" spans="1:10" x14ac:dyDescent="0.3">
      <c r="A1088" t="str">
        <f>""</f>
        <v/>
      </c>
      <c r="F1088" t="s">
        <v>10</v>
      </c>
      <c r="G1088" t="str">
        <f>"12443"</f>
        <v>12443</v>
      </c>
      <c r="H1088" t="str">
        <f>"SERVICE 03/08/2017"</f>
        <v>SERVICE 03/08/2017</v>
      </c>
      <c r="I1088" s="2">
        <v>75</v>
      </c>
      <c r="J1088" t="str">
        <f>"SERVICE 03/08/2017"</f>
        <v>SERVICE 03/08/2017</v>
      </c>
    </row>
    <row r="1089" spans="1:10" x14ac:dyDescent="0.3">
      <c r="A1089" t="str">
        <f>"000684"</f>
        <v>000684</v>
      </c>
      <c r="B1089" t="s">
        <v>311</v>
      </c>
      <c r="C1089">
        <v>70911</v>
      </c>
      <c r="D1089" s="2">
        <v>342.51</v>
      </c>
      <c r="E1089" s="1">
        <v>42898</v>
      </c>
      <c r="F1089" t="s">
        <v>10</v>
      </c>
      <c r="G1089" t="str">
        <f>"1135541"</f>
        <v>1135541</v>
      </c>
      <c r="H1089" t="str">
        <f>"TIRE RECYCLING"</f>
        <v>TIRE RECYCLING</v>
      </c>
      <c r="I1089" s="2">
        <v>342.51</v>
      </c>
      <c r="J1089" t="str">
        <f>"TIRE RECYCLING"</f>
        <v>TIRE RECYCLING</v>
      </c>
    </row>
    <row r="1090" spans="1:10" x14ac:dyDescent="0.3">
      <c r="A1090" t="str">
        <f>"000684"</f>
        <v>000684</v>
      </c>
      <c r="B1090" t="s">
        <v>311</v>
      </c>
      <c r="C1090">
        <v>71236</v>
      </c>
      <c r="D1090" s="2">
        <v>1102.98</v>
      </c>
      <c r="E1090" s="1">
        <v>42912</v>
      </c>
      <c r="F1090" t="s">
        <v>10</v>
      </c>
      <c r="G1090" t="str">
        <f>"1153936"</f>
        <v>1153936</v>
      </c>
      <c r="H1090" t="str">
        <f>"ACCT#15717/TIRES"</f>
        <v>ACCT#15717/TIRES</v>
      </c>
      <c r="I1090" s="2">
        <v>1102.98</v>
      </c>
      <c r="J1090" t="str">
        <f>"ACCT#15717/TIRES"</f>
        <v>ACCT#15717/TIRES</v>
      </c>
    </row>
    <row r="1091" spans="1:10" x14ac:dyDescent="0.3">
      <c r="A1091" t="str">
        <f>"004771"</f>
        <v>004771</v>
      </c>
      <c r="B1091" t="s">
        <v>312</v>
      </c>
      <c r="C1091">
        <v>70912</v>
      </c>
      <c r="D1091" s="2">
        <v>4845</v>
      </c>
      <c r="E1091" s="1">
        <v>42898</v>
      </c>
      <c r="F1091" t="s">
        <v>10</v>
      </c>
      <c r="G1091" t="str">
        <f>"201706052588"</f>
        <v>201706052588</v>
      </c>
      <c r="H1091" t="str">
        <f>"PI SERVICES/ CAUSE# 15 934"</f>
        <v>PI SERVICES/ CAUSE# 15 934</v>
      </c>
      <c r="I1091" s="2">
        <v>4845</v>
      </c>
      <c r="J1091" t="str">
        <f>"PI SERVICES/ CAUSE# 15 934"</f>
        <v>PI SERVICES/ CAUSE# 15 934</v>
      </c>
    </row>
    <row r="1092" spans="1:10" x14ac:dyDescent="0.3">
      <c r="A1092" t="str">
        <f>"T11113"</f>
        <v>T11113</v>
      </c>
      <c r="B1092" t="s">
        <v>313</v>
      </c>
      <c r="C1092">
        <v>0</v>
      </c>
      <c r="D1092" s="2">
        <v>66.75</v>
      </c>
      <c r="E1092" s="1">
        <v>42887</v>
      </c>
      <c r="F1092" t="s">
        <v>10</v>
      </c>
      <c r="G1092" t="str">
        <f>"201706012456"</f>
        <v>201706012456</v>
      </c>
      <c r="H1092" t="str">
        <f>"VEHICLE REGISTRATION - GS"</f>
        <v>VEHICLE REGISTRATION - GS</v>
      </c>
      <c r="I1092" s="2">
        <v>5.5</v>
      </c>
      <c r="J1092" t="str">
        <f>"VEHICLE REGISTRATION - GS"</f>
        <v>VEHICLE REGISTRATION - GS</v>
      </c>
    </row>
    <row r="1093" spans="1:10" x14ac:dyDescent="0.3">
      <c r="A1093" t="str">
        <f>""</f>
        <v/>
      </c>
      <c r="F1093" t="s">
        <v>10</v>
      </c>
      <c r="G1093" t="str">
        <f>"201706012457"</f>
        <v>201706012457</v>
      </c>
      <c r="H1093" t="str">
        <f>"VEHICLE REGISTRATIONS - ENVIRO"</f>
        <v>VEHICLE REGISTRATIONS - ENVIRO</v>
      </c>
      <c r="I1093" s="2">
        <v>7.5</v>
      </c>
      <c r="J1093" t="str">
        <f>"VEHICLE REGISTRATIONS - ENVIRO"</f>
        <v>VEHICLE REGISTRATIONS - ENVIRO</v>
      </c>
    </row>
    <row r="1094" spans="1:10" x14ac:dyDescent="0.3">
      <c r="A1094" t="str">
        <f>""</f>
        <v/>
      </c>
      <c r="F1094" t="s">
        <v>10</v>
      </c>
      <c r="G1094" t="str">
        <f>"201706012459"</f>
        <v>201706012459</v>
      </c>
      <c r="H1094" t="str">
        <f>"VEHICLE REGISTRATIONS - EXT"</f>
        <v>VEHICLE REGISTRATIONS - EXT</v>
      </c>
      <c r="I1094" s="2">
        <v>7.5</v>
      </c>
      <c r="J1094" t="str">
        <f>"VEHICLE REGISTRATIONS - EXT"</f>
        <v>VEHICLE REGISTRATIONS - EXT</v>
      </c>
    </row>
    <row r="1095" spans="1:10" x14ac:dyDescent="0.3">
      <c r="A1095" t="str">
        <f>""</f>
        <v/>
      </c>
      <c r="F1095" t="s">
        <v>10</v>
      </c>
      <c r="G1095" t="str">
        <f>"201706012460"</f>
        <v>201706012460</v>
      </c>
      <c r="H1095" t="str">
        <f>"VEHICLE REGISTRATIONS - P1"</f>
        <v>VEHICLE REGISTRATIONS - P1</v>
      </c>
      <c r="I1095" s="2">
        <v>7.5</v>
      </c>
      <c r="J1095" t="str">
        <f>"VEHICLE REGISTRATIONS - P1"</f>
        <v>VEHICLE REGISTRATIONS - P1</v>
      </c>
    </row>
    <row r="1096" spans="1:10" x14ac:dyDescent="0.3">
      <c r="A1096" t="str">
        <f>""</f>
        <v/>
      </c>
      <c r="F1096" t="s">
        <v>10</v>
      </c>
      <c r="G1096" t="str">
        <f>"201706012461"</f>
        <v>201706012461</v>
      </c>
      <c r="H1096" t="str">
        <f>"VEHICLE REGISTRATIONS - P3"</f>
        <v>VEHICLE REGISTRATIONS - P3</v>
      </c>
      <c r="I1096" s="2">
        <v>7.5</v>
      </c>
      <c r="J1096" t="str">
        <f>"VEHICLE REGISTRATIONS - P3"</f>
        <v>VEHICLE REGISTRATIONS - P3</v>
      </c>
    </row>
    <row r="1097" spans="1:10" x14ac:dyDescent="0.3">
      <c r="A1097" t="str">
        <f>""</f>
        <v/>
      </c>
      <c r="F1097" t="s">
        <v>10</v>
      </c>
      <c r="G1097" t="str">
        <f>"201706012462"</f>
        <v>201706012462</v>
      </c>
      <c r="H1097" t="str">
        <f>"VEHICLE REGISTRATIONS - P4"</f>
        <v>VEHICLE REGISTRATIONS - P4</v>
      </c>
      <c r="I1097" s="2">
        <v>22</v>
      </c>
      <c r="J1097" t="str">
        <f>"VEHICLE REGISTRATIONS - P4"</f>
        <v>VEHICLE REGISTRATIONS - P4</v>
      </c>
    </row>
    <row r="1098" spans="1:10" x14ac:dyDescent="0.3">
      <c r="A1098" t="str">
        <f>""</f>
        <v/>
      </c>
      <c r="F1098" t="s">
        <v>10</v>
      </c>
      <c r="G1098" t="str">
        <f>"201706012463"</f>
        <v>201706012463</v>
      </c>
      <c r="H1098" t="str">
        <f>"VEHICLE REGISTRATIONS - SO"</f>
        <v>VEHICLE REGISTRATIONS - SO</v>
      </c>
      <c r="I1098" s="2">
        <v>9.25</v>
      </c>
      <c r="J1098" t="str">
        <f>"VEHICLE REGISTRATIONS - SO"</f>
        <v>VEHICLE REGISTRATIONS - SO</v>
      </c>
    </row>
    <row r="1099" spans="1:10" x14ac:dyDescent="0.3">
      <c r="A1099" t="str">
        <f>"T11113"</f>
        <v>T11113</v>
      </c>
      <c r="B1099" t="s">
        <v>313</v>
      </c>
      <c r="C1099">
        <v>0</v>
      </c>
      <c r="D1099" s="2">
        <v>67.5</v>
      </c>
      <c r="E1099" s="1">
        <v>42898</v>
      </c>
      <c r="F1099" t="s">
        <v>10</v>
      </c>
      <c r="G1099" t="str">
        <f>"201706072955"</f>
        <v>201706072955</v>
      </c>
      <c r="H1099" t="str">
        <f>"VEHICLE REGISTRATIONS/SO"</f>
        <v>VEHICLE REGISTRATIONS/SO</v>
      </c>
      <c r="I1099" s="2">
        <v>67.5</v>
      </c>
      <c r="J1099" t="str">
        <f>"VEHICLE REGISTRATIONS/SO"</f>
        <v>VEHICLE REGISTRATIONS/SO</v>
      </c>
    </row>
    <row r="1100" spans="1:10" x14ac:dyDescent="0.3">
      <c r="A1100" t="str">
        <f>"T11113"</f>
        <v>T11113</v>
      </c>
      <c r="B1100" t="s">
        <v>313</v>
      </c>
      <c r="C1100">
        <v>0</v>
      </c>
      <c r="D1100" s="2">
        <v>30</v>
      </c>
      <c r="E1100" s="1">
        <v>42912</v>
      </c>
      <c r="F1100" t="s">
        <v>10</v>
      </c>
      <c r="G1100" t="str">
        <f>"201706193153"</f>
        <v>201706193153</v>
      </c>
      <c r="H1100" t="str">
        <f>"VEHICLE REGISTRATIONS"</f>
        <v>VEHICLE REGISTRATIONS</v>
      </c>
      <c r="I1100" s="2">
        <v>7.5</v>
      </c>
      <c r="J1100" t="str">
        <f>"VEHICLE REGISTRATIONS"</f>
        <v>VEHICLE REGISTRATIONS</v>
      </c>
    </row>
    <row r="1101" spans="1:10" x14ac:dyDescent="0.3">
      <c r="A1101" t="str">
        <f>""</f>
        <v/>
      </c>
      <c r="F1101" t="s">
        <v>10</v>
      </c>
      <c r="G1101" t="str">
        <f>"201706213240"</f>
        <v>201706213240</v>
      </c>
      <c r="H1101" t="str">
        <f>"VEHICLE REGISTRATIONS"</f>
        <v>VEHICLE REGISTRATIONS</v>
      </c>
      <c r="I1101" s="2">
        <v>15</v>
      </c>
      <c r="J1101" t="str">
        <f>"VEHICLE REGISTRATIONS"</f>
        <v>VEHICLE REGISTRATIONS</v>
      </c>
    </row>
    <row r="1102" spans="1:10" x14ac:dyDescent="0.3">
      <c r="A1102" t="str">
        <f>""</f>
        <v/>
      </c>
      <c r="F1102" t="s">
        <v>10</v>
      </c>
      <c r="G1102" t="str">
        <f>"201706213241"</f>
        <v>201706213241</v>
      </c>
      <c r="H1102" t="str">
        <f>"VEHICLE REGISTRATION/SHERIFF"</f>
        <v>VEHICLE REGISTRATION/SHERIFF</v>
      </c>
      <c r="I1102" s="2">
        <v>7.5</v>
      </c>
      <c r="J1102" t="str">
        <f>"VEHICLE REGISTRATION/SHERIFF"</f>
        <v>VEHICLE REGISTRATION/SHERIFF</v>
      </c>
    </row>
    <row r="1103" spans="1:10" x14ac:dyDescent="0.3">
      <c r="A1103" t="str">
        <f>"T11113"</f>
        <v>T11113</v>
      </c>
      <c r="B1103" t="s">
        <v>313</v>
      </c>
      <c r="C1103">
        <v>0</v>
      </c>
      <c r="D1103" s="2">
        <v>22.5</v>
      </c>
      <c r="E1103" s="1">
        <v>42915</v>
      </c>
      <c r="F1103" t="s">
        <v>10</v>
      </c>
      <c r="G1103" t="str">
        <f>"201707073476"</f>
        <v>201707073476</v>
      </c>
      <c r="H1103" t="str">
        <f>"VEHICLE REGISRATIONS"</f>
        <v>VEHICLE REGISRATIONS</v>
      </c>
      <c r="I1103" s="2">
        <v>22.5</v>
      </c>
      <c r="J1103" t="str">
        <f>"VEHICLE REGISRATIONS"</f>
        <v>VEHICLE REGISRATIONS</v>
      </c>
    </row>
    <row r="1104" spans="1:10" x14ac:dyDescent="0.3">
      <c r="A1104" t="str">
        <f>""</f>
        <v/>
      </c>
      <c r="G1104" t="str">
        <f>""</f>
        <v/>
      </c>
      <c r="H1104" t="str">
        <f>""</f>
        <v/>
      </c>
      <c r="J1104" t="str">
        <f>"VEHICLE REGISRATIONS"</f>
        <v>VEHICLE REGISRATIONS</v>
      </c>
    </row>
    <row r="1105" spans="1:10" x14ac:dyDescent="0.3">
      <c r="A1105" t="str">
        <f>"T11113"</f>
        <v>T11113</v>
      </c>
      <c r="B1105" t="s">
        <v>313</v>
      </c>
      <c r="C1105">
        <v>71366</v>
      </c>
      <c r="D1105" s="2">
        <v>22.5</v>
      </c>
      <c r="E1105" s="1">
        <v>42915</v>
      </c>
      <c r="F1105" t="s">
        <v>10</v>
      </c>
      <c r="G1105" t="str">
        <f>"201706283287"</f>
        <v>201706283287</v>
      </c>
      <c r="H1105" t="str">
        <f>"VEHICLE REGISTGRATIONS"</f>
        <v>VEHICLE REGISTGRATIONS</v>
      </c>
      <c r="I1105" s="2">
        <v>22.5</v>
      </c>
    </row>
    <row r="1106" spans="1:10" x14ac:dyDescent="0.3">
      <c r="A1106" t="str">
        <f>"T11113"</f>
        <v>T11113</v>
      </c>
      <c r="B1106" t="s">
        <v>313</v>
      </c>
      <c r="C1106">
        <v>71366</v>
      </c>
      <c r="D1106" s="2">
        <v>22.5</v>
      </c>
      <c r="E1106" s="1">
        <v>42915</v>
      </c>
      <c r="F1106" t="s">
        <v>246</v>
      </c>
      <c r="G1106" t="str">
        <f>"CHECK"</f>
        <v>CHECK</v>
      </c>
      <c r="H1106" t="str">
        <f>""</f>
        <v/>
      </c>
      <c r="I1106" s="2">
        <v>22.5</v>
      </c>
    </row>
    <row r="1107" spans="1:10" x14ac:dyDescent="0.3">
      <c r="A1107" t="str">
        <f>"004622"</f>
        <v>004622</v>
      </c>
      <c r="B1107" t="s">
        <v>314</v>
      </c>
      <c r="C1107">
        <v>70913</v>
      </c>
      <c r="D1107" s="2">
        <v>260</v>
      </c>
      <c r="E1107" s="1">
        <v>42898</v>
      </c>
      <c r="F1107" t="s">
        <v>10</v>
      </c>
      <c r="G1107" t="str">
        <f>"201706022557"</f>
        <v>201706022557</v>
      </c>
      <c r="H1107" t="str">
        <f>"REIMBURSEMENT STATE BAR DUES"</f>
        <v>REIMBURSEMENT STATE BAR DUES</v>
      </c>
      <c r="I1107" s="2">
        <v>260</v>
      </c>
      <c r="J1107" t="str">
        <f>"REIMBURSEMENT STATE BAR DUES"</f>
        <v>REIMBURSEMENT STATE BAR DUES</v>
      </c>
    </row>
    <row r="1108" spans="1:10" x14ac:dyDescent="0.3">
      <c r="A1108" t="str">
        <f>"T12652"</f>
        <v>T12652</v>
      </c>
      <c r="B1108" t="s">
        <v>315</v>
      </c>
      <c r="C1108">
        <v>70914</v>
      </c>
      <c r="D1108" s="2">
        <v>400</v>
      </c>
      <c r="E1108" s="1">
        <v>42898</v>
      </c>
      <c r="F1108" t="s">
        <v>10</v>
      </c>
      <c r="G1108" t="str">
        <f>"201706072900"</f>
        <v>201706072900</v>
      </c>
      <c r="H1108" t="str">
        <f>"995451"</f>
        <v>995451</v>
      </c>
      <c r="I1108" s="2">
        <v>200</v>
      </c>
      <c r="J1108" t="str">
        <f>"995451"</f>
        <v>995451</v>
      </c>
    </row>
    <row r="1109" spans="1:10" x14ac:dyDescent="0.3">
      <c r="A1109" t="str">
        <f>""</f>
        <v/>
      </c>
      <c r="F1109" t="s">
        <v>10</v>
      </c>
      <c r="G1109" t="str">
        <f>"201706072901"</f>
        <v>201706072901</v>
      </c>
      <c r="H1109" t="str">
        <f>"06-10714"</f>
        <v>06-10714</v>
      </c>
      <c r="I1109" s="2">
        <v>200</v>
      </c>
      <c r="J1109" t="str">
        <f>"06-10714"</f>
        <v>06-10714</v>
      </c>
    </row>
    <row r="1110" spans="1:10" x14ac:dyDescent="0.3">
      <c r="A1110" t="str">
        <f>"000785"</f>
        <v>000785</v>
      </c>
      <c r="B1110" t="s">
        <v>316</v>
      </c>
      <c r="C1110">
        <v>70915</v>
      </c>
      <c r="D1110" s="2">
        <v>88</v>
      </c>
      <c r="E1110" s="1">
        <v>42898</v>
      </c>
      <c r="F1110" t="s">
        <v>10</v>
      </c>
      <c r="G1110" t="str">
        <f>"201706052602"</f>
        <v>201706052602</v>
      </c>
      <c r="H1110" t="str">
        <f>"MILEAGE REIMBURSEMENT"</f>
        <v>MILEAGE REIMBURSEMENT</v>
      </c>
      <c r="I1110" s="2">
        <v>88</v>
      </c>
      <c r="J1110" t="str">
        <f>"MILEAGE REIMBURSEMENT"</f>
        <v>MILEAGE REIMBURSEMENT</v>
      </c>
    </row>
    <row r="1111" spans="1:10" x14ac:dyDescent="0.3">
      <c r="A1111" t="str">
        <f>"003415"</f>
        <v>003415</v>
      </c>
      <c r="B1111" t="s">
        <v>317</v>
      </c>
      <c r="C1111">
        <v>70916</v>
      </c>
      <c r="D1111" s="2">
        <v>388.8</v>
      </c>
      <c r="E1111" s="1">
        <v>42898</v>
      </c>
      <c r="F1111" t="s">
        <v>10</v>
      </c>
      <c r="G1111" t="str">
        <f>"201706072844"</f>
        <v>201706072844</v>
      </c>
      <c r="H1111" t="str">
        <f>"INDIGENT HEALTH"</f>
        <v>INDIGENT HEALTH</v>
      </c>
      <c r="I1111" s="2">
        <v>388.8</v>
      </c>
      <c r="J1111" t="str">
        <f>"INDIGENT HEALTH"</f>
        <v>INDIGENT HEALTH</v>
      </c>
    </row>
    <row r="1112" spans="1:10" x14ac:dyDescent="0.3">
      <c r="A1112" t="str">
        <f>"003434"</f>
        <v>003434</v>
      </c>
      <c r="B1112" t="s">
        <v>318</v>
      </c>
      <c r="C1112">
        <v>70917</v>
      </c>
      <c r="D1112" s="2">
        <v>160</v>
      </c>
      <c r="E1112" s="1">
        <v>42898</v>
      </c>
      <c r="F1112" t="s">
        <v>10</v>
      </c>
      <c r="G1112" t="str">
        <f>"201706073006"</f>
        <v>201706073006</v>
      </c>
      <c r="H1112" t="str">
        <f>"FERAL HOGS"</f>
        <v>FERAL HOGS</v>
      </c>
      <c r="I1112" s="2">
        <v>160</v>
      </c>
      <c r="J1112" t="str">
        <f>"FERAL HOGS"</f>
        <v>FERAL HOGS</v>
      </c>
    </row>
    <row r="1113" spans="1:10" x14ac:dyDescent="0.3">
      <c r="A1113" t="str">
        <f>"004851"</f>
        <v>004851</v>
      </c>
      <c r="B1113" t="s">
        <v>319</v>
      </c>
      <c r="C1113">
        <v>70918</v>
      </c>
      <c r="D1113" s="2">
        <v>809.84</v>
      </c>
      <c r="E1113" s="1">
        <v>42898</v>
      </c>
      <c r="F1113" t="s">
        <v>10</v>
      </c>
      <c r="G1113" t="str">
        <f>"201706072846"</f>
        <v>201706072846</v>
      </c>
      <c r="H1113" t="str">
        <f>"INDIGENT HEALTH"</f>
        <v>INDIGENT HEALTH</v>
      </c>
      <c r="I1113" s="2">
        <v>809.84</v>
      </c>
      <c r="J1113" t="str">
        <f>"INDIGENT HEALTH"</f>
        <v>INDIGENT HEALTH</v>
      </c>
    </row>
    <row r="1114" spans="1:10" x14ac:dyDescent="0.3">
      <c r="A1114" t="str">
        <f>""</f>
        <v/>
      </c>
      <c r="G1114" t="str">
        <f>""</f>
        <v/>
      </c>
      <c r="H1114" t="str">
        <f>""</f>
        <v/>
      </c>
      <c r="J1114" t="str">
        <f>"INDIGENT HEALTH"</f>
        <v>INDIGENT HEALTH</v>
      </c>
    </row>
    <row r="1115" spans="1:10" x14ac:dyDescent="0.3">
      <c r="A1115" t="str">
        <f>"004557"</f>
        <v>004557</v>
      </c>
      <c r="B1115" t="s">
        <v>320</v>
      </c>
      <c r="C1115">
        <v>70919</v>
      </c>
      <c r="D1115" s="2">
        <v>1652.07</v>
      </c>
      <c r="E1115" s="1">
        <v>42898</v>
      </c>
      <c r="F1115" t="s">
        <v>10</v>
      </c>
      <c r="G1115" t="str">
        <f>"LS-14EXP-BCSO"</f>
        <v>LS-14EXP-BCSO</v>
      </c>
      <c r="H1115" t="str">
        <f>"INV LS-14EXP-BCSO/ 0124"</f>
        <v>INV LS-14EXP-BCSO/ 0124</v>
      </c>
      <c r="I1115" s="2">
        <v>1652.07</v>
      </c>
      <c r="J1115" t="str">
        <f>"INV LS-14EXP-BCSO/ 0124"</f>
        <v>INV LS-14EXP-BCSO/ 0124</v>
      </c>
    </row>
    <row r="1116" spans="1:10" x14ac:dyDescent="0.3">
      <c r="A1116" t="str">
        <f>"004557"</f>
        <v>004557</v>
      </c>
      <c r="B1116" t="s">
        <v>320</v>
      </c>
      <c r="C1116">
        <v>70920</v>
      </c>
      <c r="D1116" s="2">
        <v>356.62</v>
      </c>
      <c r="E1116" s="1">
        <v>42898</v>
      </c>
      <c r="F1116" t="s">
        <v>10</v>
      </c>
      <c r="G1116" t="str">
        <f>"LS-14EXP2-BCSO"</f>
        <v>LS-14EXP2-BCSO</v>
      </c>
      <c r="H1116" t="str">
        <f>"INV LS-14EXP2-BCSO/ 1672"</f>
        <v>INV LS-14EXP2-BCSO/ 1672</v>
      </c>
      <c r="I1116" s="2">
        <v>250.82</v>
      </c>
      <c r="J1116" t="str">
        <f>"INV LS-14EXP2-BCSO/ 1672"</f>
        <v>INV LS-14EXP2-BCSO/ 1672</v>
      </c>
    </row>
    <row r="1117" spans="1:10" x14ac:dyDescent="0.3">
      <c r="A1117" t="str">
        <f>""</f>
        <v/>
      </c>
      <c r="F1117" t="s">
        <v>10</v>
      </c>
      <c r="G1117" t="str">
        <f>"LS-14EXP4-BCSO"</f>
        <v>LS-14EXP4-BCSO</v>
      </c>
      <c r="H1117" t="str">
        <f>"INV LS-14EXP4-BCSO/U 0124"</f>
        <v>INV LS-14EXP4-BCSO/U 0124</v>
      </c>
      <c r="I1117" s="2">
        <v>105.8</v>
      </c>
      <c r="J1117" t="str">
        <f>"INV LS-14EXP4-BCSO/U 0124"</f>
        <v>INV LS-14EXP4-BCSO/U 0124</v>
      </c>
    </row>
    <row r="1118" spans="1:10" x14ac:dyDescent="0.3">
      <c r="A1118" t="str">
        <f>"004557"</f>
        <v>004557</v>
      </c>
      <c r="B1118" t="s">
        <v>320</v>
      </c>
      <c r="C1118">
        <v>71237</v>
      </c>
      <c r="D1118" s="2">
        <v>278</v>
      </c>
      <c r="E1118" s="1">
        <v>42912</v>
      </c>
      <c r="F1118" t="s">
        <v>10</v>
      </c>
      <c r="G1118" t="str">
        <f>"LS-08CV-BCSO"</f>
        <v>LS-08CV-BCSO</v>
      </c>
      <c r="H1118" t="str">
        <f>"UNIT 117 WINDSHIELD"</f>
        <v>UNIT 117 WINDSHIELD</v>
      </c>
      <c r="I1118" s="2">
        <v>278</v>
      </c>
      <c r="J1118" t="str">
        <f>"UNIT 117 WINDSHIELD"</f>
        <v>UNIT 117 WINDSHIELD</v>
      </c>
    </row>
    <row r="1119" spans="1:10" x14ac:dyDescent="0.3">
      <c r="A1119" t="str">
        <f>"004557"</f>
        <v>004557</v>
      </c>
      <c r="B1119" t="s">
        <v>320</v>
      </c>
      <c r="C1119">
        <v>71238</v>
      </c>
      <c r="D1119" s="2">
        <v>904.49</v>
      </c>
      <c r="E1119" s="1">
        <v>42912</v>
      </c>
      <c r="F1119" t="s">
        <v>10</v>
      </c>
      <c r="G1119" t="str">
        <f>"1D870AED"</f>
        <v>1D870AED</v>
      </c>
      <c r="H1119" t="str">
        <f>"INV      / UNIT 91"</f>
        <v>INV      / UNIT 91</v>
      </c>
      <c r="I1119" s="2">
        <v>904.49</v>
      </c>
      <c r="J1119" t="str">
        <f>"INV      / UNIT 91"</f>
        <v>INV      / UNIT 91</v>
      </c>
    </row>
    <row r="1120" spans="1:10" x14ac:dyDescent="0.3">
      <c r="A1120" t="str">
        <f>"004109"</f>
        <v>004109</v>
      </c>
      <c r="B1120" t="s">
        <v>321</v>
      </c>
      <c r="C1120">
        <v>70921</v>
      </c>
      <c r="D1120" s="2">
        <v>79.62</v>
      </c>
      <c r="E1120" s="1">
        <v>42898</v>
      </c>
      <c r="F1120" t="s">
        <v>10</v>
      </c>
      <c r="G1120" t="str">
        <f>"201706072848"</f>
        <v>201706072848</v>
      </c>
      <c r="H1120" t="str">
        <f>"INDIGENT HEALTH"</f>
        <v>INDIGENT HEALTH</v>
      </c>
      <c r="I1120" s="2">
        <v>79.62</v>
      </c>
      <c r="J1120" t="str">
        <f>"INDIGENT HEALTH"</f>
        <v>INDIGENT HEALTH</v>
      </c>
    </row>
    <row r="1121" spans="1:10" x14ac:dyDescent="0.3">
      <c r="A1121" t="str">
        <f>"004005"</f>
        <v>004005</v>
      </c>
      <c r="B1121" t="s">
        <v>322</v>
      </c>
      <c r="C1121">
        <v>70922</v>
      </c>
      <c r="D1121" s="2">
        <v>25</v>
      </c>
      <c r="E1121" s="1">
        <v>42898</v>
      </c>
      <c r="F1121" t="s">
        <v>10</v>
      </c>
      <c r="G1121" t="str">
        <f>"201706073007"</f>
        <v>201706073007</v>
      </c>
      <c r="H1121" t="str">
        <f>"FERAL HOGS"</f>
        <v>FERAL HOGS</v>
      </c>
      <c r="I1121" s="2">
        <v>25</v>
      </c>
      <c r="J1121" t="str">
        <f>"FERAL HOGS"</f>
        <v>FERAL HOGS</v>
      </c>
    </row>
    <row r="1122" spans="1:10" x14ac:dyDescent="0.3">
      <c r="A1122" t="str">
        <f>"T13085"</f>
        <v>T13085</v>
      </c>
      <c r="B1122" t="s">
        <v>323</v>
      </c>
      <c r="C1122">
        <v>70923</v>
      </c>
      <c r="D1122" s="2">
        <v>303</v>
      </c>
      <c r="E1122" s="1">
        <v>42898</v>
      </c>
      <c r="F1122" t="s">
        <v>10</v>
      </c>
      <c r="G1122" t="str">
        <f>"MAY INV-CAR WASHES"</f>
        <v>MAY INV-CAR WASHES</v>
      </c>
      <c r="H1122" t="str">
        <f>"MAY INV"</f>
        <v>MAY INV</v>
      </c>
      <c r="I1122" s="2">
        <v>303</v>
      </c>
      <c r="J1122" t="str">
        <f>"MAY INV"</f>
        <v>MAY INV</v>
      </c>
    </row>
    <row r="1123" spans="1:10" x14ac:dyDescent="0.3">
      <c r="A1123" t="str">
        <f>"T5843"</f>
        <v>T5843</v>
      </c>
      <c r="B1123" t="s">
        <v>324</v>
      </c>
      <c r="C1123">
        <v>70924</v>
      </c>
      <c r="D1123" s="2">
        <v>188.4</v>
      </c>
      <c r="E1123" s="1">
        <v>42898</v>
      </c>
      <c r="F1123" t="s">
        <v>10</v>
      </c>
      <c r="G1123" t="str">
        <f>"UNIT 87 MIRROR REP"</f>
        <v>UNIT 87 MIRROR REP</v>
      </c>
      <c r="H1123" t="str">
        <f>"UNIT 87 MIRROR REPAIR"</f>
        <v>UNIT 87 MIRROR REPAIR</v>
      </c>
      <c r="I1123" s="2">
        <v>188.4</v>
      </c>
      <c r="J1123" t="str">
        <f>"UNIT 87 MIRROR REPAIR"</f>
        <v>UNIT 87 MIRROR REPAIR</v>
      </c>
    </row>
    <row r="1124" spans="1:10" x14ac:dyDescent="0.3">
      <c r="A1124" t="str">
        <f>"005041"</f>
        <v>005041</v>
      </c>
      <c r="B1124" t="s">
        <v>325</v>
      </c>
      <c r="C1124">
        <v>71239</v>
      </c>
      <c r="D1124" s="2">
        <v>782.49</v>
      </c>
      <c r="E1124" s="1">
        <v>42912</v>
      </c>
      <c r="F1124" t="s">
        <v>10</v>
      </c>
      <c r="G1124" t="str">
        <f>"BC-XJ514946-1"</f>
        <v>BC-XJ514946-1</v>
      </c>
      <c r="H1124" t="str">
        <f>"REPAIRS/2002 GMC"</f>
        <v>REPAIRS/2002 GMC</v>
      </c>
      <c r="I1124" s="2">
        <v>782.49</v>
      </c>
      <c r="J1124" t="str">
        <f>"REPAIRS/2002 GMC"</f>
        <v>REPAIRS/2002 GMC</v>
      </c>
    </row>
    <row r="1125" spans="1:10" x14ac:dyDescent="0.3">
      <c r="A1125" t="str">
        <f>"000888"</f>
        <v>000888</v>
      </c>
      <c r="B1125" t="s">
        <v>326</v>
      </c>
      <c r="C1125">
        <v>71109</v>
      </c>
      <c r="D1125" s="2">
        <v>307.88</v>
      </c>
      <c r="E1125" s="1">
        <v>42909</v>
      </c>
      <c r="F1125" t="s">
        <v>10</v>
      </c>
      <c r="G1125" t="str">
        <f>"201706233262"</f>
        <v>201706233262</v>
      </c>
      <c r="H1125" t="str">
        <f>"ACCT #9900 693869 2 REISSUE"</f>
        <v>ACCT #9900 693869 2 REISSUE</v>
      </c>
      <c r="I1125" s="2">
        <v>307.88</v>
      </c>
      <c r="J1125" t="str">
        <f>"INVOICE #909444"</f>
        <v>INVOICE #909444</v>
      </c>
    </row>
    <row r="1126" spans="1:10" x14ac:dyDescent="0.3">
      <c r="A1126" t="str">
        <f>""</f>
        <v/>
      </c>
      <c r="G1126" t="str">
        <f>""</f>
        <v/>
      </c>
      <c r="H1126" t="str">
        <f>""</f>
        <v/>
      </c>
      <c r="J1126" t="str">
        <f>"INVOICE #909651"</f>
        <v>INVOICE #909651</v>
      </c>
    </row>
    <row r="1127" spans="1:10" x14ac:dyDescent="0.3">
      <c r="A1127" t="str">
        <f>""</f>
        <v/>
      </c>
      <c r="G1127" t="str">
        <f>""</f>
        <v/>
      </c>
      <c r="H1127" t="str">
        <f>""</f>
        <v/>
      </c>
      <c r="J1127" t="str">
        <f>"INVOICE #913023"</f>
        <v>INVOICE #913023</v>
      </c>
    </row>
    <row r="1128" spans="1:10" x14ac:dyDescent="0.3">
      <c r="A1128" t="str">
        <f>""</f>
        <v/>
      </c>
      <c r="G1128" t="str">
        <f>""</f>
        <v/>
      </c>
      <c r="H1128" t="str">
        <f>""</f>
        <v/>
      </c>
      <c r="J1128" t="str">
        <f>"INVOICE #902147"</f>
        <v>INVOICE #902147</v>
      </c>
    </row>
    <row r="1129" spans="1:10" x14ac:dyDescent="0.3">
      <c r="A1129" t="str">
        <f>""</f>
        <v/>
      </c>
      <c r="G1129" t="str">
        <f>""</f>
        <v/>
      </c>
      <c r="H1129" t="str">
        <f>""</f>
        <v/>
      </c>
      <c r="J1129" t="str">
        <f>"INVOICE #914763"</f>
        <v>INVOICE #914763</v>
      </c>
    </row>
    <row r="1130" spans="1:10" x14ac:dyDescent="0.3">
      <c r="A1130" t="str">
        <f>"000888"</f>
        <v>000888</v>
      </c>
      <c r="B1130" t="s">
        <v>326</v>
      </c>
      <c r="C1130">
        <v>71240</v>
      </c>
      <c r="D1130" s="2">
        <v>631.48</v>
      </c>
      <c r="E1130" s="1">
        <v>42912</v>
      </c>
      <c r="F1130" t="s">
        <v>10</v>
      </c>
      <c r="G1130" t="str">
        <f>"MULTIPLE INVOICES"</f>
        <v>MULTIPLE INVOICES</v>
      </c>
      <c r="H1130" t="str">
        <f>"Acct# 99006938692"</f>
        <v>Acct# 99006938692</v>
      </c>
      <c r="I1130" s="2">
        <v>631.48</v>
      </c>
      <c r="J1130" t="str">
        <f>"Inv# 901690"</f>
        <v>Inv# 901690</v>
      </c>
    </row>
    <row r="1131" spans="1:10" x14ac:dyDescent="0.3">
      <c r="A1131" t="str">
        <f>""</f>
        <v/>
      </c>
      <c r="G1131" t="str">
        <f>""</f>
        <v/>
      </c>
      <c r="H1131" t="str">
        <f>""</f>
        <v/>
      </c>
      <c r="J1131" t="str">
        <f>"Inv# 901365"</f>
        <v>Inv# 901365</v>
      </c>
    </row>
    <row r="1132" spans="1:10" x14ac:dyDescent="0.3">
      <c r="A1132" t="str">
        <f>""</f>
        <v/>
      </c>
      <c r="G1132" t="str">
        <f>""</f>
        <v/>
      </c>
      <c r="H1132" t="str">
        <f>""</f>
        <v/>
      </c>
      <c r="J1132" t="str">
        <f>"Inv# 901487"</f>
        <v>Inv# 901487</v>
      </c>
    </row>
    <row r="1133" spans="1:10" x14ac:dyDescent="0.3">
      <c r="A1133" t="str">
        <f>""</f>
        <v/>
      </c>
      <c r="G1133" t="str">
        <f>""</f>
        <v/>
      </c>
      <c r="H1133" t="str">
        <f>""</f>
        <v/>
      </c>
      <c r="J1133" t="str">
        <f>"Inv# 910244"</f>
        <v>Inv# 910244</v>
      </c>
    </row>
    <row r="1134" spans="1:10" x14ac:dyDescent="0.3">
      <c r="A1134" t="str">
        <f>""</f>
        <v/>
      </c>
      <c r="G1134" t="str">
        <f>""</f>
        <v/>
      </c>
      <c r="H1134" t="str">
        <f>""</f>
        <v/>
      </c>
      <c r="J1134" t="str">
        <f>"Inv# 901286"</f>
        <v>Inv# 901286</v>
      </c>
    </row>
    <row r="1135" spans="1:10" x14ac:dyDescent="0.3">
      <c r="A1135" t="str">
        <f>""</f>
        <v/>
      </c>
      <c r="G1135" t="str">
        <f>""</f>
        <v/>
      </c>
      <c r="H1135" t="str">
        <f>""</f>
        <v/>
      </c>
      <c r="J1135" t="str">
        <f>"Inv# 914608"</f>
        <v>Inv# 914608</v>
      </c>
    </row>
    <row r="1136" spans="1:10" x14ac:dyDescent="0.3">
      <c r="A1136" t="str">
        <f>""</f>
        <v/>
      </c>
      <c r="G1136" t="str">
        <f>""</f>
        <v/>
      </c>
      <c r="H1136" t="str">
        <f>""</f>
        <v/>
      </c>
      <c r="J1136" t="str">
        <f>"Inv# 901365"</f>
        <v>Inv# 901365</v>
      </c>
    </row>
    <row r="1137" spans="1:10" x14ac:dyDescent="0.3">
      <c r="A1137" t="str">
        <f>""</f>
        <v/>
      </c>
      <c r="G1137" t="str">
        <f>""</f>
        <v/>
      </c>
      <c r="H1137" t="str">
        <f>""</f>
        <v/>
      </c>
      <c r="J1137" t="str">
        <f>"Inv# 909121"</f>
        <v>Inv# 909121</v>
      </c>
    </row>
    <row r="1138" spans="1:10" x14ac:dyDescent="0.3">
      <c r="A1138" t="str">
        <f>""</f>
        <v/>
      </c>
      <c r="G1138" t="str">
        <f>""</f>
        <v/>
      </c>
      <c r="H1138" t="str">
        <f>""</f>
        <v/>
      </c>
      <c r="J1138" t="str">
        <f>"Inv# 914462"</f>
        <v>Inv# 914462</v>
      </c>
    </row>
    <row r="1139" spans="1:10" x14ac:dyDescent="0.3">
      <c r="A1139" t="str">
        <f>"004871"</f>
        <v>004871</v>
      </c>
      <c r="B1139" t="s">
        <v>327</v>
      </c>
      <c r="C1139">
        <v>70925</v>
      </c>
      <c r="D1139" s="2">
        <v>40</v>
      </c>
      <c r="E1139" s="1">
        <v>42898</v>
      </c>
      <c r="F1139" t="s">
        <v>10</v>
      </c>
      <c r="G1139" t="str">
        <f>"201706073008"</f>
        <v>201706073008</v>
      </c>
      <c r="H1139" t="str">
        <f>"FERAL HOGS"</f>
        <v>FERAL HOGS</v>
      </c>
      <c r="I1139" s="2">
        <v>40</v>
      </c>
      <c r="J1139" t="str">
        <f>"FERAL HOGS"</f>
        <v>FERAL HOGS</v>
      </c>
    </row>
    <row r="1140" spans="1:10" x14ac:dyDescent="0.3">
      <c r="A1140" t="str">
        <f>"004036"</f>
        <v>004036</v>
      </c>
      <c r="B1140" t="s">
        <v>328</v>
      </c>
      <c r="C1140">
        <v>70926</v>
      </c>
      <c r="D1140" s="2">
        <v>645</v>
      </c>
      <c r="E1140" s="1">
        <v>42898</v>
      </c>
      <c r="F1140" t="s">
        <v>10</v>
      </c>
      <c r="G1140" t="str">
        <f>"10063"</f>
        <v>10063</v>
      </c>
      <c r="H1140" t="str">
        <f>"Inv# 10063"</f>
        <v>Inv# 10063</v>
      </c>
      <c r="I1140" s="2">
        <v>645</v>
      </c>
      <c r="J1140" t="str">
        <f>"Inv# 10063"</f>
        <v>Inv# 10063</v>
      </c>
    </row>
    <row r="1141" spans="1:10" x14ac:dyDescent="0.3">
      <c r="A1141" t="str">
        <f>"MARIA"</f>
        <v>MARIA</v>
      </c>
      <c r="B1141" t="s">
        <v>329</v>
      </c>
      <c r="C1141">
        <v>70927</v>
      </c>
      <c r="D1141" s="2">
        <v>1382.19</v>
      </c>
      <c r="E1141" s="1">
        <v>42898</v>
      </c>
      <c r="F1141" t="s">
        <v>10</v>
      </c>
      <c r="G1141" t="str">
        <f>"201706012522"</f>
        <v>201706012522</v>
      </c>
      <c r="H1141" t="str">
        <f>"CRIMINAL 05/31/2017"</f>
        <v>CRIMINAL 05/31/2017</v>
      </c>
      <c r="I1141" s="2">
        <v>183.17</v>
      </c>
      <c r="J1141" t="str">
        <f>"CRIMINAL 05/31/2017"</f>
        <v>CRIMINAL 05/31/2017</v>
      </c>
    </row>
    <row r="1142" spans="1:10" x14ac:dyDescent="0.3">
      <c r="A1142" t="str">
        <f>""</f>
        <v/>
      </c>
      <c r="F1142" t="s">
        <v>10</v>
      </c>
      <c r="G1142" t="str">
        <f>"201706012523"</f>
        <v>201706012523</v>
      </c>
      <c r="H1142" t="str">
        <f>"CRIMINAL 05/17/2017"</f>
        <v>CRIMINAL 05/17/2017</v>
      </c>
      <c r="I1142" s="2">
        <v>183.17</v>
      </c>
      <c r="J1142" t="str">
        <f>"CRIMINAL 05/17/2017"</f>
        <v>CRIMINAL 05/17/2017</v>
      </c>
    </row>
    <row r="1143" spans="1:10" x14ac:dyDescent="0.3">
      <c r="A1143" t="str">
        <f>""</f>
        <v/>
      </c>
      <c r="F1143" t="s">
        <v>10</v>
      </c>
      <c r="G1143" t="str">
        <f>"201706012524"</f>
        <v>201706012524</v>
      </c>
      <c r="H1143" t="str">
        <f>"CRIMINAL 05/24/2017"</f>
        <v>CRIMINAL 05/24/2017</v>
      </c>
      <c r="I1143" s="2">
        <v>183.17</v>
      </c>
      <c r="J1143" t="str">
        <f>"CRIMINAL 05/24/2017"</f>
        <v>CRIMINAL 05/24/2017</v>
      </c>
    </row>
    <row r="1144" spans="1:10" x14ac:dyDescent="0.3">
      <c r="A1144" t="str">
        <f>""</f>
        <v/>
      </c>
      <c r="F1144" t="s">
        <v>10</v>
      </c>
      <c r="G1144" t="str">
        <f>"201706012525"</f>
        <v>201706012525</v>
      </c>
      <c r="H1144" t="str">
        <f>"N. MARTINEZ-MARIN"</f>
        <v>N. MARTINEZ-MARIN</v>
      </c>
      <c r="I1144" s="2">
        <v>100</v>
      </c>
      <c r="J1144" t="str">
        <f>"N. MARTINEZ-MARIN"</f>
        <v>N. MARTINEZ-MARIN</v>
      </c>
    </row>
    <row r="1145" spans="1:10" x14ac:dyDescent="0.3">
      <c r="A1145" t="str">
        <f>""</f>
        <v/>
      </c>
      <c r="F1145" t="s">
        <v>10</v>
      </c>
      <c r="G1145" t="str">
        <f>"201706072821"</f>
        <v>201706072821</v>
      </c>
      <c r="H1145" t="str">
        <f>"17-18377"</f>
        <v>17-18377</v>
      </c>
      <c r="I1145" s="2">
        <v>75</v>
      </c>
      <c r="J1145" t="str">
        <f>"17-18377"</f>
        <v>17-18377</v>
      </c>
    </row>
    <row r="1146" spans="1:10" x14ac:dyDescent="0.3">
      <c r="A1146" t="str">
        <f>""</f>
        <v/>
      </c>
      <c r="F1146" t="s">
        <v>10</v>
      </c>
      <c r="G1146" t="str">
        <f>"201706072822"</f>
        <v>201706072822</v>
      </c>
      <c r="H1146" t="str">
        <f>"07-11842"</f>
        <v>07-11842</v>
      </c>
      <c r="I1146" s="2">
        <v>25</v>
      </c>
      <c r="J1146" t="str">
        <f>"07-11842"</f>
        <v>07-11842</v>
      </c>
    </row>
    <row r="1147" spans="1:10" x14ac:dyDescent="0.3">
      <c r="A1147" t="str">
        <f>""</f>
        <v/>
      </c>
      <c r="F1147" t="s">
        <v>10</v>
      </c>
      <c r="G1147" t="str">
        <f>"201706072823"</f>
        <v>201706072823</v>
      </c>
      <c r="H1147" t="str">
        <f>"06-10656"</f>
        <v>06-10656</v>
      </c>
      <c r="I1147" s="2">
        <v>25</v>
      </c>
      <c r="J1147" t="str">
        <f>"06-10656"</f>
        <v>06-10656</v>
      </c>
    </row>
    <row r="1148" spans="1:10" x14ac:dyDescent="0.3">
      <c r="A1148" t="str">
        <f>""</f>
        <v/>
      </c>
      <c r="F1148" t="s">
        <v>10</v>
      </c>
      <c r="G1148" t="str">
        <f>"201706072824"</f>
        <v>201706072824</v>
      </c>
      <c r="H1148" t="str">
        <f>"CRIMINAL"</f>
        <v>CRIMINAL</v>
      </c>
      <c r="I1148" s="2">
        <v>183.17</v>
      </c>
      <c r="J1148" t="str">
        <f>"CRIMINAL"</f>
        <v>CRIMINAL</v>
      </c>
    </row>
    <row r="1149" spans="1:10" x14ac:dyDescent="0.3">
      <c r="A1149" t="str">
        <f>""</f>
        <v/>
      </c>
      <c r="F1149" t="s">
        <v>10</v>
      </c>
      <c r="G1149" t="str">
        <f>"201706072826"</f>
        <v>201706072826</v>
      </c>
      <c r="H1149" t="str">
        <f>"CRIMINAL"</f>
        <v>CRIMINAL</v>
      </c>
      <c r="I1149" s="2">
        <v>183.17</v>
      </c>
      <c r="J1149" t="str">
        <f>"CRIMINAL"</f>
        <v>CRIMINAL</v>
      </c>
    </row>
    <row r="1150" spans="1:10" x14ac:dyDescent="0.3">
      <c r="A1150" t="str">
        <f>""</f>
        <v/>
      </c>
      <c r="F1150" t="s">
        <v>10</v>
      </c>
      <c r="G1150" t="str">
        <f>"201706072827"</f>
        <v>201706072827</v>
      </c>
      <c r="H1150" t="str">
        <f>"16-17909"</f>
        <v>16-17909</v>
      </c>
      <c r="I1150" s="2">
        <v>50</v>
      </c>
      <c r="J1150" t="str">
        <f>"16-17909"</f>
        <v>16-17909</v>
      </c>
    </row>
    <row r="1151" spans="1:10" x14ac:dyDescent="0.3">
      <c r="A1151" t="str">
        <f>""</f>
        <v/>
      </c>
      <c r="F1151" t="s">
        <v>10</v>
      </c>
      <c r="G1151" t="str">
        <f>"201706072828"</f>
        <v>201706072828</v>
      </c>
      <c r="H1151" t="str">
        <f>"16-17894"</f>
        <v>16-17894</v>
      </c>
      <c r="I1151" s="2">
        <v>50</v>
      </c>
      <c r="J1151" t="str">
        <f>"16-17894"</f>
        <v>16-17894</v>
      </c>
    </row>
    <row r="1152" spans="1:10" x14ac:dyDescent="0.3">
      <c r="A1152" t="str">
        <f>""</f>
        <v/>
      </c>
      <c r="F1152" t="s">
        <v>10</v>
      </c>
      <c r="G1152" t="str">
        <f>"201706072829"</f>
        <v>201706072829</v>
      </c>
      <c r="H1152" t="str">
        <f>"17-18119"</f>
        <v>17-18119</v>
      </c>
      <c r="I1152" s="2">
        <v>83.17</v>
      </c>
      <c r="J1152" t="str">
        <f>"17-18119"</f>
        <v>17-18119</v>
      </c>
    </row>
    <row r="1153" spans="1:10" x14ac:dyDescent="0.3">
      <c r="A1153" t="str">
        <f>""</f>
        <v/>
      </c>
      <c r="F1153" t="s">
        <v>10</v>
      </c>
      <c r="G1153" t="str">
        <f>"201706083033"</f>
        <v>201706083033</v>
      </c>
      <c r="H1153" t="str">
        <f>"423-2751"</f>
        <v>423-2751</v>
      </c>
      <c r="I1153" s="2">
        <v>58.17</v>
      </c>
      <c r="J1153" t="str">
        <f>"423-2751"</f>
        <v>423-2751</v>
      </c>
    </row>
    <row r="1154" spans="1:10" x14ac:dyDescent="0.3">
      <c r="A1154" t="str">
        <f>"MARIA"</f>
        <v>MARIA</v>
      </c>
      <c r="B1154" t="s">
        <v>329</v>
      </c>
      <c r="C1154">
        <v>71241</v>
      </c>
      <c r="D1154" s="2">
        <v>1065.8499999999999</v>
      </c>
      <c r="E1154" s="1">
        <v>42912</v>
      </c>
      <c r="F1154" t="s">
        <v>10</v>
      </c>
      <c r="G1154" t="str">
        <f>"201706143065"</f>
        <v>201706143065</v>
      </c>
      <c r="H1154" t="str">
        <f>"CRIMINAL"</f>
        <v>CRIMINAL</v>
      </c>
      <c r="I1154" s="2">
        <v>183.17</v>
      </c>
      <c r="J1154" t="str">
        <f>"CRIMINAL"</f>
        <v>CRIMINAL</v>
      </c>
    </row>
    <row r="1155" spans="1:10" x14ac:dyDescent="0.3">
      <c r="A1155" t="str">
        <f>""</f>
        <v/>
      </c>
      <c r="F1155" t="s">
        <v>10</v>
      </c>
      <c r="G1155" t="str">
        <f>"201706143066"</f>
        <v>201706143066</v>
      </c>
      <c r="H1155" t="str">
        <f>"CRIMINAL 06072017"</f>
        <v>CRIMINAL 06072017</v>
      </c>
      <c r="I1155" s="2">
        <v>183.17</v>
      </c>
      <c r="J1155" t="str">
        <f>"CRIMINAL 06072017"</f>
        <v>CRIMINAL 06072017</v>
      </c>
    </row>
    <row r="1156" spans="1:10" x14ac:dyDescent="0.3">
      <c r="A1156" t="str">
        <f>""</f>
        <v/>
      </c>
      <c r="F1156" t="s">
        <v>10</v>
      </c>
      <c r="G1156" t="str">
        <f>"201706213215"</f>
        <v>201706213215</v>
      </c>
      <c r="H1156" t="str">
        <f>"423-4927"</f>
        <v>423-4927</v>
      </c>
      <c r="I1156" s="2">
        <v>93.17</v>
      </c>
      <c r="J1156" t="str">
        <f>"423-4927"</f>
        <v>423-4927</v>
      </c>
    </row>
    <row r="1157" spans="1:10" x14ac:dyDescent="0.3">
      <c r="A1157" t="str">
        <f>""</f>
        <v/>
      </c>
      <c r="F1157" t="s">
        <v>10</v>
      </c>
      <c r="G1157" t="str">
        <f>"201706213216"</f>
        <v>201706213216</v>
      </c>
      <c r="H1157" t="str">
        <f>"423-4933"</f>
        <v>423-4933</v>
      </c>
      <c r="I1157" s="2">
        <v>60</v>
      </c>
      <c r="J1157" t="str">
        <f>"423-4933"</f>
        <v>423-4933</v>
      </c>
    </row>
    <row r="1158" spans="1:10" x14ac:dyDescent="0.3">
      <c r="A1158" t="str">
        <f>""</f>
        <v/>
      </c>
      <c r="F1158" t="s">
        <v>10</v>
      </c>
      <c r="G1158" t="str">
        <f>"201706213217"</f>
        <v>201706213217</v>
      </c>
      <c r="H1158" t="str">
        <f>"17-18296"</f>
        <v>17-18296</v>
      </c>
      <c r="I1158" s="2">
        <v>60</v>
      </c>
      <c r="J1158" t="str">
        <f>"17-18296"</f>
        <v>17-18296</v>
      </c>
    </row>
    <row r="1159" spans="1:10" x14ac:dyDescent="0.3">
      <c r="A1159" t="str">
        <f>""</f>
        <v/>
      </c>
      <c r="F1159" t="s">
        <v>10</v>
      </c>
      <c r="G1159" t="str">
        <f>"201706213218"</f>
        <v>201706213218</v>
      </c>
      <c r="H1159" t="str">
        <f>"17-18-300"</f>
        <v>17-18-300</v>
      </c>
      <c r="I1159" s="2">
        <v>60</v>
      </c>
      <c r="J1159" t="str">
        <f>"17-18-300"</f>
        <v>17-18-300</v>
      </c>
    </row>
    <row r="1160" spans="1:10" x14ac:dyDescent="0.3">
      <c r="A1160" t="str">
        <f>""</f>
        <v/>
      </c>
      <c r="F1160" t="s">
        <v>10</v>
      </c>
      <c r="G1160" t="str">
        <f>"201706213219"</f>
        <v>201706213219</v>
      </c>
      <c r="H1160" t="str">
        <f>"17-18293"</f>
        <v>17-18293</v>
      </c>
      <c r="I1160" s="2">
        <v>60</v>
      </c>
      <c r="J1160" t="str">
        <f>"17-18293"</f>
        <v>17-18293</v>
      </c>
    </row>
    <row r="1161" spans="1:10" x14ac:dyDescent="0.3">
      <c r="A1161" t="str">
        <f>""</f>
        <v/>
      </c>
      <c r="F1161" t="s">
        <v>10</v>
      </c>
      <c r="G1161" t="str">
        <f>"201706213220"</f>
        <v>201706213220</v>
      </c>
      <c r="H1161" t="str">
        <f>"CRIMINAL"</f>
        <v>CRIMINAL</v>
      </c>
      <c r="I1161" s="2">
        <v>183.17</v>
      </c>
      <c r="J1161" t="str">
        <f>"CRIMINAL"</f>
        <v>CRIMINAL</v>
      </c>
    </row>
    <row r="1162" spans="1:10" x14ac:dyDescent="0.3">
      <c r="A1162" t="str">
        <f>""</f>
        <v/>
      </c>
      <c r="F1162" t="s">
        <v>10</v>
      </c>
      <c r="G1162" t="str">
        <f>"201706213221"</f>
        <v>201706213221</v>
      </c>
      <c r="H1162" t="str">
        <f>"CRIMINAL"</f>
        <v>CRIMINAL</v>
      </c>
      <c r="I1162" s="2">
        <v>183.17</v>
      </c>
      <c r="J1162" t="str">
        <f>"CRIMINAL"</f>
        <v>CRIMINAL</v>
      </c>
    </row>
    <row r="1163" spans="1:10" x14ac:dyDescent="0.3">
      <c r="A1163" t="str">
        <f>"001017"</f>
        <v>001017</v>
      </c>
      <c r="B1163" t="s">
        <v>330</v>
      </c>
      <c r="C1163">
        <v>70928</v>
      </c>
      <c r="D1163" s="2">
        <v>235</v>
      </c>
      <c r="E1163" s="1">
        <v>42898</v>
      </c>
      <c r="F1163" t="s">
        <v>10</v>
      </c>
      <c r="G1163" t="str">
        <f>"201706052604"</f>
        <v>201706052604</v>
      </c>
      <c r="H1163" t="str">
        <f>"REIMBURSEMENT OF BAR DUES"</f>
        <v>REIMBURSEMENT OF BAR DUES</v>
      </c>
      <c r="I1163" s="2">
        <v>235</v>
      </c>
      <c r="J1163" t="str">
        <f>"REIMBURSEMENT OF BAR DUES"</f>
        <v>REIMBURSEMENT OF BAR DUES</v>
      </c>
    </row>
    <row r="1164" spans="1:10" x14ac:dyDescent="0.3">
      <c r="A1164" t="str">
        <f>"002282"</f>
        <v>002282</v>
      </c>
      <c r="B1164" t="s">
        <v>331</v>
      </c>
      <c r="C1164">
        <v>70929</v>
      </c>
      <c r="D1164" s="2">
        <v>3600</v>
      </c>
      <c r="E1164" s="1">
        <v>42898</v>
      </c>
      <c r="F1164" t="s">
        <v>10</v>
      </c>
      <c r="G1164" t="str">
        <f>"201706052594"</f>
        <v>201706052594</v>
      </c>
      <c r="H1164" t="str">
        <f>"VETERINARY SERVICES FOR MAY"</f>
        <v>VETERINARY SERVICES FOR MAY</v>
      </c>
      <c r="I1164" s="2">
        <v>3600</v>
      </c>
      <c r="J1164" t="str">
        <f>"VETERINARY SERVICES FOR MAY"</f>
        <v>VETERINARY SERVICES FOR MAY</v>
      </c>
    </row>
    <row r="1165" spans="1:10" x14ac:dyDescent="0.3">
      <c r="A1165" t="str">
        <f>"T13936"</f>
        <v>T13936</v>
      </c>
      <c r="B1165" t="s">
        <v>332</v>
      </c>
      <c r="C1165">
        <v>70930</v>
      </c>
      <c r="D1165" s="2">
        <v>15404.47</v>
      </c>
      <c r="E1165" s="1">
        <v>42898</v>
      </c>
      <c r="F1165" t="s">
        <v>10</v>
      </c>
      <c r="G1165" t="str">
        <f>"201706072851"</f>
        <v>201706072851</v>
      </c>
      <c r="H1165" t="str">
        <f>"INDIGENT HEALTH"</f>
        <v>INDIGENT HEALTH</v>
      </c>
      <c r="I1165" s="2">
        <v>15404.47</v>
      </c>
      <c r="J1165" t="str">
        <f>"INDIGENT HEALTH"</f>
        <v>INDIGENT HEALTH</v>
      </c>
    </row>
    <row r="1166" spans="1:10" x14ac:dyDescent="0.3">
      <c r="A1166" t="str">
        <f>""</f>
        <v/>
      </c>
      <c r="G1166" t="str">
        <f>""</f>
        <v/>
      </c>
      <c r="H1166" t="str">
        <f>""</f>
        <v/>
      </c>
      <c r="J1166" t="str">
        <f>"INDIGENT HEALTH"</f>
        <v>INDIGENT HEALTH</v>
      </c>
    </row>
    <row r="1167" spans="1:10" x14ac:dyDescent="0.3">
      <c r="A1167" t="str">
        <f>"T13936"</f>
        <v>T13936</v>
      </c>
      <c r="B1167" t="s">
        <v>332</v>
      </c>
      <c r="C1167">
        <v>71242</v>
      </c>
      <c r="D1167" s="2">
        <v>6037.34</v>
      </c>
      <c r="E1167" s="1">
        <v>42912</v>
      </c>
      <c r="F1167" t="s">
        <v>10</v>
      </c>
      <c r="G1167" t="str">
        <f>"201706213229"</f>
        <v>201706213229</v>
      </c>
      <c r="H1167" t="str">
        <f>"INDIGENT HEALTH"</f>
        <v>INDIGENT HEALTH</v>
      </c>
      <c r="I1167" s="2">
        <v>6037.34</v>
      </c>
      <c r="J1167" t="str">
        <f>"INDIGENT HEALTH"</f>
        <v>INDIGENT HEALTH</v>
      </c>
    </row>
    <row r="1168" spans="1:10" x14ac:dyDescent="0.3">
      <c r="A1168" t="str">
        <f>""</f>
        <v/>
      </c>
      <c r="G1168" t="str">
        <f>""</f>
        <v/>
      </c>
      <c r="H1168" t="str">
        <f>""</f>
        <v/>
      </c>
      <c r="J1168" t="str">
        <f>"INDIGENT HEALTH"</f>
        <v>INDIGENT HEALTH</v>
      </c>
    </row>
    <row r="1169" spans="1:10" x14ac:dyDescent="0.3">
      <c r="A1169" t="str">
        <f>"T12624"</f>
        <v>T12624</v>
      </c>
      <c r="B1169" t="s">
        <v>333</v>
      </c>
      <c r="C1169">
        <v>70931</v>
      </c>
      <c r="D1169" s="2">
        <v>341.53</v>
      </c>
      <c r="E1169" s="1">
        <v>42898</v>
      </c>
      <c r="F1169" t="s">
        <v>10</v>
      </c>
      <c r="G1169" t="str">
        <f>"INV001606803"</f>
        <v>INV001606803</v>
      </c>
      <c r="H1169" t="str">
        <f>"PLUMBING INV001606803"</f>
        <v>PLUMBING INV001606803</v>
      </c>
      <c r="I1169" s="2">
        <v>169.79</v>
      </c>
      <c r="J1169" t="str">
        <f>"PLUMBING INV001606803"</f>
        <v>PLUMBING INV001606803</v>
      </c>
    </row>
    <row r="1170" spans="1:10" x14ac:dyDescent="0.3">
      <c r="A1170" t="str">
        <f>""</f>
        <v/>
      </c>
      <c r="F1170" t="s">
        <v>10</v>
      </c>
      <c r="G1170" t="str">
        <f>"INV001613942"</f>
        <v>INV001613942</v>
      </c>
      <c r="H1170" t="str">
        <f>"INV001613942 LOCKSET"</f>
        <v>INV001613942 LOCKSET</v>
      </c>
      <c r="I1170" s="2">
        <v>171.74</v>
      </c>
      <c r="J1170" t="str">
        <f>"INV001613942 LOCKSET"</f>
        <v>INV001613942 LOCKSET</v>
      </c>
    </row>
    <row r="1171" spans="1:10" x14ac:dyDescent="0.3">
      <c r="A1171" t="str">
        <f>"005091"</f>
        <v>005091</v>
      </c>
      <c r="B1171" t="s">
        <v>334</v>
      </c>
      <c r="C1171">
        <v>70932</v>
      </c>
      <c r="D1171" s="2">
        <v>15</v>
      </c>
      <c r="E1171" s="1">
        <v>42898</v>
      </c>
      <c r="F1171" t="s">
        <v>10</v>
      </c>
      <c r="G1171" t="str">
        <f>"201706022576"</f>
        <v>201706022576</v>
      </c>
      <c r="H1171" t="str">
        <f>"REFUND COUPON #8463"</f>
        <v>REFUND COUPON #8463</v>
      </c>
      <c r="I1171" s="2">
        <v>15</v>
      </c>
      <c r="J1171" t="str">
        <f>"REFUND COUPON #8463"</f>
        <v>REFUND COUPON #8463</v>
      </c>
    </row>
    <row r="1172" spans="1:10" x14ac:dyDescent="0.3">
      <c r="A1172" t="str">
        <f>"003464"</f>
        <v>003464</v>
      </c>
      <c r="B1172" t="s">
        <v>335</v>
      </c>
      <c r="C1172">
        <v>70933</v>
      </c>
      <c r="D1172" s="2">
        <v>30</v>
      </c>
      <c r="E1172" s="1">
        <v>42898</v>
      </c>
      <c r="F1172" t="s">
        <v>10</v>
      </c>
      <c r="G1172" t="str">
        <f>"201706052642"</f>
        <v>201706052642</v>
      </c>
      <c r="H1172" t="str">
        <f>"FERAL HOGS"</f>
        <v>FERAL HOGS</v>
      </c>
      <c r="I1172" s="2">
        <v>30</v>
      </c>
      <c r="J1172" t="str">
        <f>"FERAL HOGS"</f>
        <v>FERAL HOGS</v>
      </c>
    </row>
    <row r="1173" spans="1:10" x14ac:dyDescent="0.3">
      <c r="A1173" t="str">
        <f>"T9432"</f>
        <v>T9432</v>
      </c>
      <c r="B1173" t="s">
        <v>336</v>
      </c>
      <c r="C1173">
        <v>71243</v>
      </c>
      <c r="D1173" s="2">
        <v>345.79</v>
      </c>
      <c r="E1173" s="1">
        <v>42912</v>
      </c>
      <c r="F1173" t="s">
        <v>10</v>
      </c>
      <c r="G1173" t="str">
        <f>"201706133048"</f>
        <v>201706133048</v>
      </c>
      <c r="H1173" t="str">
        <f>"TRAVEL ADVANCE REQUEST"</f>
        <v>TRAVEL ADVANCE REQUEST</v>
      </c>
      <c r="I1173" s="2">
        <v>345.79</v>
      </c>
      <c r="J1173" t="str">
        <f>"TRAVEL ADVANCE REQUEST"</f>
        <v>TRAVEL ADVANCE REQUEST</v>
      </c>
    </row>
    <row r="1174" spans="1:10" x14ac:dyDescent="0.3">
      <c r="A1174" t="str">
        <f>"004144"</f>
        <v>004144</v>
      </c>
      <c r="B1174" t="s">
        <v>337</v>
      </c>
      <c r="C1174">
        <v>70934</v>
      </c>
      <c r="D1174" s="2">
        <v>1200</v>
      </c>
      <c r="E1174" s="1">
        <v>42898</v>
      </c>
      <c r="F1174" t="s">
        <v>10</v>
      </c>
      <c r="G1174" t="str">
        <f>"201706072912"</f>
        <v>201706072912</v>
      </c>
      <c r="H1174" t="str">
        <f>"SPD-20160786"</f>
        <v>SPD-20160786</v>
      </c>
      <c r="I1174" s="2">
        <v>250</v>
      </c>
      <c r="J1174" t="str">
        <f>"SPD-20160786"</f>
        <v>SPD-20160786</v>
      </c>
    </row>
    <row r="1175" spans="1:10" x14ac:dyDescent="0.3">
      <c r="A1175" t="str">
        <f>""</f>
        <v/>
      </c>
      <c r="F1175" t="s">
        <v>10</v>
      </c>
      <c r="G1175" t="str">
        <f>"201706072913"</f>
        <v>201706072913</v>
      </c>
      <c r="H1175" t="str">
        <f>"54 775"</f>
        <v>54 775</v>
      </c>
      <c r="I1175" s="2">
        <v>250</v>
      </c>
      <c r="J1175" t="str">
        <f>"54 775"</f>
        <v>54 775</v>
      </c>
    </row>
    <row r="1176" spans="1:10" x14ac:dyDescent="0.3">
      <c r="A1176" t="str">
        <f>""</f>
        <v/>
      </c>
      <c r="F1176" t="s">
        <v>10</v>
      </c>
      <c r="G1176" t="str">
        <f>"201706072914"</f>
        <v>201706072914</v>
      </c>
      <c r="H1176" t="str">
        <f>"54 880"</f>
        <v>54 880</v>
      </c>
      <c r="I1176" s="2">
        <v>250</v>
      </c>
      <c r="J1176" t="str">
        <f>"54 880"</f>
        <v>54 880</v>
      </c>
    </row>
    <row r="1177" spans="1:10" x14ac:dyDescent="0.3">
      <c r="A1177" t="str">
        <f>""</f>
        <v/>
      </c>
      <c r="F1177" t="s">
        <v>10</v>
      </c>
      <c r="G1177" t="str">
        <f>"201706072915"</f>
        <v>201706072915</v>
      </c>
      <c r="H1177" t="str">
        <f>"DETENTION HEARING"</f>
        <v>DETENTION HEARING</v>
      </c>
      <c r="I1177" s="2">
        <v>100</v>
      </c>
      <c r="J1177" t="str">
        <f>"DETENTION HEARING"</f>
        <v>DETENTION HEARING</v>
      </c>
    </row>
    <row r="1178" spans="1:10" x14ac:dyDescent="0.3">
      <c r="A1178" t="str">
        <f>""</f>
        <v/>
      </c>
      <c r="F1178" t="s">
        <v>10</v>
      </c>
      <c r="G1178" t="str">
        <f>"201706072916"</f>
        <v>201706072916</v>
      </c>
      <c r="H1178" t="str">
        <f>"J-3080"</f>
        <v>J-3080</v>
      </c>
      <c r="I1178" s="2">
        <v>250</v>
      </c>
      <c r="J1178" t="str">
        <f>"J-3080"</f>
        <v>J-3080</v>
      </c>
    </row>
    <row r="1179" spans="1:10" x14ac:dyDescent="0.3">
      <c r="A1179" t="str">
        <f>""</f>
        <v/>
      </c>
      <c r="F1179" t="s">
        <v>10</v>
      </c>
      <c r="G1179" t="str">
        <f>"201706072917"</f>
        <v>201706072917</v>
      </c>
      <c r="H1179" t="str">
        <f>"16-17698"</f>
        <v>16-17698</v>
      </c>
      <c r="I1179" s="2">
        <v>100</v>
      </c>
      <c r="J1179" t="str">
        <f>"16-17698"</f>
        <v>16-17698</v>
      </c>
    </row>
    <row r="1180" spans="1:10" x14ac:dyDescent="0.3">
      <c r="A1180" t="str">
        <f>"004144"</f>
        <v>004144</v>
      </c>
      <c r="B1180" t="s">
        <v>337</v>
      </c>
      <c r="C1180">
        <v>71244</v>
      </c>
      <c r="D1180" s="2">
        <v>350</v>
      </c>
      <c r="E1180" s="1">
        <v>42912</v>
      </c>
      <c r="F1180" t="s">
        <v>10</v>
      </c>
      <c r="G1180" t="str">
        <f>"201706143092"</f>
        <v>201706143092</v>
      </c>
      <c r="H1180" t="str">
        <f>"20160468"</f>
        <v>20160468</v>
      </c>
      <c r="I1180" s="2">
        <v>250</v>
      </c>
      <c r="J1180" t="str">
        <f>"20160468"</f>
        <v>20160468</v>
      </c>
    </row>
    <row r="1181" spans="1:10" x14ac:dyDescent="0.3">
      <c r="A1181" t="str">
        <f>""</f>
        <v/>
      </c>
      <c r="F1181" t="s">
        <v>10</v>
      </c>
      <c r="G1181" t="str">
        <f>"201706213222"</f>
        <v>201706213222</v>
      </c>
      <c r="H1181" t="str">
        <f>"JUVENILE"</f>
        <v>JUVENILE</v>
      </c>
      <c r="I1181" s="2">
        <v>100</v>
      </c>
      <c r="J1181" t="str">
        <f>"JUVENILE"</f>
        <v>JUVENILE</v>
      </c>
    </row>
    <row r="1182" spans="1:10" x14ac:dyDescent="0.3">
      <c r="A1182" t="str">
        <f>"TRIGA"</f>
        <v>TRIGA</v>
      </c>
      <c r="B1182" t="s">
        <v>338</v>
      </c>
      <c r="C1182">
        <v>71245</v>
      </c>
      <c r="D1182" s="2">
        <v>225.51</v>
      </c>
      <c r="E1182" s="1">
        <v>42912</v>
      </c>
      <c r="F1182" t="s">
        <v>10</v>
      </c>
      <c r="G1182" t="str">
        <f>"15536232"</f>
        <v>15536232</v>
      </c>
      <c r="H1182" t="str">
        <f>"CUST#41472/PCT#1"</f>
        <v>CUST#41472/PCT#1</v>
      </c>
      <c r="I1182" s="2">
        <v>20.73</v>
      </c>
      <c r="J1182" t="str">
        <f>"CUST#41472/PCT#1"</f>
        <v>CUST#41472/PCT#1</v>
      </c>
    </row>
    <row r="1183" spans="1:10" x14ac:dyDescent="0.3">
      <c r="A1183" t="str">
        <f>""</f>
        <v/>
      </c>
      <c r="F1183" t="s">
        <v>10</v>
      </c>
      <c r="G1183" t="str">
        <f>"15536343"</f>
        <v>15536343</v>
      </c>
      <c r="H1183" t="str">
        <f>"CUST#45057/PCT#4"</f>
        <v>CUST#45057/PCT#4</v>
      </c>
      <c r="I1183" s="2">
        <v>36.729999999999997</v>
      </c>
      <c r="J1183" t="str">
        <f>"CUST#45057/PCT#4"</f>
        <v>CUST#45057/PCT#4</v>
      </c>
    </row>
    <row r="1184" spans="1:10" x14ac:dyDescent="0.3">
      <c r="A1184" t="str">
        <f>""</f>
        <v/>
      </c>
      <c r="F1184" t="s">
        <v>10</v>
      </c>
      <c r="G1184" t="str">
        <f>"15536413"</f>
        <v>15536413</v>
      </c>
      <c r="H1184" t="str">
        <f>"MONTHLY RENTAL"</f>
        <v>MONTHLY RENTAL</v>
      </c>
      <c r="I1184" s="2">
        <v>49.12</v>
      </c>
      <c r="J1184" t="str">
        <f>"MONTHLY RENTAL"</f>
        <v>MONTHLY RENTAL</v>
      </c>
    </row>
    <row r="1185" spans="1:10" x14ac:dyDescent="0.3">
      <c r="A1185" t="str">
        <f>""</f>
        <v/>
      </c>
      <c r="F1185" t="s">
        <v>10</v>
      </c>
      <c r="G1185" t="str">
        <f>"15544760/15493187"</f>
        <v>15544760/15493187</v>
      </c>
      <c r="H1185" t="str">
        <f>"CUST#S9547/PCT#1"</f>
        <v>CUST#S9547/PCT#1</v>
      </c>
      <c r="I1185" s="2">
        <v>118.93</v>
      </c>
      <c r="J1185" t="str">
        <f>"CUST#S9547/PCT#1"</f>
        <v>CUST#S9547/PCT#1</v>
      </c>
    </row>
    <row r="1186" spans="1:10" x14ac:dyDescent="0.3">
      <c r="A1186" t="str">
        <f>"MC COY"</f>
        <v>MC COY</v>
      </c>
      <c r="B1186" t="s">
        <v>339</v>
      </c>
      <c r="C1186">
        <v>71246</v>
      </c>
      <c r="D1186" s="2">
        <v>582.21</v>
      </c>
      <c r="E1186" s="1">
        <v>42912</v>
      </c>
      <c r="F1186" t="s">
        <v>10</v>
      </c>
      <c r="G1186" t="str">
        <f>"637929 638187 6401"</f>
        <v>637929 638187 6401</v>
      </c>
      <c r="H1186" t="str">
        <f>"ACCT#900-98011130001/PCT1/SIGN"</f>
        <v>ACCT#900-98011130001/PCT1/SIGN</v>
      </c>
      <c r="I1186" s="2">
        <v>89.32</v>
      </c>
      <c r="J1186" t="str">
        <f>"ACCT#900-98011130 001"</f>
        <v>ACCT#900-98011130 001</v>
      </c>
    </row>
    <row r="1187" spans="1:10" x14ac:dyDescent="0.3">
      <c r="A1187" t="str">
        <f>""</f>
        <v/>
      </c>
      <c r="F1187" t="s">
        <v>10</v>
      </c>
      <c r="G1187" t="str">
        <f>"638838 639377/9435"</f>
        <v>638838 639377/9435</v>
      </c>
      <c r="H1187" t="str">
        <f>"ACCT#900-98011130 001"</f>
        <v>ACCT#900-98011130 001</v>
      </c>
      <c r="I1187" s="2">
        <v>204.8</v>
      </c>
      <c r="J1187" t="str">
        <f>"ACCT#900-98011130 001"</f>
        <v>ACCT#900-98011130 001</v>
      </c>
    </row>
    <row r="1188" spans="1:10" x14ac:dyDescent="0.3">
      <c r="A1188" t="str">
        <f>""</f>
        <v/>
      </c>
      <c r="G1188" t="str">
        <f>""</f>
        <v/>
      </c>
      <c r="H1188" t="str">
        <f>""</f>
        <v/>
      </c>
      <c r="J1188" t="str">
        <f>"ACCT#900-98011130 001"</f>
        <v>ACCT#900-98011130 001</v>
      </c>
    </row>
    <row r="1189" spans="1:10" x14ac:dyDescent="0.3">
      <c r="A1189" t="str">
        <f>""</f>
        <v/>
      </c>
      <c r="F1189" t="s">
        <v>10</v>
      </c>
      <c r="G1189" t="str">
        <f>"638861/639642"</f>
        <v>638861/639642</v>
      </c>
      <c r="H1189" t="str">
        <f>"ACCT#900-98011130 001/PCT#3"</f>
        <v>ACCT#900-98011130 001/PCT#3</v>
      </c>
      <c r="I1189" s="2">
        <v>288.08999999999997</v>
      </c>
      <c r="J1189" t="str">
        <f>"ACCT#900-98011130 001/PCT#3"</f>
        <v>ACCT#900-98011130 001/PCT#3</v>
      </c>
    </row>
    <row r="1190" spans="1:10" x14ac:dyDescent="0.3">
      <c r="A1190" t="str">
        <f>"MC CRE"</f>
        <v>MC CRE</v>
      </c>
      <c r="B1190" t="s">
        <v>340</v>
      </c>
      <c r="C1190">
        <v>70935</v>
      </c>
      <c r="D1190" s="2">
        <v>14566.96</v>
      </c>
      <c r="E1190" s="1">
        <v>42898</v>
      </c>
      <c r="F1190" t="s">
        <v>10</v>
      </c>
      <c r="G1190" t="s">
        <v>64</v>
      </c>
      <c r="H1190" t="s">
        <v>65</v>
      </c>
      <c r="I1190" s="2" t="str">
        <f>"ABST FEE-3/14/2017"</f>
        <v>ABST FEE-3/14/2017</v>
      </c>
      <c r="J1190" t="str">
        <f>"995-4110"</f>
        <v>995-4110</v>
      </c>
    </row>
    <row r="1191" spans="1:10" x14ac:dyDescent="0.3">
      <c r="A1191" t="str">
        <f>""</f>
        <v/>
      </c>
      <c r="F1191" t="s">
        <v>10</v>
      </c>
      <c r="G1191" t="s">
        <v>64</v>
      </c>
      <c r="H1191" t="s">
        <v>67</v>
      </c>
      <c r="I1191" s="2" t="str">
        <f>"SERVICE 03/29/2017"</f>
        <v>SERVICE 03/29/2017</v>
      </c>
      <c r="J1191" t="str">
        <f>"995-4110"</f>
        <v>995-4110</v>
      </c>
    </row>
    <row r="1192" spans="1:10" x14ac:dyDescent="0.3">
      <c r="A1192" t="str">
        <f>""</f>
        <v/>
      </c>
      <c r="F1192" t="s">
        <v>10</v>
      </c>
      <c r="G1192" t="s">
        <v>64</v>
      </c>
      <c r="H1192" t="s">
        <v>341</v>
      </c>
      <c r="I1192" s="2" t="str">
        <f>"SERVICE 03/27/2017"</f>
        <v>SERVICE 03/27/2017</v>
      </c>
      <c r="J1192" t="str">
        <f>"995-4110"</f>
        <v>995-4110</v>
      </c>
    </row>
    <row r="1193" spans="1:10" x14ac:dyDescent="0.3">
      <c r="A1193" t="str">
        <f>""</f>
        <v/>
      </c>
      <c r="F1193" t="s">
        <v>10</v>
      </c>
      <c r="G1193" t="str">
        <f>"10034"</f>
        <v>10034</v>
      </c>
      <c r="H1193" t="str">
        <f>"SERVICE-3/31/2017"</f>
        <v>SERVICE-3/31/2017</v>
      </c>
      <c r="I1193" s="2">
        <v>130</v>
      </c>
      <c r="J1193" t="str">
        <f>"SERVICE-3/31/2017"</f>
        <v>SERVICE-3/31/2017</v>
      </c>
    </row>
    <row r="1194" spans="1:10" x14ac:dyDescent="0.3">
      <c r="A1194" t="str">
        <f>""</f>
        <v/>
      </c>
      <c r="F1194" t="s">
        <v>10</v>
      </c>
      <c r="G1194" t="s">
        <v>68</v>
      </c>
      <c r="H1194" t="s">
        <v>70</v>
      </c>
      <c r="I1194" s="2" t="str">
        <f>"SERVICE 03/22/2017"</f>
        <v>SERVICE 03/22/2017</v>
      </c>
      <c r="J1194" t="str">
        <f>"995-4110"</f>
        <v>995-4110</v>
      </c>
    </row>
    <row r="1195" spans="1:10" x14ac:dyDescent="0.3">
      <c r="A1195" t="str">
        <f>""</f>
        <v/>
      </c>
      <c r="F1195" t="s">
        <v>10</v>
      </c>
      <c r="G1195" t="s">
        <v>68</v>
      </c>
      <c r="H1195" t="s">
        <v>71</v>
      </c>
      <c r="I1195" s="2" t="str">
        <f>"ABST FEE-$175 &amp; SERVICE-$65"</f>
        <v>ABST FEE-$175 &amp; SERVICE-$65</v>
      </c>
      <c r="J1195" t="str">
        <f>"995-4110"</f>
        <v>995-4110</v>
      </c>
    </row>
    <row r="1196" spans="1:10" x14ac:dyDescent="0.3">
      <c r="A1196" t="str">
        <f>""</f>
        <v/>
      </c>
      <c r="F1196" t="s">
        <v>10</v>
      </c>
      <c r="G1196" t="s">
        <v>68</v>
      </c>
      <c r="H1196" t="s">
        <v>342</v>
      </c>
      <c r="I1196" s="2" t="str">
        <f>"SERVICE 03/28/2017"</f>
        <v>SERVICE 03/28/2017</v>
      </c>
      <c r="J1196" t="str">
        <f>"995-4110"</f>
        <v>995-4110</v>
      </c>
    </row>
    <row r="1197" spans="1:10" x14ac:dyDescent="0.3">
      <c r="A1197" t="str">
        <f>""</f>
        <v/>
      </c>
      <c r="F1197" t="s">
        <v>10</v>
      </c>
      <c r="G1197" t="s">
        <v>68</v>
      </c>
      <c r="H1197" t="s">
        <v>73</v>
      </c>
      <c r="I1197" s="2" t="str">
        <f>"SERVICE 03/29/2017"</f>
        <v>SERVICE 03/29/2017</v>
      </c>
      <c r="J1197" t="str">
        <f>"995-4110"</f>
        <v>995-4110</v>
      </c>
    </row>
    <row r="1198" spans="1:10" x14ac:dyDescent="0.3">
      <c r="A1198" t="str">
        <f>""</f>
        <v/>
      </c>
      <c r="F1198" t="s">
        <v>10</v>
      </c>
      <c r="G1198" t="str">
        <f>"11861"</f>
        <v>11861</v>
      </c>
      <c r="H1198" t="str">
        <f>"SERVICE 03/06/2017"</f>
        <v>SERVICE 03/06/2017</v>
      </c>
      <c r="I1198" s="2">
        <v>175</v>
      </c>
      <c r="J1198" t="str">
        <f>"SERVICE 03/06/2017"</f>
        <v>SERVICE 03/06/2017</v>
      </c>
    </row>
    <row r="1199" spans="1:10" x14ac:dyDescent="0.3">
      <c r="A1199" t="str">
        <f>""</f>
        <v/>
      </c>
      <c r="F1199" t="s">
        <v>10</v>
      </c>
      <c r="G1199" t="str">
        <f>"11890"</f>
        <v>11890</v>
      </c>
      <c r="H1199" t="str">
        <f>"SERVICE 03/15/2017"</f>
        <v>SERVICE 03/15/2017</v>
      </c>
      <c r="I1199" s="2">
        <v>175</v>
      </c>
      <c r="J1199" t="str">
        <f>"SERVICE 03/15/2017"</f>
        <v>SERVICE 03/15/2017</v>
      </c>
    </row>
    <row r="1200" spans="1:10" x14ac:dyDescent="0.3">
      <c r="A1200" t="str">
        <f>""</f>
        <v/>
      </c>
      <c r="F1200" t="s">
        <v>10</v>
      </c>
      <c r="G1200" t="s">
        <v>74</v>
      </c>
      <c r="H1200" t="s">
        <v>75</v>
      </c>
      <c r="I1200" s="2" t="str">
        <f>"ABST FEE-3/24/2017"</f>
        <v>ABST FEE-3/24/2017</v>
      </c>
      <c r="J1200" t="str">
        <f t="shared" ref="J1200:J1206" si="7">"995-4110"</f>
        <v>995-4110</v>
      </c>
    </row>
    <row r="1201" spans="1:10" x14ac:dyDescent="0.3">
      <c r="A1201" t="str">
        <f>""</f>
        <v/>
      </c>
      <c r="F1201" t="s">
        <v>10</v>
      </c>
      <c r="G1201" t="s">
        <v>74</v>
      </c>
      <c r="H1201" t="s">
        <v>76</v>
      </c>
      <c r="I1201" s="2" t="str">
        <f>"ABST FEE-3/24/2017"</f>
        <v>ABST FEE-3/24/2017</v>
      </c>
      <c r="J1201" t="str">
        <f t="shared" si="7"/>
        <v>995-4110</v>
      </c>
    </row>
    <row r="1202" spans="1:10" x14ac:dyDescent="0.3">
      <c r="A1202" t="str">
        <f>""</f>
        <v/>
      </c>
      <c r="F1202" t="s">
        <v>10</v>
      </c>
      <c r="G1202" t="s">
        <v>74</v>
      </c>
      <c r="H1202" t="s">
        <v>77</v>
      </c>
      <c r="I1202" s="2" t="str">
        <f>"ABST FEE-3/24/2017"</f>
        <v>ABST FEE-3/24/2017</v>
      </c>
      <c r="J1202" t="str">
        <f t="shared" si="7"/>
        <v>995-4110</v>
      </c>
    </row>
    <row r="1203" spans="1:10" x14ac:dyDescent="0.3">
      <c r="A1203" t="str">
        <f>""</f>
        <v/>
      </c>
      <c r="F1203" t="s">
        <v>10</v>
      </c>
      <c r="G1203" t="s">
        <v>74</v>
      </c>
      <c r="H1203" t="s">
        <v>78</v>
      </c>
      <c r="I1203" s="2" t="str">
        <f>"ABST FEE-$175 &amp; SERVICE-$55"</f>
        <v>ABST FEE-$175 &amp; SERVICE-$55</v>
      </c>
      <c r="J1203" t="str">
        <f t="shared" si="7"/>
        <v>995-4110</v>
      </c>
    </row>
    <row r="1204" spans="1:10" x14ac:dyDescent="0.3">
      <c r="A1204" t="str">
        <f>""</f>
        <v/>
      </c>
      <c r="F1204" t="s">
        <v>10</v>
      </c>
      <c r="G1204" t="s">
        <v>74</v>
      </c>
      <c r="H1204" t="s">
        <v>343</v>
      </c>
      <c r="I1204" s="2" t="str">
        <f>"SERVICE 03/22/2017"</f>
        <v>SERVICE 03/22/2017</v>
      </c>
      <c r="J1204" t="str">
        <f t="shared" si="7"/>
        <v>995-4110</v>
      </c>
    </row>
    <row r="1205" spans="1:10" x14ac:dyDescent="0.3">
      <c r="A1205" t="str">
        <f>""</f>
        <v/>
      </c>
      <c r="F1205" t="s">
        <v>10</v>
      </c>
      <c r="G1205" t="s">
        <v>74</v>
      </c>
      <c r="H1205" t="s">
        <v>344</v>
      </c>
      <c r="I1205" s="2" t="str">
        <f>"SERVICE 03/22/2017"</f>
        <v>SERVICE 03/22/2017</v>
      </c>
      <c r="J1205" t="str">
        <f t="shared" si="7"/>
        <v>995-4110</v>
      </c>
    </row>
    <row r="1206" spans="1:10" x14ac:dyDescent="0.3">
      <c r="A1206" t="str">
        <f>""</f>
        <v/>
      </c>
      <c r="F1206" t="s">
        <v>10</v>
      </c>
      <c r="G1206" t="s">
        <v>74</v>
      </c>
      <c r="H1206" t="s">
        <v>79</v>
      </c>
      <c r="I1206" s="2" t="str">
        <f>"SERVICE 03/22/2017"</f>
        <v>SERVICE 03/22/2017</v>
      </c>
      <c r="J1206" t="str">
        <f t="shared" si="7"/>
        <v>995-4110</v>
      </c>
    </row>
    <row r="1207" spans="1:10" x14ac:dyDescent="0.3">
      <c r="A1207" t="str">
        <f>""</f>
        <v/>
      </c>
      <c r="F1207" t="s">
        <v>10</v>
      </c>
      <c r="G1207" t="str">
        <f>"12000"</f>
        <v>12000</v>
      </c>
      <c r="H1207" t="str">
        <f>"SERVICE 03/06/2017"</f>
        <v>SERVICE 03/06/2017</v>
      </c>
      <c r="I1207" s="2">
        <v>175</v>
      </c>
      <c r="J1207" t="str">
        <f>"SERVICE 03/06/2017"</f>
        <v>SERVICE 03/06/2017</v>
      </c>
    </row>
    <row r="1208" spans="1:10" x14ac:dyDescent="0.3">
      <c r="A1208" t="str">
        <f>""</f>
        <v/>
      </c>
      <c r="F1208" t="s">
        <v>10</v>
      </c>
      <c r="G1208" t="str">
        <f>"12065"</f>
        <v>12065</v>
      </c>
      <c r="H1208" t="str">
        <f>"SERVICE 03/08/2017"</f>
        <v>SERVICE 03/08/2017</v>
      </c>
      <c r="I1208" s="2">
        <v>175</v>
      </c>
      <c r="J1208" t="str">
        <f>"SERVICE 03/08/2017"</f>
        <v>SERVICE 03/08/2017</v>
      </c>
    </row>
    <row r="1209" spans="1:10" x14ac:dyDescent="0.3">
      <c r="A1209" t="str">
        <f>""</f>
        <v/>
      </c>
      <c r="F1209" t="s">
        <v>10</v>
      </c>
      <c r="G1209" t="str">
        <f>"12364"</f>
        <v>12364</v>
      </c>
      <c r="H1209" t="str">
        <f>"SERVICE 03/06/2017"</f>
        <v>SERVICE 03/06/2017</v>
      </c>
      <c r="I1209" s="2">
        <v>175</v>
      </c>
      <c r="J1209" t="str">
        <f>"SERVICE 03/06/2017"</f>
        <v>SERVICE 03/06/2017</v>
      </c>
    </row>
    <row r="1210" spans="1:10" x14ac:dyDescent="0.3">
      <c r="A1210" t="str">
        <f>""</f>
        <v/>
      </c>
      <c r="F1210" t="s">
        <v>10</v>
      </c>
      <c r="G1210" t="str">
        <f>"12366"</f>
        <v>12366</v>
      </c>
      <c r="H1210" t="str">
        <f>"SERVICE 03/06/2017"</f>
        <v>SERVICE 03/06/2017</v>
      </c>
      <c r="I1210" s="2">
        <v>175</v>
      </c>
      <c r="J1210" t="str">
        <f>"SERVICE 03/06/2017"</f>
        <v>SERVICE 03/06/2017</v>
      </c>
    </row>
    <row r="1211" spans="1:10" x14ac:dyDescent="0.3">
      <c r="A1211" t="str">
        <f>""</f>
        <v/>
      </c>
      <c r="F1211" t="s">
        <v>10</v>
      </c>
      <c r="G1211" t="str">
        <f>"12370"</f>
        <v>12370</v>
      </c>
      <c r="H1211" t="str">
        <f>"ABST FEE-3/14/2017"</f>
        <v>ABST FEE-3/14/2017</v>
      </c>
      <c r="I1211" s="2">
        <v>175</v>
      </c>
      <c r="J1211" t="str">
        <f>"ABST FEE-3/14/2017"</f>
        <v>ABST FEE-3/14/2017</v>
      </c>
    </row>
    <row r="1212" spans="1:10" x14ac:dyDescent="0.3">
      <c r="A1212" t="str">
        <f>""</f>
        <v/>
      </c>
      <c r="F1212" t="s">
        <v>10</v>
      </c>
      <c r="G1212" t="str">
        <f>"12411"</f>
        <v>12411</v>
      </c>
      <c r="H1212" t="str">
        <f>"ABST FEE/3-31-2017"</f>
        <v>ABST FEE/3-31-2017</v>
      </c>
      <c r="I1212" s="2">
        <v>175</v>
      </c>
      <c r="J1212" t="str">
        <f>"ABST FEE/3/31/2017"</f>
        <v>ABST FEE/3/31/2017</v>
      </c>
    </row>
    <row r="1213" spans="1:10" x14ac:dyDescent="0.3">
      <c r="A1213" t="str">
        <f>""</f>
        <v/>
      </c>
      <c r="F1213" t="s">
        <v>10</v>
      </c>
      <c r="G1213" t="str">
        <f>"12414"</f>
        <v>12414</v>
      </c>
      <c r="H1213" t="str">
        <f>"SERVICE 03/07/2017"</f>
        <v>SERVICE 03/07/2017</v>
      </c>
      <c r="I1213" s="2">
        <v>175</v>
      </c>
      <c r="J1213" t="str">
        <f>"SERVICE 03/07/2017"</f>
        <v>SERVICE 03/07/2017</v>
      </c>
    </row>
    <row r="1214" spans="1:10" x14ac:dyDescent="0.3">
      <c r="A1214" t="str">
        <f>""</f>
        <v/>
      </c>
      <c r="F1214" t="s">
        <v>10</v>
      </c>
      <c r="G1214" t="str">
        <f>"12420"</f>
        <v>12420</v>
      </c>
      <c r="H1214" t="str">
        <f>"SERVICE 03/20/2017"</f>
        <v>SERVICE 03/20/2017</v>
      </c>
      <c r="I1214" s="2">
        <v>175</v>
      </c>
      <c r="J1214" t="str">
        <f>"SERVICE 03/20/2017"</f>
        <v>SERVICE 03/20/2017</v>
      </c>
    </row>
    <row r="1215" spans="1:10" x14ac:dyDescent="0.3">
      <c r="A1215" t="str">
        <f>""</f>
        <v/>
      </c>
      <c r="F1215" t="s">
        <v>10</v>
      </c>
      <c r="G1215" t="str">
        <f>"12443"</f>
        <v>12443</v>
      </c>
      <c r="H1215" t="str">
        <f>"SERVICE 03/08/2017"</f>
        <v>SERVICE 03/08/2017</v>
      </c>
      <c r="I1215" s="2">
        <v>175</v>
      </c>
      <c r="J1215" t="str">
        <f>"SERVICE 03/08/2017"</f>
        <v>SERVICE 03/08/2017</v>
      </c>
    </row>
    <row r="1216" spans="1:10" x14ac:dyDescent="0.3">
      <c r="A1216" t="str">
        <f>""</f>
        <v/>
      </c>
      <c r="F1216" t="s">
        <v>10</v>
      </c>
      <c r="G1216" t="str">
        <f>"12509"</f>
        <v>12509</v>
      </c>
      <c r="H1216" t="str">
        <f>"SERVICE/3-13-2017"</f>
        <v>SERVICE/3-13-2017</v>
      </c>
      <c r="I1216" s="2">
        <v>175</v>
      </c>
      <c r="J1216" t="str">
        <f>"SERVICE 03/13/2017"</f>
        <v>SERVICE 03/13/2017</v>
      </c>
    </row>
    <row r="1217" spans="1:10" x14ac:dyDescent="0.3">
      <c r="A1217" t="str">
        <f>""</f>
        <v/>
      </c>
      <c r="F1217" t="s">
        <v>10</v>
      </c>
      <c r="G1217" t="str">
        <f>"12521 3/31/2017"</f>
        <v>12521 3/31/2017</v>
      </c>
      <c r="H1217" t="str">
        <f>"ABST FEE/3-31-2017"</f>
        <v>ABST FEE/3-31-2017</v>
      </c>
      <c r="I1217" s="2">
        <v>33</v>
      </c>
      <c r="J1217" t="str">
        <f>"SERVICE/3-31-2017"</f>
        <v>SERVICE/3-31-2017</v>
      </c>
    </row>
    <row r="1218" spans="1:10" x14ac:dyDescent="0.3">
      <c r="A1218" t="str">
        <f>""</f>
        <v/>
      </c>
      <c r="F1218" t="s">
        <v>10</v>
      </c>
      <c r="G1218" t="str">
        <f>"12556"</f>
        <v>12556</v>
      </c>
      <c r="H1218" t="str">
        <f>"SERVICE 03/21/2017"</f>
        <v>SERVICE 03/21/2017</v>
      </c>
      <c r="I1218" s="2">
        <v>175</v>
      </c>
      <c r="J1218" t="str">
        <f>"SERVICE 03/21/2017"</f>
        <v>SERVICE 03/21/2017</v>
      </c>
    </row>
    <row r="1219" spans="1:10" x14ac:dyDescent="0.3">
      <c r="A1219" t="str">
        <f>""</f>
        <v/>
      </c>
      <c r="F1219" t="s">
        <v>10</v>
      </c>
      <c r="G1219" t="str">
        <f>"12564"</f>
        <v>12564</v>
      </c>
      <c r="H1219" t="str">
        <f>"SERVICE 03/10/2017"</f>
        <v>SERVICE 03/10/2017</v>
      </c>
      <c r="I1219" s="2">
        <v>175</v>
      </c>
      <c r="J1219" t="str">
        <f>"SERVICE 03/10/2017"</f>
        <v>SERVICE 03/10/2017</v>
      </c>
    </row>
    <row r="1220" spans="1:10" x14ac:dyDescent="0.3">
      <c r="A1220" t="str">
        <f>""</f>
        <v/>
      </c>
      <c r="F1220" t="s">
        <v>10</v>
      </c>
      <c r="G1220" t="str">
        <f>"12643"</f>
        <v>12643</v>
      </c>
      <c r="H1220" t="str">
        <f>"SERVICE 03/06/2017"</f>
        <v>SERVICE 03/06/2017</v>
      </c>
      <c r="I1220" s="2">
        <v>225</v>
      </c>
      <c r="J1220" t="str">
        <f>"SERVICE 03/06/2017"</f>
        <v>SERVICE 03/06/2017</v>
      </c>
    </row>
    <row r="1221" spans="1:10" x14ac:dyDescent="0.3">
      <c r="A1221" t="str">
        <f>""</f>
        <v/>
      </c>
      <c r="F1221" t="s">
        <v>10</v>
      </c>
      <c r="G1221" t="str">
        <f>"201706052619"</f>
        <v>201706052619</v>
      </c>
      <c r="H1221" t="str">
        <f>"SERVICE FEE MAY 2017"</f>
        <v>SERVICE FEE MAY 2017</v>
      </c>
      <c r="I1221" s="2">
        <v>9025.9599999999991</v>
      </c>
      <c r="J1221" t="str">
        <f>"SERVICE FEE MAY 2017"</f>
        <v>SERVICE FEE MAY 2017</v>
      </c>
    </row>
    <row r="1222" spans="1:10" x14ac:dyDescent="0.3">
      <c r="A1222" t="str">
        <f>"MC CRE"</f>
        <v>MC CRE</v>
      </c>
      <c r="B1222" t="s">
        <v>340</v>
      </c>
      <c r="C1222">
        <v>71247</v>
      </c>
      <c r="D1222" s="2">
        <v>2110</v>
      </c>
      <c r="E1222" s="1">
        <v>42912</v>
      </c>
      <c r="F1222" t="s">
        <v>10</v>
      </c>
      <c r="G1222" t="str">
        <f>"11404"</f>
        <v>11404</v>
      </c>
      <c r="H1222" t="str">
        <f>"ABST FEE-4/4/17"</f>
        <v>ABST FEE-4/4/17</v>
      </c>
      <c r="I1222" s="2">
        <v>175</v>
      </c>
      <c r="J1222" t="str">
        <f>"ABST FEE-4/4/17"</f>
        <v>ABST FEE-4/4/17</v>
      </c>
    </row>
    <row r="1223" spans="1:10" x14ac:dyDescent="0.3">
      <c r="A1223" t="str">
        <f>""</f>
        <v/>
      </c>
      <c r="F1223" t="s">
        <v>10</v>
      </c>
      <c r="G1223" t="s">
        <v>74</v>
      </c>
      <c r="H1223" t="s">
        <v>345</v>
      </c>
      <c r="I1223" s="2" t="str">
        <f>"PRINTER FEE-4/10/17"</f>
        <v>PRINTER FEE-4/10/17</v>
      </c>
      <c r="J1223" t="str">
        <f>"995-4110"</f>
        <v>995-4110</v>
      </c>
    </row>
    <row r="1224" spans="1:10" x14ac:dyDescent="0.3">
      <c r="A1224" t="str">
        <f>""</f>
        <v/>
      </c>
      <c r="F1224" t="s">
        <v>10</v>
      </c>
      <c r="G1224" t="str">
        <f>"12440"</f>
        <v>12440</v>
      </c>
      <c r="H1224" t="str">
        <f>"ABST FEE-3/24/17"</f>
        <v>ABST FEE-3/24/17</v>
      </c>
      <c r="I1224" s="2">
        <v>175</v>
      </c>
      <c r="J1224" t="str">
        <f>"ABST FEE-3/24/17"</f>
        <v>ABST FEE-3/24/17</v>
      </c>
    </row>
    <row r="1225" spans="1:10" x14ac:dyDescent="0.3">
      <c r="A1225" t="str">
        <f>""</f>
        <v/>
      </c>
      <c r="F1225" t="s">
        <v>10</v>
      </c>
      <c r="G1225" t="str">
        <f>"12444"</f>
        <v>12444</v>
      </c>
      <c r="H1225" t="str">
        <f>"ABST FEE-3/24/17"</f>
        <v>ABST FEE-3/24/17</v>
      </c>
      <c r="I1225" s="2">
        <v>175</v>
      </c>
      <c r="J1225" t="str">
        <f>"ABST FEE-3/24/17"</f>
        <v>ABST FEE-3/24/17</v>
      </c>
    </row>
    <row r="1226" spans="1:10" x14ac:dyDescent="0.3">
      <c r="A1226" t="str">
        <f>""</f>
        <v/>
      </c>
      <c r="F1226" t="s">
        <v>10</v>
      </c>
      <c r="G1226" t="str">
        <f>"12473"</f>
        <v>12473</v>
      </c>
      <c r="H1226" t="str">
        <f>"ABST FEE-3/24/17"</f>
        <v>ABST FEE-3/24/17</v>
      </c>
      <c r="I1226" s="2">
        <v>175</v>
      </c>
      <c r="J1226" t="str">
        <f>"ABST FEE-3/24/17"</f>
        <v>ABST FEE-3/24/17</v>
      </c>
    </row>
    <row r="1227" spans="1:10" x14ac:dyDescent="0.3">
      <c r="A1227" t="str">
        <f>""</f>
        <v/>
      </c>
      <c r="F1227" t="s">
        <v>10</v>
      </c>
      <c r="G1227" t="str">
        <f>"12492"</f>
        <v>12492</v>
      </c>
      <c r="H1227" t="str">
        <f>"ABST FEE-4/4/17"</f>
        <v>ABST FEE-4/4/17</v>
      </c>
      <c r="I1227" s="2">
        <v>175</v>
      </c>
      <c r="J1227" t="str">
        <f>"ABST FEE-4/4/17"</f>
        <v>ABST FEE-4/4/17</v>
      </c>
    </row>
    <row r="1228" spans="1:10" x14ac:dyDescent="0.3">
      <c r="A1228" t="str">
        <f>""</f>
        <v/>
      </c>
      <c r="F1228" t="s">
        <v>10</v>
      </c>
      <c r="G1228" t="str">
        <f>"12501"</f>
        <v>12501</v>
      </c>
      <c r="H1228" t="str">
        <f>"ABST FEE-3/24/17"</f>
        <v>ABST FEE-3/24/17</v>
      </c>
      <c r="I1228" s="2">
        <v>175</v>
      </c>
      <c r="J1228" t="str">
        <f>"ABST FEE-3/24/17"</f>
        <v>ABST FEE-3/24/17</v>
      </c>
    </row>
    <row r="1229" spans="1:10" x14ac:dyDescent="0.3">
      <c r="A1229" t="str">
        <f>""</f>
        <v/>
      </c>
      <c r="F1229" t="s">
        <v>10</v>
      </c>
      <c r="G1229" t="str">
        <f>"12503"</f>
        <v>12503</v>
      </c>
      <c r="H1229" t="str">
        <f>"ABST FEE-3/24/17"</f>
        <v>ABST FEE-3/24/17</v>
      </c>
      <c r="I1229" s="2">
        <v>175</v>
      </c>
      <c r="J1229" t="str">
        <f>"ABST FEE-3/24/17"</f>
        <v>ABST FEE-3/24/17</v>
      </c>
    </row>
    <row r="1230" spans="1:10" x14ac:dyDescent="0.3">
      <c r="A1230" t="str">
        <f>""</f>
        <v/>
      </c>
      <c r="F1230" t="s">
        <v>10</v>
      </c>
      <c r="G1230" t="str">
        <f>"12522"</f>
        <v>12522</v>
      </c>
      <c r="H1230" t="str">
        <f>"ABST FEE-3/24/17"</f>
        <v>ABST FEE-3/24/17</v>
      </c>
      <c r="I1230" s="2">
        <v>175</v>
      </c>
      <c r="J1230" t="str">
        <f>"ABST FEE-3/24/17"</f>
        <v>ABST FEE-3/24/17</v>
      </c>
    </row>
    <row r="1231" spans="1:10" x14ac:dyDescent="0.3">
      <c r="A1231" t="str">
        <f>""</f>
        <v/>
      </c>
      <c r="F1231" t="s">
        <v>10</v>
      </c>
      <c r="G1231" t="str">
        <f>"12636"</f>
        <v>12636</v>
      </c>
      <c r="H1231" t="str">
        <f>"ABST FEE-4/4/17"</f>
        <v>ABST FEE-4/4/17</v>
      </c>
      <c r="I1231" s="2">
        <v>225</v>
      </c>
      <c r="J1231" t="str">
        <f>"ABST FEE-4/4/17"</f>
        <v>ABST FEE-4/4/17</v>
      </c>
    </row>
    <row r="1232" spans="1:10" x14ac:dyDescent="0.3">
      <c r="A1232" t="str">
        <f>""</f>
        <v/>
      </c>
      <c r="F1232" t="s">
        <v>10</v>
      </c>
      <c r="G1232" t="str">
        <f>"6925"</f>
        <v>6925</v>
      </c>
      <c r="H1232" t="str">
        <f>"ABST FEE-3/24/2017"</f>
        <v>ABST FEE-3/24/2017</v>
      </c>
      <c r="I1232" s="2">
        <v>300</v>
      </c>
      <c r="J1232" t="str">
        <f>"ABST FEE-3/24/2017"</f>
        <v>ABST FEE-3/24/2017</v>
      </c>
    </row>
    <row r="1233" spans="1:10" x14ac:dyDescent="0.3">
      <c r="A1233" t="str">
        <f>""</f>
        <v/>
      </c>
      <c r="F1233" t="s">
        <v>10</v>
      </c>
      <c r="G1233" t="str">
        <f>"7398"</f>
        <v>7398</v>
      </c>
      <c r="H1233" t="str">
        <f>"SERVICE (SOS)-3/24/2017"</f>
        <v>SERVICE (SOS)-3/24/2017</v>
      </c>
      <c r="I1233" s="2">
        <v>110</v>
      </c>
      <c r="J1233" t="str">
        <f>"SERVICE (SOS)-3/24/2017"</f>
        <v>SERVICE (SOS)-3/24/2017</v>
      </c>
    </row>
    <row r="1234" spans="1:10" x14ac:dyDescent="0.3">
      <c r="A1234" t="str">
        <f>"002271"</f>
        <v>002271</v>
      </c>
      <c r="B1234" t="s">
        <v>346</v>
      </c>
      <c r="C1234">
        <v>70936</v>
      </c>
      <c r="D1234" s="2">
        <v>1706.52</v>
      </c>
      <c r="E1234" s="1">
        <v>42898</v>
      </c>
      <c r="F1234" t="s">
        <v>10</v>
      </c>
      <c r="G1234" t="str">
        <f>"201706072852"</f>
        <v>201706072852</v>
      </c>
      <c r="H1234" t="str">
        <f>"INDIGENT HEALTH"</f>
        <v>INDIGENT HEALTH</v>
      </c>
      <c r="I1234" s="2">
        <v>1706.52</v>
      </c>
      <c r="J1234" t="str">
        <f>"INDIGENT HEALTH"</f>
        <v>INDIGENT HEALTH</v>
      </c>
    </row>
    <row r="1235" spans="1:10" x14ac:dyDescent="0.3">
      <c r="A1235" t="str">
        <f>"002271"</f>
        <v>002271</v>
      </c>
      <c r="B1235" t="s">
        <v>346</v>
      </c>
      <c r="C1235">
        <v>71248</v>
      </c>
      <c r="D1235" s="2">
        <v>2148.5500000000002</v>
      </c>
      <c r="E1235" s="1">
        <v>42912</v>
      </c>
      <c r="F1235" t="s">
        <v>10</v>
      </c>
      <c r="G1235" t="str">
        <f>"201706213232"</f>
        <v>201706213232</v>
      </c>
      <c r="H1235" t="str">
        <f>"INDIGENT HEALTH"</f>
        <v>INDIGENT HEALTH</v>
      </c>
      <c r="I1235" s="2">
        <v>2148.5500000000002</v>
      </c>
      <c r="J1235" t="str">
        <f>"INDIGENT HEALTH"</f>
        <v>INDIGENT HEALTH</v>
      </c>
    </row>
    <row r="1236" spans="1:10" x14ac:dyDescent="0.3">
      <c r="A1236" t="str">
        <f>"003745"</f>
        <v>003745</v>
      </c>
      <c r="B1236" t="s">
        <v>347</v>
      </c>
      <c r="C1236">
        <v>70937</v>
      </c>
      <c r="D1236" s="2">
        <v>25</v>
      </c>
      <c r="E1236" s="1">
        <v>42898</v>
      </c>
      <c r="F1236" t="s">
        <v>10</v>
      </c>
      <c r="G1236" t="str">
        <f>"201706022579"</f>
        <v>201706022579</v>
      </c>
      <c r="H1236" t="str">
        <f>"RESTITUTION-DAVID SPURK 10 393"</f>
        <v>RESTITUTION-DAVID SPURK 10 393</v>
      </c>
      <c r="I1236" s="2">
        <v>25</v>
      </c>
      <c r="J1236" t="str">
        <f>"RESTITUTION-DAVID SPURK 10 393"</f>
        <v>RESTITUTION-DAVID SPURK 10 393</v>
      </c>
    </row>
    <row r="1237" spans="1:10" x14ac:dyDescent="0.3">
      <c r="A1237" t="str">
        <f>"002344"</f>
        <v>002344</v>
      </c>
      <c r="B1237" t="s">
        <v>348</v>
      </c>
      <c r="C1237">
        <v>71249</v>
      </c>
      <c r="D1237" s="2">
        <v>4590</v>
      </c>
      <c r="E1237" s="1">
        <v>42912</v>
      </c>
      <c r="F1237" t="s">
        <v>10</v>
      </c>
      <c r="G1237" t="str">
        <f>"11414"</f>
        <v>11414</v>
      </c>
      <c r="H1237" t="str">
        <f>"CUST ID#BAST786/ANNUAL MAINT"</f>
        <v>CUST ID#BAST786/ANNUAL MAINT</v>
      </c>
      <c r="I1237" s="2">
        <v>4590</v>
      </c>
      <c r="J1237" t="str">
        <f>"CUST ID#BAST786/ANNUAL MAINT"</f>
        <v>CUST ID#BAST786/ANNUAL MAINT</v>
      </c>
    </row>
    <row r="1238" spans="1:10" x14ac:dyDescent="0.3">
      <c r="A1238" t="str">
        <f>""</f>
        <v/>
      </c>
      <c r="G1238" t="str">
        <f>""</f>
        <v/>
      </c>
      <c r="H1238" t="str">
        <f>""</f>
        <v/>
      </c>
      <c r="J1238" t="str">
        <f>"CUST ID#BAST786/ANNUAL MAINT"</f>
        <v>CUST ID#BAST786/ANNUAL MAINT</v>
      </c>
    </row>
    <row r="1239" spans="1:10" x14ac:dyDescent="0.3">
      <c r="A1239" t="str">
        <f>"005025"</f>
        <v>005025</v>
      </c>
      <c r="B1239" t="s">
        <v>349</v>
      </c>
      <c r="C1239">
        <v>70938</v>
      </c>
      <c r="D1239" s="2">
        <v>475</v>
      </c>
      <c r="E1239" s="1">
        <v>42898</v>
      </c>
      <c r="F1239" t="s">
        <v>10</v>
      </c>
      <c r="G1239" t="str">
        <f>"201706072796"</f>
        <v>201706072796</v>
      </c>
      <c r="H1239" t="str">
        <f>"CAUSE #1CO-17591 MEDIATION"</f>
        <v>CAUSE #1CO-17591 MEDIATION</v>
      </c>
      <c r="I1239" s="2">
        <v>475</v>
      </c>
      <c r="J1239" t="str">
        <f>"CAUSE #1CO-17591 MEDIATION"</f>
        <v>CAUSE #1CO-17591 MEDIATION</v>
      </c>
    </row>
    <row r="1240" spans="1:10" x14ac:dyDescent="0.3">
      <c r="A1240" t="str">
        <f>"003447"</f>
        <v>003447</v>
      </c>
      <c r="B1240" t="s">
        <v>350</v>
      </c>
      <c r="C1240">
        <v>70939</v>
      </c>
      <c r="D1240" s="2">
        <v>30</v>
      </c>
      <c r="E1240" s="1">
        <v>42898</v>
      </c>
      <c r="F1240" t="s">
        <v>10</v>
      </c>
      <c r="G1240" t="str">
        <f>"201706052643"</f>
        <v>201706052643</v>
      </c>
      <c r="H1240" t="str">
        <f>"FERAL HOGS"</f>
        <v>FERAL HOGS</v>
      </c>
      <c r="I1240" s="2">
        <v>30</v>
      </c>
      <c r="J1240" t="str">
        <f>"FERAL HOGS"</f>
        <v>FERAL HOGS</v>
      </c>
    </row>
    <row r="1241" spans="1:10" x14ac:dyDescent="0.3">
      <c r="A1241" t="str">
        <f>"MF"</f>
        <v>MF</v>
      </c>
      <c r="B1241" t="s">
        <v>351</v>
      </c>
      <c r="C1241">
        <v>71250</v>
      </c>
      <c r="D1241" s="2">
        <v>231</v>
      </c>
      <c r="E1241" s="1">
        <v>42912</v>
      </c>
      <c r="F1241" t="s">
        <v>10</v>
      </c>
      <c r="G1241" t="str">
        <f>"17-014"</f>
        <v>17-014</v>
      </c>
      <c r="H1241" t="str">
        <f>"EFILE MOTIONS HEARING 423-2681"</f>
        <v>EFILE MOTIONS HEARING 423-2681</v>
      </c>
      <c r="I1241" s="2">
        <v>231</v>
      </c>
      <c r="J1241" t="str">
        <f>"EFILE MOTIONS HEARING 423-2681"</f>
        <v>EFILE MOTIONS HEARING 423-2681</v>
      </c>
    </row>
    <row r="1242" spans="1:10" x14ac:dyDescent="0.3">
      <c r="A1242" t="str">
        <f>"003533"</f>
        <v>003533</v>
      </c>
      <c r="B1242" t="s">
        <v>352</v>
      </c>
      <c r="C1242">
        <v>70940</v>
      </c>
      <c r="D1242" s="2">
        <v>17.3</v>
      </c>
      <c r="E1242" s="1">
        <v>42898</v>
      </c>
      <c r="F1242" t="s">
        <v>10</v>
      </c>
      <c r="G1242" t="str">
        <f>"201706022564"</f>
        <v>201706022564</v>
      </c>
      <c r="H1242" t="str">
        <f>"EXP REIMBURSEMENT-HLTH FAIR"</f>
        <v>EXP REIMBURSEMENT-HLTH FAIR</v>
      </c>
      <c r="I1242" s="2">
        <v>17.3</v>
      </c>
      <c r="J1242" t="str">
        <f>"EXP REIMBURSEMENT-HLTH FAIR"</f>
        <v>EXP REIMBURSEMENT-HLTH FAIR</v>
      </c>
    </row>
    <row r="1243" spans="1:10" x14ac:dyDescent="0.3">
      <c r="A1243" t="str">
        <f>"T4755"</f>
        <v>T4755</v>
      </c>
      <c r="B1243" t="s">
        <v>353</v>
      </c>
      <c r="C1243">
        <v>70941</v>
      </c>
      <c r="D1243" s="2">
        <v>3052.64</v>
      </c>
      <c r="E1243" s="1">
        <v>42898</v>
      </c>
      <c r="F1243" t="s">
        <v>10</v>
      </c>
      <c r="G1243" t="str">
        <f>"17863"</f>
        <v>17863</v>
      </c>
      <c r="H1243" t="str">
        <f>"INSTALLATION ICE MAKER PCT#2"</f>
        <v>INSTALLATION ICE MAKER PCT#2</v>
      </c>
      <c r="I1243" s="2">
        <v>2920</v>
      </c>
      <c r="J1243" t="str">
        <f>"INSTALLATION ICE MAKER PCT#2"</f>
        <v>INSTALLATION ICE MAKER PCT#2</v>
      </c>
    </row>
    <row r="1244" spans="1:10" x14ac:dyDescent="0.3">
      <c r="A1244" t="str">
        <f>""</f>
        <v/>
      </c>
      <c r="F1244" t="s">
        <v>10</v>
      </c>
      <c r="G1244" t="str">
        <f>"178636"</f>
        <v>178636</v>
      </c>
      <c r="H1244" t="str">
        <f>"LABOR TICKET#68645 PCT#2"</f>
        <v>LABOR TICKET#68645 PCT#2</v>
      </c>
      <c r="I1244" s="2">
        <v>132.63999999999999</v>
      </c>
      <c r="J1244" t="str">
        <f>"LABOR TICKET#68645 PCT#2"</f>
        <v>LABOR TICKET#68645 PCT#2</v>
      </c>
    </row>
    <row r="1245" spans="1:10" x14ac:dyDescent="0.3">
      <c r="A1245" t="str">
        <f>"T13465"</f>
        <v>T13465</v>
      </c>
      <c r="B1245" t="s">
        <v>354</v>
      </c>
      <c r="C1245">
        <v>70942</v>
      </c>
      <c r="D1245" s="2">
        <v>783.33</v>
      </c>
      <c r="E1245" s="1">
        <v>42898</v>
      </c>
      <c r="F1245" t="s">
        <v>10</v>
      </c>
      <c r="G1245" t="str">
        <f>"201706022556"</f>
        <v>201706022556</v>
      </c>
      <c r="H1245" t="str">
        <f>"TRAVEL REIMBURSEMENT/EM MGT"</f>
        <v>TRAVEL REIMBURSEMENT/EM MGT</v>
      </c>
      <c r="I1245" s="2">
        <v>783.33</v>
      </c>
      <c r="J1245" t="str">
        <f>"TRAVEL REIMBURSEMENT/EM MGT"</f>
        <v>TRAVEL REIMBURSEMENT/EM MGT</v>
      </c>
    </row>
    <row r="1246" spans="1:10" x14ac:dyDescent="0.3">
      <c r="A1246" t="str">
        <f>"MU&amp;E"</f>
        <v>MU&amp;E</v>
      </c>
      <c r="B1246" t="s">
        <v>355</v>
      </c>
      <c r="C1246">
        <v>70943</v>
      </c>
      <c r="D1246" s="2">
        <v>968</v>
      </c>
      <c r="E1246" s="1">
        <v>42898</v>
      </c>
      <c r="F1246" t="s">
        <v>10</v>
      </c>
      <c r="G1246" t="str">
        <f>"74851"</f>
        <v>74851</v>
      </c>
      <c r="H1246" t="str">
        <f>"INVOICE 74851/SPRANKLE"</f>
        <v>INVOICE 74851/SPRANKLE</v>
      </c>
      <c r="I1246" s="2">
        <v>139</v>
      </c>
      <c r="J1246" t="str">
        <f>"INVOICE 74851/SPRANKLE"</f>
        <v>INVOICE 74851/SPRANKLE</v>
      </c>
    </row>
    <row r="1247" spans="1:10" x14ac:dyDescent="0.3">
      <c r="A1247" t="str">
        <f>""</f>
        <v/>
      </c>
      <c r="F1247" t="s">
        <v>10</v>
      </c>
      <c r="G1247" t="str">
        <f>"75592"</f>
        <v>75592</v>
      </c>
      <c r="H1247" t="str">
        <f>"75592 GONDECK/GREEN"</f>
        <v>75592 GONDECK/GREEN</v>
      </c>
      <c r="I1247" s="2">
        <v>25</v>
      </c>
      <c r="J1247" t="str">
        <f>"75992 GONDECK/GREEN"</f>
        <v>75992 GONDECK/GREEN</v>
      </c>
    </row>
    <row r="1248" spans="1:10" x14ac:dyDescent="0.3">
      <c r="A1248" t="str">
        <f>""</f>
        <v/>
      </c>
      <c r="F1248" t="s">
        <v>10</v>
      </c>
      <c r="G1248" t="str">
        <f>"75606"</f>
        <v>75606</v>
      </c>
      <c r="H1248" t="str">
        <f>"SHAW INV75606"</f>
        <v>SHAW INV75606</v>
      </c>
      <c r="I1248" s="2">
        <v>221</v>
      </c>
      <c r="J1248" t="str">
        <f>"SHAW INV75606"</f>
        <v>SHAW INV75606</v>
      </c>
    </row>
    <row r="1249" spans="1:10" x14ac:dyDescent="0.3">
      <c r="A1249" t="str">
        <f>""</f>
        <v/>
      </c>
      <c r="F1249" t="s">
        <v>10</v>
      </c>
      <c r="G1249" t="str">
        <f>"76292"</f>
        <v>76292</v>
      </c>
      <c r="H1249" t="str">
        <f>"INV 76292"</f>
        <v>INV 76292</v>
      </c>
      <c r="I1249" s="2">
        <v>583</v>
      </c>
      <c r="J1249" t="str">
        <f>"INV 76292"</f>
        <v>INV 76292</v>
      </c>
    </row>
    <row r="1250" spans="1:10" x14ac:dyDescent="0.3">
      <c r="A1250" t="str">
        <f>"MU&amp;E"</f>
        <v>MU&amp;E</v>
      </c>
      <c r="B1250" t="s">
        <v>355</v>
      </c>
      <c r="C1250">
        <v>71251</v>
      </c>
      <c r="D1250" s="2">
        <v>967.4</v>
      </c>
      <c r="E1250" s="1">
        <v>42912</v>
      </c>
      <c r="F1250" t="s">
        <v>10</v>
      </c>
      <c r="G1250" t="str">
        <f>"74852/77246"</f>
        <v>74852/77246</v>
      </c>
      <c r="H1250" t="str">
        <f>" INV77246 &amp; 74852"</f>
        <v xml:space="preserve"> INV77246 &amp; 74852</v>
      </c>
      <c r="I1250" s="2">
        <v>468</v>
      </c>
      <c r="J1250" t="str">
        <f>" INV77246"</f>
        <v xml:space="preserve"> INV77246</v>
      </c>
    </row>
    <row r="1251" spans="1:10" x14ac:dyDescent="0.3">
      <c r="A1251" t="str">
        <f>""</f>
        <v/>
      </c>
      <c r="G1251" t="str">
        <f>""</f>
        <v/>
      </c>
      <c r="H1251" t="str">
        <f>""</f>
        <v/>
      </c>
      <c r="J1251" t="str">
        <f>"INV 74852"</f>
        <v>INV 74852</v>
      </c>
    </row>
    <row r="1252" spans="1:10" x14ac:dyDescent="0.3">
      <c r="A1252" t="str">
        <f>""</f>
        <v/>
      </c>
      <c r="F1252" t="s">
        <v>10</v>
      </c>
      <c r="G1252" t="str">
        <f>"75551"</f>
        <v>75551</v>
      </c>
      <c r="H1252" t="str">
        <f>"INV 75551"</f>
        <v>INV 75551</v>
      </c>
      <c r="I1252" s="2">
        <v>326.39999999999998</v>
      </c>
      <c r="J1252" t="str">
        <f>"INV 75551"</f>
        <v>INV 75551</v>
      </c>
    </row>
    <row r="1253" spans="1:10" x14ac:dyDescent="0.3">
      <c r="A1253" t="str">
        <f>""</f>
        <v/>
      </c>
      <c r="F1253" t="s">
        <v>10</v>
      </c>
      <c r="G1253" t="str">
        <f>"76422"</f>
        <v>76422</v>
      </c>
      <c r="H1253" t="str">
        <f>"UNIFORMS"</f>
        <v>UNIFORMS</v>
      </c>
      <c r="I1253" s="2">
        <v>173</v>
      </c>
      <c r="J1253" t="str">
        <f>"UNIFORMS"</f>
        <v>UNIFORMS</v>
      </c>
    </row>
    <row r="1254" spans="1:10" x14ac:dyDescent="0.3">
      <c r="A1254" t="str">
        <f t="shared" ref="A1254:A1263" si="8">"1"</f>
        <v>1</v>
      </c>
      <c r="B1254" t="s">
        <v>356</v>
      </c>
      <c r="C1254">
        <v>71099</v>
      </c>
      <c r="D1254" s="2">
        <v>40</v>
      </c>
      <c r="E1254" s="1">
        <v>42908</v>
      </c>
      <c r="F1254" t="s">
        <v>10</v>
      </c>
      <c r="G1254" t="str">
        <f>"201706223252"</f>
        <v>201706223252</v>
      </c>
      <c r="H1254" t="str">
        <f>"Miscel"</f>
        <v>Miscel</v>
      </c>
      <c r="I1254" s="2">
        <v>40</v>
      </c>
      <c r="J1254" t="str">
        <f>"APRIL RENEA ALEXANDER"</f>
        <v>APRIL RENEA ALEXANDER</v>
      </c>
    </row>
    <row r="1255" spans="1:10" x14ac:dyDescent="0.3">
      <c r="A1255" t="str">
        <f t="shared" si="8"/>
        <v>1</v>
      </c>
      <c r="B1255" t="s">
        <v>357</v>
      </c>
      <c r="C1255">
        <v>71100</v>
      </c>
      <c r="D1255" s="2">
        <v>40</v>
      </c>
      <c r="E1255" s="1">
        <v>42908</v>
      </c>
      <c r="F1255" t="s">
        <v>10</v>
      </c>
      <c r="G1255" t="str">
        <f>"201706223253"</f>
        <v>201706223253</v>
      </c>
      <c r="H1255" t="str">
        <f>""</f>
        <v/>
      </c>
      <c r="I1255" s="2">
        <v>40</v>
      </c>
      <c r="J1255" t="str">
        <f>"THOMAS ANTHONY BRISTOLL III"</f>
        <v>THOMAS ANTHONY BRISTOLL III</v>
      </c>
    </row>
    <row r="1256" spans="1:10" x14ac:dyDescent="0.3">
      <c r="A1256" t="str">
        <f t="shared" si="8"/>
        <v>1</v>
      </c>
      <c r="B1256" t="s">
        <v>358</v>
      </c>
      <c r="C1256">
        <v>71101</v>
      </c>
      <c r="D1256" s="2">
        <v>40</v>
      </c>
      <c r="E1256" s="1">
        <v>42908</v>
      </c>
      <c r="F1256" t="s">
        <v>10</v>
      </c>
      <c r="G1256" t="str">
        <f>"201706223254"</f>
        <v>201706223254</v>
      </c>
      <c r="H1256" t="str">
        <f>"Miscellan"</f>
        <v>Miscellan</v>
      </c>
      <c r="I1256" s="2">
        <v>40</v>
      </c>
      <c r="J1256" t="str">
        <f>"JERRY LEE HENRICHS"</f>
        <v>JERRY LEE HENRICHS</v>
      </c>
    </row>
    <row r="1257" spans="1:10" x14ac:dyDescent="0.3">
      <c r="A1257" t="str">
        <f t="shared" si="8"/>
        <v>1</v>
      </c>
      <c r="B1257" t="s">
        <v>359</v>
      </c>
      <c r="C1257">
        <v>71102</v>
      </c>
      <c r="D1257" s="2">
        <v>40</v>
      </c>
      <c r="E1257" s="1">
        <v>42908</v>
      </c>
      <c r="F1257" t="s">
        <v>10</v>
      </c>
      <c r="G1257" t="str">
        <f>"201706223255"</f>
        <v>201706223255</v>
      </c>
      <c r="H1257" t="str">
        <f>"Miscella"</f>
        <v>Miscella</v>
      </c>
      <c r="I1257" s="2">
        <v>40</v>
      </c>
      <c r="J1257" t="str">
        <f>"JON CRAIG ETHEREDGE"</f>
        <v>JON CRAIG ETHEREDGE</v>
      </c>
    </row>
    <row r="1258" spans="1:10" x14ac:dyDescent="0.3">
      <c r="A1258" t="str">
        <f t="shared" si="8"/>
        <v>1</v>
      </c>
      <c r="B1258" t="s">
        <v>360</v>
      </c>
      <c r="C1258">
        <v>71103</v>
      </c>
      <c r="D1258" s="2">
        <v>40</v>
      </c>
      <c r="E1258" s="1">
        <v>42908</v>
      </c>
      <c r="F1258" t="s">
        <v>10</v>
      </c>
      <c r="G1258" t="str">
        <f>"201706223256"</f>
        <v>201706223256</v>
      </c>
      <c r="H1258" t="str">
        <f>"Miscel"</f>
        <v>Miscel</v>
      </c>
      <c r="I1258" s="2">
        <v>40</v>
      </c>
      <c r="J1258" t="str">
        <f>"SUSAN STERLING NALLEY"</f>
        <v>SUSAN STERLING NALLEY</v>
      </c>
    </row>
    <row r="1259" spans="1:10" x14ac:dyDescent="0.3">
      <c r="A1259" t="str">
        <f t="shared" si="8"/>
        <v>1</v>
      </c>
      <c r="B1259" t="s">
        <v>361</v>
      </c>
      <c r="C1259">
        <v>71104</v>
      </c>
      <c r="D1259" s="2">
        <v>40</v>
      </c>
      <c r="E1259" s="1">
        <v>42908</v>
      </c>
      <c r="F1259" t="s">
        <v>10</v>
      </c>
      <c r="G1259" t="str">
        <f>"201706223257"</f>
        <v>201706223257</v>
      </c>
      <c r="H1259" t="str">
        <f>"Miscel"</f>
        <v>Miscel</v>
      </c>
      <c r="I1259" s="2">
        <v>40</v>
      </c>
      <c r="J1259" t="str">
        <f>"DONALD DEWAYNE SNOOTS"</f>
        <v>DONALD DEWAYNE SNOOTS</v>
      </c>
    </row>
    <row r="1260" spans="1:10" x14ac:dyDescent="0.3">
      <c r="A1260" t="str">
        <f t="shared" si="8"/>
        <v>1</v>
      </c>
      <c r="B1260" t="s">
        <v>362</v>
      </c>
      <c r="C1260">
        <v>71105</v>
      </c>
      <c r="D1260" s="2">
        <v>40</v>
      </c>
      <c r="E1260" s="1">
        <v>42908</v>
      </c>
      <c r="F1260" t="s">
        <v>10</v>
      </c>
      <c r="G1260" t="str">
        <f>"201706223258"</f>
        <v>201706223258</v>
      </c>
      <c r="H1260" t="str">
        <f>"Miscellaneous"</f>
        <v>Miscellaneous</v>
      </c>
      <c r="I1260" s="2">
        <v>40</v>
      </c>
      <c r="J1260" t="str">
        <f>"ROY JOSE PINA"</f>
        <v>ROY JOSE PINA</v>
      </c>
    </row>
    <row r="1261" spans="1:10" x14ac:dyDescent="0.3">
      <c r="A1261" t="str">
        <f t="shared" si="8"/>
        <v>1</v>
      </c>
      <c r="B1261" t="s">
        <v>363</v>
      </c>
      <c r="C1261">
        <v>71106</v>
      </c>
      <c r="D1261" s="2">
        <v>40</v>
      </c>
      <c r="E1261" s="1">
        <v>42908</v>
      </c>
      <c r="F1261" t="s">
        <v>10</v>
      </c>
      <c r="G1261" t="str">
        <f>"201706223259"</f>
        <v>201706223259</v>
      </c>
      <c r="H1261" t="str">
        <f>"Miscell"</f>
        <v>Miscell</v>
      </c>
      <c r="I1261" s="2">
        <v>40</v>
      </c>
      <c r="J1261" t="str">
        <f>"DWAYNE TYRONE VASSAR"</f>
        <v>DWAYNE TYRONE VASSAR</v>
      </c>
    </row>
    <row r="1262" spans="1:10" x14ac:dyDescent="0.3">
      <c r="A1262" t="str">
        <f t="shared" si="8"/>
        <v>1</v>
      </c>
      <c r="B1262" t="s">
        <v>364</v>
      </c>
      <c r="C1262">
        <v>71107</v>
      </c>
      <c r="D1262" s="2">
        <v>40</v>
      </c>
      <c r="E1262" s="1">
        <v>42908</v>
      </c>
      <c r="F1262" t="s">
        <v>10</v>
      </c>
      <c r="G1262" t="str">
        <f>"201706223260"</f>
        <v>201706223260</v>
      </c>
      <c r="H1262" t="str">
        <f>"Misce"</f>
        <v>Misce</v>
      </c>
      <c r="I1262" s="2">
        <v>40</v>
      </c>
      <c r="J1262" t="str">
        <f>"NICK ALBERT BUHLER III"</f>
        <v>NICK ALBERT BUHLER III</v>
      </c>
    </row>
    <row r="1263" spans="1:10" x14ac:dyDescent="0.3">
      <c r="A1263" t="str">
        <f t="shared" si="8"/>
        <v>1</v>
      </c>
      <c r="B1263" t="s">
        <v>365</v>
      </c>
      <c r="C1263">
        <v>71108</v>
      </c>
      <c r="D1263" s="2">
        <v>40</v>
      </c>
      <c r="E1263" s="1">
        <v>42908</v>
      </c>
      <c r="F1263" t="s">
        <v>10</v>
      </c>
      <c r="G1263" t="str">
        <f>"201706223261"</f>
        <v>201706223261</v>
      </c>
      <c r="H1263" t="str">
        <f>"Miscellan"</f>
        <v>Miscellan</v>
      </c>
      <c r="I1263" s="2">
        <v>40</v>
      </c>
      <c r="J1263" t="str">
        <f>"REBEKAH JEAN HIBBS"</f>
        <v>REBEKAH JEAN HIBBS</v>
      </c>
    </row>
    <row r="1264" spans="1:10" x14ac:dyDescent="0.3">
      <c r="A1264" t="str">
        <f>"005080"</f>
        <v>005080</v>
      </c>
      <c r="B1264" t="s">
        <v>366</v>
      </c>
      <c r="C1264">
        <v>70944</v>
      </c>
      <c r="D1264" s="2">
        <v>3223.36</v>
      </c>
      <c r="E1264" s="1">
        <v>42898</v>
      </c>
      <c r="F1264" t="s">
        <v>10</v>
      </c>
      <c r="G1264" t="str">
        <f>"0003536060"</f>
        <v>0003536060</v>
      </c>
      <c r="H1264" t="str">
        <f>"FUJITSU SCAN AIDE KIT"</f>
        <v>FUJITSU SCAN AIDE KIT</v>
      </c>
      <c r="I1264" s="2">
        <v>664</v>
      </c>
      <c r="J1264" t="str">
        <f>"FUJITSU SCAN AIDE KIT"</f>
        <v>FUJITSU SCAN AIDE KIT</v>
      </c>
    </row>
    <row r="1265" spans="1:10" x14ac:dyDescent="0.3">
      <c r="A1265" t="str">
        <f>""</f>
        <v/>
      </c>
      <c r="F1265" t="s">
        <v>10</v>
      </c>
      <c r="G1265" t="str">
        <f>"IPADS-6/6/2017"</f>
        <v>IPADS-6/6/2017</v>
      </c>
      <c r="H1265" t="str">
        <f>"IPAD PRO"</f>
        <v>IPAD PRO</v>
      </c>
      <c r="I1265" s="2">
        <v>2559.36</v>
      </c>
      <c r="J1265" t="str">
        <f>"IPAD PRO"</f>
        <v>IPAD PRO</v>
      </c>
    </row>
    <row r="1266" spans="1:10" x14ac:dyDescent="0.3">
      <c r="A1266" t="str">
        <f>""</f>
        <v/>
      </c>
      <c r="G1266" t="str">
        <f>""</f>
        <v/>
      </c>
      <c r="H1266" t="str">
        <f>""</f>
        <v/>
      </c>
      <c r="J1266" t="str">
        <f>"KEYBOARD/COVER"</f>
        <v>KEYBOARD/COVER</v>
      </c>
    </row>
    <row r="1267" spans="1:10" x14ac:dyDescent="0.3">
      <c r="A1267" t="str">
        <f>""</f>
        <v/>
      </c>
      <c r="G1267" t="str">
        <f>""</f>
        <v/>
      </c>
      <c r="H1267" t="str">
        <f>""</f>
        <v/>
      </c>
      <c r="J1267" t="str">
        <f>"APPLE CARE"</f>
        <v>APPLE CARE</v>
      </c>
    </row>
    <row r="1268" spans="1:10" x14ac:dyDescent="0.3">
      <c r="A1268" t="str">
        <f>"005080"</f>
        <v>005080</v>
      </c>
      <c r="B1268" t="s">
        <v>366</v>
      </c>
      <c r="C1268">
        <v>71252</v>
      </c>
      <c r="D1268" s="2">
        <v>185.12</v>
      </c>
      <c r="E1268" s="1">
        <v>42912</v>
      </c>
      <c r="F1268" t="s">
        <v>10</v>
      </c>
      <c r="G1268" t="str">
        <f>"0003538074"</f>
        <v>0003538074</v>
      </c>
      <c r="H1268" t="str">
        <f>"IPAD PRO PENCILS"</f>
        <v>IPAD PRO PENCILS</v>
      </c>
      <c r="I1268" s="2">
        <v>185.12</v>
      </c>
      <c r="J1268" t="str">
        <f>"IPAD PRO PENCILS"</f>
        <v>IPAD PRO PENCILS</v>
      </c>
    </row>
    <row r="1269" spans="1:10" x14ac:dyDescent="0.3">
      <c r="A1269" t="str">
        <f>"MOORE"</f>
        <v>MOORE</v>
      </c>
      <c r="B1269" t="s">
        <v>367</v>
      </c>
      <c r="C1269">
        <v>70945</v>
      </c>
      <c r="D1269" s="2">
        <v>280.55</v>
      </c>
      <c r="E1269" s="1">
        <v>42898</v>
      </c>
      <c r="F1269" t="s">
        <v>10</v>
      </c>
      <c r="G1269" t="str">
        <f>"99494415"</f>
        <v>99494415</v>
      </c>
      <c r="H1269" t="str">
        <f>"MEDICAL INV99494415"</f>
        <v>MEDICAL INV99494415</v>
      </c>
      <c r="I1269" s="2">
        <v>280.55</v>
      </c>
      <c r="J1269" t="str">
        <f>"MEDICAL INV99494415"</f>
        <v>MEDICAL INV99494415</v>
      </c>
    </row>
    <row r="1270" spans="1:10" x14ac:dyDescent="0.3">
      <c r="A1270" t="str">
        <f>"004835"</f>
        <v>004835</v>
      </c>
      <c r="B1270" t="s">
        <v>368</v>
      </c>
      <c r="C1270">
        <v>70946</v>
      </c>
      <c r="D1270" s="2">
        <v>25</v>
      </c>
      <c r="E1270" s="1">
        <v>42898</v>
      </c>
      <c r="F1270" t="s">
        <v>10</v>
      </c>
      <c r="G1270" t="str">
        <f>"201706052644"</f>
        <v>201706052644</v>
      </c>
      <c r="H1270" t="str">
        <f>"FERAL HOGS"</f>
        <v>FERAL HOGS</v>
      </c>
      <c r="I1270" s="2">
        <v>25</v>
      </c>
      <c r="J1270" t="str">
        <f>"FERAL HOGS"</f>
        <v>FERAL HOGS</v>
      </c>
    </row>
    <row r="1271" spans="1:10" x14ac:dyDescent="0.3">
      <c r="A1271" t="str">
        <f>"003544"</f>
        <v>003544</v>
      </c>
      <c r="B1271" t="s">
        <v>369</v>
      </c>
      <c r="C1271">
        <v>70947</v>
      </c>
      <c r="D1271" s="2">
        <v>44.92</v>
      </c>
      <c r="E1271" s="1">
        <v>42898</v>
      </c>
      <c r="F1271" t="s">
        <v>10</v>
      </c>
      <c r="G1271" t="str">
        <f>"S101477000.003"</f>
        <v>S101477000.003</v>
      </c>
      <c r="H1271" t="str">
        <f>"S101477000.003"</f>
        <v>S101477000.003</v>
      </c>
      <c r="I1271" s="2">
        <v>44.92</v>
      </c>
      <c r="J1271" t="str">
        <f>"S101477000.003"</f>
        <v>S101477000.003</v>
      </c>
    </row>
    <row r="1272" spans="1:10" x14ac:dyDescent="0.3">
      <c r="A1272" t="str">
        <f>"189"</f>
        <v>189</v>
      </c>
      <c r="B1272" t="s">
        <v>370</v>
      </c>
      <c r="C1272">
        <v>71253</v>
      </c>
      <c r="D1272" s="2">
        <v>16295.73</v>
      </c>
      <c r="E1272" s="1">
        <v>42912</v>
      </c>
      <c r="F1272" t="s">
        <v>10</v>
      </c>
      <c r="G1272" t="str">
        <f>"201706133052"</f>
        <v>201706133052</v>
      </c>
      <c r="H1272" t="str">
        <f>"RADIO SERVICE AGREEMENT"</f>
        <v>RADIO SERVICE AGREEMENT</v>
      </c>
      <c r="I1272" s="2">
        <v>16295.73</v>
      </c>
      <c r="J1272" t="str">
        <f>"RADIO SERVICE AGREEMENT"</f>
        <v>RADIO SERVICE AGREEMENT</v>
      </c>
    </row>
    <row r="1273" spans="1:10" x14ac:dyDescent="0.3">
      <c r="A1273" t="str">
        <f>"002776"</f>
        <v>002776</v>
      </c>
      <c r="B1273" t="s">
        <v>371</v>
      </c>
      <c r="C1273">
        <v>71254</v>
      </c>
      <c r="D1273" s="2">
        <v>4971.2</v>
      </c>
      <c r="E1273" s="1">
        <v>42912</v>
      </c>
      <c r="F1273" t="s">
        <v>10</v>
      </c>
      <c r="G1273" t="str">
        <f>"13164970"</f>
        <v>13164970</v>
      </c>
      <c r="H1273" t="str">
        <f>"MOTOROLA SOLUTIONS INC"</f>
        <v>MOTOROLA SOLUTIONS INC</v>
      </c>
      <c r="I1273" s="2">
        <v>4971.2</v>
      </c>
      <c r="J1273" t="str">
        <f>"Impres-NTN9857C"</f>
        <v>Impres-NTN9857C</v>
      </c>
    </row>
    <row r="1274" spans="1:10" x14ac:dyDescent="0.3">
      <c r="A1274" t="str">
        <f>""</f>
        <v/>
      </c>
      <c r="G1274" t="str">
        <f>""</f>
        <v/>
      </c>
      <c r="H1274" t="str">
        <f>""</f>
        <v/>
      </c>
      <c r="J1274" t="str">
        <f>"Clip- HLN6875A"</f>
        <v>Clip- HLN6875A</v>
      </c>
    </row>
    <row r="1275" spans="1:10" x14ac:dyDescent="0.3">
      <c r="A1275" t="str">
        <f>""</f>
        <v/>
      </c>
      <c r="G1275" t="str">
        <f>""</f>
        <v/>
      </c>
      <c r="H1275" t="str">
        <f>""</f>
        <v/>
      </c>
      <c r="J1275" t="str">
        <f>"Whip- NAF5080"</f>
        <v>Whip- NAF5080</v>
      </c>
    </row>
    <row r="1276" spans="1:10" x14ac:dyDescent="0.3">
      <c r="A1276" t="str">
        <f>""</f>
        <v/>
      </c>
      <c r="G1276" t="str">
        <f>""</f>
        <v/>
      </c>
      <c r="H1276" t="str">
        <f>""</f>
        <v/>
      </c>
      <c r="J1276" t="str">
        <f>"Charger- WPLN4111AR"</f>
        <v>Charger- WPLN4111AR</v>
      </c>
    </row>
    <row r="1277" spans="1:10" x14ac:dyDescent="0.3">
      <c r="A1277" t="str">
        <f>""</f>
        <v/>
      </c>
      <c r="G1277" t="str">
        <f>""</f>
        <v/>
      </c>
      <c r="H1277" t="str">
        <f>""</f>
        <v/>
      </c>
      <c r="J1277" t="str">
        <f>"BLK- NNTN8092"</f>
        <v>BLK- NNTN8092</v>
      </c>
    </row>
    <row r="1278" spans="1:10" x14ac:dyDescent="0.3">
      <c r="A1278" t="str">
        <f>""</f>
        <v/>
      </c>
      <c r="G1278" t="str">
        <f>""</f>
        <v/>
      </c>
      <c r="H1278" t="str">
        <f>""</f>
        <v/>
      </c>
      <c r="J1278" t="str">
        <f>"BLK- NNTN7033A"</f>
        <v>BLK- NNTN7033A</v>
      </c>
    </row>
    <row r="1279" spans="1:10" x14ac:dyDescent="0.3">
      <c r="A1279" t="str">
        <f>"T6993"</f>
        <v>T6993</v>
      </c>
      <c r="B1279" t="s">
        <v>372</v>
      </c>
      <c r="C1279">
        <v>70948</v>
      </c>
      <c r="D1279" s="2">
        <v>815.09</v>
      </c>
      <c r="E1279" s="1">
        <v>42898</v>
      </c>
      <c r="F1279" t="s">
        <v>10</v>
      </c>
      <c r="G1279" t="str">
        <f>"5715200"</f>
        <v>5715200</v>
      </c>
      <c r="H1279" t="str">
        <f>"INV 5715200"</f>
        <v>INV 5715200</v>
      </c>
      <c r="I1279" s="2">
        <v>815.09</v>
      </c>
      <c r="J1279" t="str">
        <f>"INV 5715200"</f>
        <v>INV 5715200</v>
      </c>
    </row>
    <row r="1280" spans="1:10" x14ac:dyDescent="0.3">
      <c r="A1280" t="str">
        <f>""</f>
        <v/>
      </c>
      <c r="G1280" t="str">
        <f>""</f>
        <v/>
      </c>
      <c r="H1280" t="str">
        <f>""</f>
        <v/>
      </c>
      <c r="J1280" t="str">
        <f>"SHIPPING"</f>
        <v>SHIPPING</v>
      </c>
    </row>
    <row r="1281" spans="1:10" x14ac:dyDescent="0.3">
      <c r="A1281" t="str">
        <f>"004694"</f>
        <v>004694</v>
      </c>
      <c r="B1281" t="s">
        <v>373</v>
      </c>
      <c r="C1281">
        <v>70949</v>
      </c>
      <c r="D1281" s="2">
        <v>795</v>
      </c>
      <c r="E1281" s="1">
        <v>42898</v>
      </c>
      <c r="F1281" t="s">
        <v>10</v>
      </c>
      <c r="G1281" t="str">
        <f>"86302322"</f>
        <v>86302322</v>
      </c>
      <c r="H1281" t="str">
        <f>"WATER TREATMENT SERVICES"</f>
        <v>WATER TREATMENT SERVICES</v>
      </c>
      <c r="I1281" s="2">
        <v>795</v>
      </c>
      <c r="J1281" t="str">
        <f>"WATER TREATMENT SERVICES"</f>
        <v>WATER TREATMENT SERVICES</v>
      </c>
    </row>
    <row r="1282" spans="1:10" x14ac:dyDescent="0.3">
      <c r="A1282" t="str">
        <f>"004694"</f>
        <v>004694</v>
      </c>
      <c r="B1282" t="s">
        <v>373</v>
      </c>
      <c r="C1282">
        <v>71255</v>
      </c>
      <c r="D1282" s="2">
        <v>795</v>
      </c>
      <c r="E1282" s="1">
        <v>42912</v>
      </c>
      <c r="F1282" t="s">
        <v>10</v>
      </c>
      <c r="G1282" t="str">
        <f>"86316465"</f>
        <v>86316465</v>
      </c>
      <c r="H1282" t="str">
        <f>"PAYER#150344157/WATER TRMT SVC"</f>
        <v>PAYER#150344157/WATER TRMT SVC</v>
      </c>
      <c r="I1282" s="2">
        <v>795</v>
      </c>
      <c r="J1282" t="str">
        <f>"PAYER#150344157/WATER TRMT SVC"</f>
        <v>PAYER#150344157/WATER TRMT SVC</v>
      </c>
    </row>
    <row r="1283" spans="1:10" x14ac:dyDescent="0.3">
      <c r="A1283" t="str">
        <f>"004807"</f>
        <v>004807</v>
      </c>
      <c r="B1283" t="s">
        <v>374</v>
      </c>
      <c r="C1283">
        <v>70950</v>
      </c>
      <c r="D1283" s="2">
        <v>105</v>
      </c>
      <c r="E1283" s="1">
        <v>42898</v>
      </c>
      <c r="F1283" t="s">
        <v>10</v>
      </c>
      <c r="G1283" t="str">
        <f>"201706052645"</f>
        <v>201706052645</v>
      </c>
      <c r="H1283" t="str">
        <f>"FERAL HOGS"</f>
        <v>FERAL HOGS</v>
      </c>
      <c r="I1283" s="2">
        <v>90</v>
      </c>
      <c r="J1283" t="str">
        <f>"FERAL HOGS"</f>
        <v>FERAL HOGS</v>
      </c>
    </row>
    <row r="1284" spans="1:10" x14ac:dyDescent="0.3">
      <c r="A1284" t="str">
        <f>""</f>
        <v/>
      </c>
      <c r="F1284" t="s">
        <v>10</v>
      </c>
      <c r="G1284" t="str">
        <f>"201706052646"</f>
        <v>201706052646</v>
      </c>
      <c r="H1284" t="str">
        <f>"FERAL HOGS"</f>
        <v>FERAL HOGS</v>
      </c>
      <c r="I1284" s="2">
        <v>15</v>
      </c>
      <c r="J1284" t="str">
        <f>"FERAL HOGS"</f>
        <v>FERAL HOGS</v>
      </c>
    </row>
    <row r="1285" spans="1:10" x14ac:dyDescent="0.3">
      <c r="A1285" t="str">
        <f>"002199"</f>
        <v>002199</v>
      </c>
      <c r="B1285" t="s">
        <v>375</v>
      </c>
      <c r="C1285">
        <v>70951</v>
      </c>
      <c r="D1285" s="2">
        <v>72</v>
      </c>
      <c r="E1285" s="1">
        <v>42898</v>
      </c>
      <c r="F1285" t="s">
        <v>10</v>
      </c>
      <c r="G1285" t="str">
        <f>"953"</f>
        <v>953</v>
      </c>
      <c r="H1285" t="str">
        <f>"5UF RESONANT CAPACITOR/EM MG"</f>
        <v>5UF RESONANT CAPACITOR/EM MG</v>
      </c>
      <c r="I1285" s="2">
        <v>72</v>
      </c>
      <c r="J1285" t="str">
        <f>"5UF RESONANT CAPACITOR/EM MG"</f>
        <v>5UF RESONANT CAPACITOR/EM MG</v>
      </c>
    </row>
    <row r="1286" spans="1:10" x14ac:dyDescent="0.3">
      <c r="A1286" t="str">
        <f>"000562"</f>
        <v>000562</v>
      </c>
      <c r="B1286" t="s">
        <v>376</v>
      </c>
      <c r="C1286">
        <v>70796</v>
      </c>
      <c r="D1286" s="2">
        <v>20630.099999999999</v>
      </c>
      <c r="E1286" s="1">
        <v>42898</v>
      </c>
      <c r="F1286" t="s">
        <v>10</v>
      </c>
      <c r="G1286" t="str">
        <f>"IN0780455"</f>
        <v>IN0780455</v>
      </c>
      <c r="H1286" t="str">
        <f>"IN0780455 FOOD"</f>
        <v>IN0780455 FOOD</v>
      </c>
      <c r="I1286" s="2">
        <v>3612</v>
      </c>
      <c r="J1286" t="str">
        <f>"IN0780455 FOOD"</f>
        <v>IN0780455 FOOD</v>
      </c>
    </row>
    <row r="1287" spans="1:10" x14ac:dyDescent="0.3">
      <c r="A1287" t="str">
        <f>""</f>
        <v/>
      </c>
      <c r="F1287" t="s">
        <v>10</v>
      </c>
      <c r="G1287" t="str">
        <f>"IN0781513"</f>
        <v>IN0781513</v>
      </c>
      <c r="H1287" t="str">
        <f>"INV0781513 FOOD"</f>
        <v>INV0781513 FOOD</v>
      </c>
      <c r="I1287" s="2">
        <v>3806.1</v>
      </c>
      <c r="J1287" t="str">
        <f>"INV0781513 FOOF"</f>
        <v>INV0781513 FOOF</v>
      </c>
    </row>
    <row r="1288" spans="1:10" x14ac:dyDescent="0.3">
      <c r="A1288" t="str">
        <f>""</f>
        <v/>
      </c>
      <c r="F1288" t="s">
        <v>10</v>
      </c>
      <c r="G1288" t="str">
        <f>"IN0781918"</f>
        <v>IN0781918</v>
      </c>
      <c r="H1288" t="str">
        <f>"INVOICE IN0781918 FOOD"</f>
        <v>INVOICE IN0781918 FOOD</v>
      </c>
      <c r="I1288" s="2">
        <v>4745.2</v>
      </c>
      <c r="J1288" t="str">
        <f>"INVOICE IN0781918 FOOD"</f>
        <v>INVOICE IN0781918 FOOD</v>
      </c>
    </row>
    <row r="1289" spans="1:10" x14ac:dyDescent="0.3">
      <c r="A1289" t="str">
        <f>""</f>
        <v/>
      </c>
      <c r="F1289" t="s">
        <v>10</v>
      </c>
      <c r="G1289" t="str">
        <f>"INV0782329"</f>
        <v>INV0782329</v>
      </c>
      <c r="H1289" t="str">
        <f>"FOOD IN0782329"</f>
        <v>FOOD IN0782329</v>
      </c>
      <c r="I1289" s="2">
        <v>8466.7999999999993</v>
      </c>
      <c r="J1289" t="str">
        <f>"FOOD IN0782329"</f>
        <v>FOOD IN0782329</v>
      </c>
    </row>
    <row r="1290" spans="1:10" x14ac:dyDescent="0.3">
      <c r="A1290" t="str">
        <f>"000562"</f>
        <v>000562</v>
      </c>
      <c r="B1290" t="s">
        <v>376</v>
      </c>
      <c r="C1290">
        <v>71177</v>
      </c>
      <c r="D1290" s="2">
        <v>2355.1</v>
      </c>
      <c r="E1290" s="1">
        <v>42912</v>
      </c>
      <c r="F1290" t="s">
        <v>10</v>
      </c>
      <c r="G1290" t="str">
        <f>"IN0782553"</f>
        <v>IN0782553</v>
      </c>
      <c r="H1290" t="str">
        <f>"IN0782553 FOOD"</f>
        <v>IN0782553 FOOD</v>
      </c>
      <c r="I1290" s="2">
        <v>2355.1</v>
      </c>
      <c r="J1290" t="str">
        <f>"IN0782553 FOOD"</f>
        <v>IN0782553 FOOD</v>
      </c>
    </row>
    <row r="1291" spans="1:10" x14ac:dyDescent="0.3">
      <c r="A1291" t="str">
        <f>"003999"</f>
        <v>003999</v>
      </c>
      <c r="B1291" t="s">
        <v>377</v>
      </c>
      <c r="C1291">
        <v>70952</v>
      </c>
      <c r="D1291" s="2">
        <v>110</v>
      </c>
      <c r="E1291" s="1">
        <v>42898</v>
      </c>
      <c r="F1291" t="s">
        <v>10</v>
      </c>
      <c r="G1291" t="str">
        <f>"201706052647"</f>
        <v>201706052647</v>
      </c>
      <c r="H1291" t="str">
        <f>"FERAL HOGS"</f>
        <v>FERAL HOGS</v>
      </c>
      <c r="I1291" s="2">
        <v>110</v>
      </c>
      <c r="J1291" t="str">
        <f>"FERAL HOGS"</f>
        <v>FERAL HOGS</v>
      </c>
    </row>
    <row r="1292" spans="1:10" x14ac:dyDescent="0.3">
      <c r="A1292" t="str">
        <f>"T6614"</f>
        <v>T6614</v>
      </c>
      <c r="B1292" t="s">
        <v>378</v>
      </c>
      <c r="C1292">
        <v>71256</v>
      </c>
      <c r="D1292" s="2">
        <v>794.05</v>
      </c>
      <c r="E1292" s="1">
        <v>42912</v>
      </c>
      <c r="F1292" t="s">
        <v>10</v>
      </c>
      <c r="G1292" t="str">
        <f>"0581272462"</f>
        <v>0581272462</v>
      </c>
      <c r="H1292" t="str">
        <f>"CUST#198406/STAT DATE 5/28/17"</f>
        <v>CUST#198406/STAT DATE 5/28/17</v>
      </c>
      <c r="I1292" s="2">
        <v>12.99</v>
      </c>
      <c r="J1292" t="str">
        <f>"CUST#198406/STAT DATE 5/28/17"</f>
        <v>CUST#198406/STAT DATE 5/28/17</v>
      </c>
    </row>
    <row r="1293" spans="1:10" x14ac:dyDescent="0.3">
      <c r="A1293" t="str">
        <f>""</f>
        <v/>
      </c>
      <c r="F1293" t="s">
        <v>10</v>
      </c>
      <c r="G1293" t="str">
        <f>"201706203167"</f>
        <v>201706203167</v>
      </c>
      <c r="H1293" t="str">
        <f>"CUST#99088/PCT#4"</f>
        <v>CUST#99088/PCT#4</v>
      </c>
      <c r="I1293" s="2">
        <v>781.06</v>
      </c>
      <c r="J1293" t="str">
        <f>"CUST#99088/PCT#4"</f>
        <v>CUST#99088/PCT#4</v>
      </c>
    </row>
    <row r="1294" spans="1:10" x14ac:dyDescent="0.3">
      <c r="A1294" t="str">
        <f>"001015"</f>
        <v>001015</v>
      </c>
      <c r="B1294" t="s">
        <v>379</v>
      </c>
      <c r="C1294">
        <v>70953</v>
      </c>
      <c r="D1294" s="2">
        <v>1072.5</v>
      </c>
      <c r="E1294" s="1">
        <v>42898</v>
      </c>
      <c r="F1294" t="s">
        <v>10</v>
      </c>
      <c r="G1294" t="str">
        <f>"122004735/13379719"</f>
        <v>122004735/13379719</v>
      </c>
      <c r="H1294" t="str">
        <f>"MILK PRODUCTS"</f>
        <v>MILK PRODUCTS</v>
      </c>
      <c r="I1294" s="2">
        <v>429</v>
      </c>
      <c r="J1294" t="str">
        <f>"MILK 122004735"</f>
        <v>MILK 122004735</v>
      </c>
    </row>
    <row r="1295" spans="1:10" x14ac:dyDescent="0.3">
      <c r="A1295" t="str">
        <f>""</f>
        <v/>
      </c>
      <c r="G1295" t="str">
        <f>""</f>
        <v/>
      </c>
      <c r="H1295" t="str">
        <f>""</f>
        <v/>
      </c>
      <c r="J1295" t="str">
        <f>"MILK 13379719"</f>
        <v>MILK 13379719</v>
      </c>
    </row>
    <row r="1296" spans="1:10" x14ac:dyDescent="0.3">
      <c r="A1296" t="str">
        <f>""</f>
        <v/>
      </c>
      <c r="F1296" t="s">
        <v>10</v>
      </c>
      <c r="G1296" t="str">
        <f>"122004799/12200457"</f>
        <v>122004799/12200457</v>
      </c>
      <c r="H1296" t="str">
        <f>"MILK PRODUCTS"</f>
        <v>MILK PRODUCTS</v>
      </c>
      <c r="I1296" s="2">
        <v>429</v>
      </c>
      <c r="J1296" t="str">
        <f>"INVOICE 122004799"</f>
        <v>INVOICE 122004799</v>
      </c>
    </row>
    <row r="1297" spans="1:10" x14ac:dyDescent="0.3">
      <c r="A1297" t="str">
        <f>""</f>
        <v/>
      </c>
      <c r="G1297" t="str">
        <f>""</f>
        <v/>
      </c>
      <c r="H1297" t="str">
        <f>""</f>
        <v/>
      </c>
      <c r="J1297" t="str">
        <f>"INVOICE 122004577"</f>
        <v>INVOICE 122004577</v>
      </c>
    </row>
    <row r="1298" spans="1:10" x14ac:dyDescent="0.3">
      <c r="A1298" t="str">
        <f>""</f>
        <v/>
      </c>
      <c r="F1298" t="s">
        <v>10</v>
      </c>
      <c r="G1298" t="str">
        <f>"INV13305596"</f>
        <v>INV13305596</v>
      </c>
      <c r="H1298" t="str">
        <f>"MILK INV13305596"</f>
        <v>MILK INV13305596</v>
      </c>
      <c r="I1298" s="2">
        <v>214.5</v>
      </c>
      <c r="J1298" t="str">
        <f>"MILK INV13305596"</f>
        <v>MILK INV13305596</v>
      </c>
    </row>
    <row r="1299" spans="1:10" x14ac:dyDescent="0.3">
      <c r="A1299" t="str">
        <f>"001015"</f>
        <v>001015</v>
      </c>
      <c r="B1299" t="s">
        <v>379</v>
      </c>
      <c r="C1299">
        <v>71257</v>
      </c>
      <c r="D1299" s="2">
        <v>1056</v>
      </c>
      <c r="E1299" s="1">
        <v>42912</v>
      </c>
      <c r="F1299" t="s">
        <v>10</v>
      </c>
      <c r="G1299" t="str">
        <f>"892553"</f>
        <v>892553</v>
      </c>
      <c r="H1299" t="str">
        <f>"MILK PRODUCTS"</f>
        <v>MILK PRODUCTS</v>
      </c>
      <c r="I1299" s="2">
        <v>214.5</v>
      </c>
      <c r="J1299" t="str">
        <f>"MILK INV892553"</f>
        <v>MILK INV892553</v>
      </c>
    </row>
    <row r="1300" spans="1:10" x14ac:dyDescent="0.3">
      <c r="A1300" t="str">
        <f>""</f>
        <v/>
      </c>
      <c r="F1300" t="s">
        <v>10</v>
      </c>
      <c r="G1300" t="str">
        <f>"MULTIPLE INVOICES"</f>
        <v>MULTIPLE INVOICES</v>
      </c>
      <c r="H1300" t="str">
        <f>"MILK PRODUCTS"</f>
        <v>MILK PRODUCTS</v>
      </c>
      <c r="I1300" s="2">
        <v>841.5</v>
      </c>
      <c r="J1300" t="str">
        <f>"MILK PRODUCTS"</f>
        <v>MILK PRODUCTS</v>
      </c>
    </row>
    <row r="1301" spans="1:10" x14ac:dyDescent="0.3">
      <c r="A1301" t="str">
        <f>""</f>
        <v/>
      </c>
      <c r="G1301" t="str">
        <f>""</f>
        <v/>
      </c>
      <c r="H1301" t="str">
        <f>""</f>
        <v/>
      </c>
      <c r="J1301" t="str">
        <f>"MILK PRODUCTS"</f>
        <v>MILK PRODUCTS</v>
      </c>
    </row>
    <row r="1302" spans="1:10" x14ac:dyDescent="0.3">
      <c r="A1302" t="str">
        <f>""</f>
        <v/>
      </c>
      <c r="G1302" t="str">
        <f>""</f>
        <v/>
      </c>
      <c r="H1302" t="str">
        <f>""</f>
        <v/>
      </c>
      <c r="J1302" t="str">
        <f>"MILK PRODUCTS"</f>
        <v>MILK PRODUCTS</v>
      </c>
    </row>
    <row r="1303" spans="1:10" x14ac:dyDescent="0.3">
      <c r="A1303" t="str">
        <f>""</f>
        <v/>
      </c>
      <c r="G1303" t="str">
        <f>""</f>
        <v/>
      </c>
      <c r="H1303" t="str">
        <f>""</f>
        <v/>
      </c>
      <c r="J1303" t="str">
        <f>"MILK PRODUCTS"</f>
        <v>MILK PRODUCTS</v>
      </c>
    </row>
    <row r="1304" spans="1:10" x14ac:dyDescent="0.3">
      <c r="A1304" t="str">
        <f>"T5769"</f>
        <v>T5769</v>
      </c>
      <c r="B1304" t="s">
        <v>380</v>
      </c>
      <c r="C1304">
        <v>70954</v>
      </c>
      <c r="D1304" s="2">
        <v>4743.22</v>
      </c>
      <c r="E1304" s="1">
        <v>42898</v>
      </c>
      <c r="F1304" t="s">
        <v>10</v>
      </c>
      <c r="G1304" t="str">
        <f>"8039262"</f>
        <v>8039262</v>
      </c>
      <c r="H1304" t="str">
        <f>"Acct#28941874Bill#8039262"</f>
        <v>Acct#28941874Bill#8039262</v>
      </c>
      <c r="I1304" s="2">
        <v>3865.25</v>
      </c>
      <c r="J1304" t="str">
        <f>"Ord# 925533519001"</f>
        <v>Ord# 925533519001</v>
      </c>
    </row>
    <row r="1305" spans="1:10" x14ac:dyDescent="0.3">
      <c r="A1305" t="str">
        <f>""</f>
        <v/>
      </c>
      <c r="G1305" t="str">
        <f>""</f>
        <v/>
      </c>
      <c r="H1305" t="str">
        <f>""</f>
        <v/>
      </c>
      <c r="J1305" t="str">
        <f>"Ord# 92837464001"</f>
        <v>Ord# 92837464001</v>
      </c>
    </row>
    <row r="1306" spans="1:10" x14ac:dyDescent="0.3">
      <c r="A1306" t="str">
        <f>""</f>
        <v/>
      </c>
      <c r="G1306" t="str">
        <f>""</f>
        <v/>
      </c>
      <c r="H1306" t="str">
        <f>""</f>
        <v/>
      </c>
      <c r="J1306" t="str">
        <f>"Ord# 928375189002"</f>
        <v>Ord# 928375189002</v>
      </c>
    </row>
    <row r="1307" spans="1:10" x14ac:dyDescent="0.3">
      <c r="A1307" t="str">
        <f>""</f>
        <v/>
      </c>
      <c r="G1307" t="str">
        <f>""</f>
        <v/>
      </c>
      <c r="H1307" t="str">
        <f>""</f>
        <v/>
      </c>
      <c r="J1307" t="str">
        <f>"Ord# 928318544001"</f>
        <v>Ord# 928318544001</v>
      </c>
    </row>
    <row r="1308" spans="1:10" x14ac:dyDescent="0.3">
      <c r="A1308" t="str">
        <f>""</f>
        <v/>
      </c>
      <c r="G1308" t="str">
        <f>""</f>
        <v/>
      </c>
      <c r="H1308" t="str">
        <f>""</f>
        <v/>
      </c>
      <c r="J1308" t="str">
        <f>"Ord# 926732364001"</f>
        <v>Ord# 926732364001</v>
      </c>
    </row>
    <row r="1309" spans="1:10" x14ac:dyDescent="0.3">
      <c r="A1309" t="str">
        <f>""</f>
        <v/>
      </c>
      <c r="G1309" t="str">
        <f>""</f>
        <v/>
      </c>
      <c r="H1309" t="str">
        <f>""</f>
        <v/>
      </c>
      <c r="J1309" t="str">
        <f>"Ord# 926733103001"</f>
        <v>Ord# 926733103001</v>
      </c>
    </row>
    <row r="1310" spans="1:10" x14ac:dyDescent="0.3">
      <c r="A1310" t="str">
        <f>""</f>
        <v/>
      </c>
      <c r="G1310" t="str">
        <f>""</f>
        <v/>
      </c>
      <c r="H1310" t="str">
        <f>""</f>
        <v/>
      </c>
      <c r="J1310" t="str">
        <f>"Ord# 927365944001"</f>
        <v>Ord# 927365944001</v>
      </c>
    </row>
    <row r="1311" spans="1:10" x14ac:dyDescent="0.3">
      <c r="A1311" t="str">
        <f>""</f>
        <v/>
      </c>
      <c r="G1311" t="str">
        <f>""</f>
        <v/>
      </c>
      <c r="H1311" t="str">
        <f>""</f>
        <v/>
      </c>
      <c r="J1311" t="str">
        <f>"Ord# 926976907001"</f>
        <v>Ord# 926976907001</v>
      </c>
    </row>
    <row r="1312" spans="1:10" x14ac:dyDescent="0.3">
      <c r="A1312" t="str">
        <f>""</f>
        <v/>
      </c>
      <c r="G1312" t="str">
        <f>""</f>
        <v/>
      </c>
      <c r="H1312" t="str">
        <f>""</f>
        <v/>
      </c>
      <c r="J1312" t="str">
        <f>"Ord# 926977718003"</f>
        <v>Ord# 926977718003</v>
      </c>
    </row>
    <row r="1313" spans="1:10" x14ac:dyDescent="0.3">
      <c r="A1313" t="str">
        <f>""</f>
        <v/>
      </c>
      <c r="G1313" t="str">
        <f>""</f>
        <v/>
      </c>
      <c r="H1313" t="str">
        <f>""</f>
        <v/>
      </c>
      <c r="J1313" t="str">
        <f>"Ord# 927075542001"</f>
        <v>Ord# 927075542001</v>
      </c>
    </row>
    <row r="1314" spans="1:10" x14ac:dyDescent="0.3">
      <c r="A1314" t="str">
        <f>""</f>
        <v/>
      </c>
      <c r="G1314" t="str">
        <f>""</f>
        <v/>
      </c>
      <c r="H1314" t="str">
        <f>""</f>
        <v/>
      </c>
      <c r="J1314" t="str">
        <f>"Ord# 929099313001"</f>
        <v>Ord# 929099313001</v>
      </c>
    </row>
    <row r="1315" spans="1:10" x14ac:dyDescent="0.3">
      <c r="A1315" t="str">
        <f>""</f>
        <v/>
      </c>
      <c r="G1315" t="str">
        <f>""</f>
        <v/>
      </c>
      <c r="H1315" t="str">
        <f>""</f>
        <v/>
      </c>
      <c r="J1315" t="str">
        <f>"Ord# 929100067001"</f>
        <v>Ord# 929100067001</v>
      </c>
    </row>
    <row r="1316" spans="1:10" x14ac:dyDescent="0.3">
      <c r="A1316" t="str">
        <f>""</f>
        <v/>
      </c>
      <c r="G1316" t="str">
        <f>""</f>
        <v/>
      </c>
      <c r="H1316" t="str">
        <f>""</f>
        <v/>
      </c>
      <c r="J1316" t="str">
        <f>"Ord# 928318682001"</f>
        <v>Ord# 928318682001</v>
      </c>
    </row>
    <row r="1317" spans="1:10" x14ac:dyDescent="0.3">
      <c r="A1317" t="str">
        <f>""</f>
        <v/>
      </c>
      <c r="G1317" t="str">
        <f>""</f>
        <v/>
      </c>
      <c r="H1317" t="str">
        <f>""</f>
        <v/>
      </c>
      <c r="J1317" t="str">
        <f>"Ord# 928714849001"</f>
        <v>Ord# 928714849001</v>
      </c>
    </row>
    <row r="1318" spans="1:10" x14ac:dyDescent="0.3">
      <c r="A1318" t="str">
        <f>""</f>
        <v/>
      </c>
      <c r="G1318" t="str">
        <f>""</f>
        <v/>
      </c>
      <c r="H1318" t="str">
        <f>""</f>
        <v/>
      </c>
      <c r="J1318" t="str">
        <f>"Ord# 926095255001"</f>
        <v>Ord# 926095255001</v>
      </c>
    </row>
    <row r="1319" spans="1:10" x14ac:dyDescent="0.3">
      <c r="A1319" t="str">
        <f>""</f>
        <v/>
      </c>
      <c r="G1319" t="str">
        <f>""</f>
        <v/>
      </c>
      <c r="H1319" t="str">
        <f>""</f>
        <v/>
      </c>
      <c r="J1319" t="str">
        <f>"Ord# 925563418001"</f>
        <v>Ord# 925563418001</v>
      </c>
    </row>
    <row r="1320" spans="1:10" x14ac:dyDescent="0.3">
      <c r="A1320" t="str">
        <f>""</f>
        <v/>
      </c>
      <c r="G1320" t="str">
        <f>""</f>
        <v/>
      </c>
      <c r="H1320" t="str">
        <f>""</f>
        <v/>
      </c>
      <c r="J1320" t="str">
        <f>"Ord# 925563633001"</f>
        <v>Ord# 925563633001</v>
      </c>
    </row>
    <row r="1321" spans="1:10" x14ac:dyDescent="0.3">
      <c r="A1321" t="str">
        <f>""</f>
        <v/>
      </c>
      <c r="G1321" t="str">
        <f>""</f>
        <v/>
      </c>
      <c r="H1321" t="str">
        <f>""</f>
        <v/>
      </c>
      <c r="J1321" t="str">
        <f>"Ord# 925563634001"</f>
        <v>Ord# 925563634001</v>
      </c>
    </row>
    <row r="1322" spans="1:10" x14ac:dyDescent="0.3">
      <c r="A1322" t="str">
        <f>""</f>
        <v/>
      </c>
      <c r="G1322" t="str">
        <f>""</f>
        <v/>
      </c>
      <c r="H1322" t="str">
        <f>""</f>
        <v/>
      </c>
      <c r="J1322" t="str">
        <f>"Ord# 926004119001"</f>
        <v>Ord# 926004119001</v>
      </c>
    </row>
    <row r="1323" spans="1:10" x14ac:dyDescent="0.3">
      <c r="A1323" t="str">
        <f>""</f>
        <v/>
      </c>
      <c r="G1323" t="str">
        <f>""</f>
        <v/>
      </c>
      <c r="H1323" t="str">
        <f>""</f>
        <v/>
      </c>
      <c r="J1323" t="str">
        <f>"Ord# 929155433001"</f>
        <v>Ord# 929155433001</v>
      </c>
    </row>
    <row r="1324" spans="1:10" x14ac:dyDescent="0.3">
      <c r="A1324" t="str">
        <f>""</f>
        <v/>
      </c>
      <c r="G1324" t="str">
        <f>""</f>
        <v/>
      </c>
      <c r="H1324" t="str">
        <f>""</f>
        <v/>
      </c>
      <c r="J1324" t="str">
        <f>"Ord# 928704003001"</f>
        <v>Ord# 928704003001</v>
      </c>
    </row>
    <row r="1325" spans="1:10" x14ac:dyDescent="0.3">
      <c r="A1325" t="str">
        <f>""</f>
        <v/>
      </c>
      <c r="G1325" t="str">
        <f>""</f>
        <v/>
      </c>
      <c r="H1325" t="str">
        <f>""</f>
        <v/>
      </c>
      <c r="J1325" t="str">
        <f>"Ord# 928704408001"</f>
        <v>Ord# 928704408001</v>
      </c>
    </row>
    <row r="1326" spans="1:10" x14ac:dyDescent="0.3">
      <c r="A1326" t="str">
        <f>""</f>
        <v/>
      </c>
      <c r="G1326" t="str">
        <f>""</f>
        <v/>
      </c>
      <c r="H1326" t="str">
        <f>""</f>
        <v/>
      </c>
      <c r="J1326" t="str">
        <f>"Ord# 925692770001"</f>
        <v>Ord# 925692770001</v>
      </c>
    </row>
    <row r="1327" spans="1:10" x14ac:dyDescent="0.3">
      <c r="A1327" t="str">
        <f>""</f>
        <v/>
      </c>
      <c r="G1327" t="str">
        <f>""</f>
        <v/>
      </c>
      <c r="H1327" t="str">
        <f>""</f>
        <v/>
      </c>
      <c r="J1327" t="str">
        <f>"Ord# 924831810001"</f>
        <v>Ord# 924831810001</v>
      </c>
    </row>
    <row r="1328" spans="1:10" x14ac:dyDescent="0.3">
      <c r="A1328" t="str">
        <f>""</f>
        <v/>
      </c>
      <c r="F1328" t="s">
        <v>10</v>
      </c>
      <c r="G1328" t="str">
        <f>"8123896-6/4/2017"</f>
        <v>8123896-6/4/2017</v>
      </c>
      <c r="H1328" t="str">
        <f>"BIll# 8123896"</f>
        <v>BIll# 8123896</v>
      </c>
      <c r="I1328" s="2">
        <v>877.97</v>
      </c>
      <c r="J1328" t="str">
        <f>"931203529001"</f>
        <v>931203529001</v>
      </c>
    </row>
    <row r="1329" spans="1:10" x14ac:dyDescent="0.3">
      <c r="A1329" t="str">
        <f>""</f>
        <v/>
      </c>
      <c r="G1329" t="str">
        <f>""</f>
        <v/>
      </c>
      <c r="H1329" t="str">
        <f>""</f>
        <v/>
      </c>
      <c r="J1329" t="str">
        <f>"932775087001"</f>
        <v>932775087001</v>
      </c>
    </row>
    <row r="1330" spans="1:10" x14ac:dyDescent="0.3">
      <c r="A1330" t="str">
        <f>""</f>
        <v/>
      </c>
      <c r="G1330" t="str">
        <f>""</f>
        <v/>
      </c>
      <c r="H1330" t="str">
        <f>""</f>
        <v/>
      </c>
      <c r="J1330" t="str">
        <f>"932248561001"</f>
        <v>932248561001</v>
      </c>
    </row>
    <row r="1331" spans="1:10" x14ac:dyDescent="0.3">
      <c r="A1331" t="str">
        <f>""</f>
        <v/>
      </c>
      <c r="G1331" t="str">
        <f>""</f>
        <v/>
      </c>
      <c r="H1331" t="str">
        <f>""</f>
        <v/>
      </c>
      <c r="J1331" t="str">
        <f>"930206344001"</f>
        <v>930206344001</v>
      </c>
    </row>
    <row r="1332" spans="1:10" x14ac:dyDescent="0.3">
      <c r="A1332" t="str">
        <f>""</f>
        <v/>
      </c>
      <c r="G1332" t="str">
        <f>""</f>
        <v/>
      </c>
      <c r="H1332" t="str">
        <f>""</f>
        <v/>
      </c>
      <c r="J1332" t="str">
        <f>"932599717001"</f>
        <v>932599717001</v>
      </c>
    </row>
    <row r="1333" spans="1:10" x14ac:dyDescent="0.3">
      <c r="A1333" t="str">
        <f>""</f>
        <v/>
      </c>
      <c r="G1333" t="str">
        <f>""</f>
        <v/>
      </c>
      <c r="H1333" t="str">
        <f>""</f>
        <v/>
      </c>
      <c r="J1333" t="str">
        <f>"933010194001"</f>
        <v>933010194001</v>
      </c>
    </row>
    <row r="1334" spans="1:10" x14ac:dyDescent="0.3">
      <c r="A1334" t="str">
        <f>""</f>
        <v/>
      </c>
      <c r="G1334" t="str">
        <f>""</f>
        <v/>
      </c>
      <c r="H1334" t="str">
        <f>""</f>
        <v/>
      </c>
      <c r="J1334" t="str">
        <f>"931614185001"</f>
        <v>931614185001</v>
      </c>
    </row>
    <row r="1335" spans="1:10" x14ac:dyDescent="0.3">
      <c r="A1335" t="str">
        <f>""</f>
        <v/>
      </c>
      <c r="G1335" t="str">
        <f>""</f>
        <v/>
      </c>
      <c r="H1335" t="str">
        <f>""</f>
        <v/>
      </c>
      <c r="J1335" t="str">
        <f>"929150111011"</f>
        <v>929150111011</v>
      </c>
    </row>
    <row r="1336" spans="1:10" x14ac:dyDescent="0.3">
      <c r="A1336" t="str">
        <f>""</f>
        <v/>
      </c>
      <c r="G1336" t="str">
        <f>""</f>
        <v/>
      </c>
      <c r="H1336" t="str">
        <f>""</f>
        <v/>
      </c>
      <c r="J1336" t="str">
        <f>"929153433001"</f>
        <v>929153433001</v>
      </c>
    </row>
    <row r="1337" spans="1:10" x14ac:dyDescent="0.3">
      <c r="A1337" t="str">
        <f>""</f>
        <v/>
      </c>
      <c r="G1337" t="str">
        <f>""</f>
        <v/>
      </c>
      <c r="H1337" t="str">
        <f>""</f>
        <v/>
      </c>
      <c r="J1337" t="str">
        <f>"929807693001"</f>
        <v>929807693001</v>
      </c>
    </row>
    <row r="1338" spans="1:10" x14ac:dyDescent="0.3">
      <c r="A1338" t="str">
        <f>""</f>
        <v/>
      </c>
      <c r="G1338" t="str">
        <f>""</f>
        <v/>
      </c>
      <c r="H1338" t="str">
        <f>""</f>
        <v/>
      </c>
      <c r="J1338" t="str">
        <f>"928704409001"</f>
        <v>928704409001</v>
      </c>
    </row>
    <row r="1339" spans="1:10" x14ac:dyDescent="0.3">
      <c r="A1339" t="str">
        <f>""</f>
        <v/>
      </c>
      <c r="G1339" t="str">
        <f>""</f>
        <v/>
      </c>
      <c r="H1339" t="str">
        <f>""</f>
        <v/>
      </c>
      <c r="J1339" t="str">
        <f>"930884264001"</f>
        <v>930884264001</v>
      </c>
    </row>
    <row r="1340" spans="1:10" x14ac:dyDescent="0.3">
      <c r="A1340" t="str">
        <f>"T5769"</f>
        <v>T5769</v>
      </c>
      <c r="B1340" t="s">
        <v>380</v>
      </c>
      <c r="C1340">
        <v>71258</v>
      </c>
      <c r="D1340" s="2">
        <v>3001.93</v>
      </c>
      <c r="E1340" s="1">
        <v>42912</v>
      </c>
      <c r="F1340" t="s">
        <v>10</v>
      </c>
      <c r="G1340" t="str">
        <f>"8162856"</f>
        <v>8162856</v>
      </c>
      <c r="H1340" t="str">
        <f>"Bill# 8162856"</f>
        <v>Bill# 8162856</v>
      </c>
      <c r="I1340" s="2">
        <v>3001.93</v>
      </c>
      <c r="J1340" t="str">
        <f>"Ord# 936007868001"</f>
        <v>Ord# 936007868001</v>
      </c>
    </row>
    <row r="1341" spans="1:10" x14ac:dyDescent="0.3">
      <c r="A1341" t="str">
        <f>""</f>
        <v/>
      </c>
      <c r="G1341" t="str">
        <f>""</f>
        <v/>
      </c>
      <c r="H1341" t="str">
        <f>""</f>
        <v/>
      </c>
      <c r="J1341" t="str">
        <f>"Ord# 936203200001"</f>
        <v>Ord# 936203200001</v>
      </c>
    </row>
    <row r="1342" spans="1:10" x14ac:dyDescent="0.3">
      <c r="A1342" t="str">
        <f>""</f>
        <v/>
      </c>
      <c r="G1342" t="str">
        <f>""</f>
        <v/>
      </c>
      <c r="H1342" t="str">
        <f>""</f>
        <v/>
      </c>
      <c r="J1342" t="str">
        <f>"Ord# 936204377001"</f>
        <v>Ord# 936204377001</v>
      </c>
    </row>
    <row r="1343" spans="1:10" x14ac:dyDescent="0.3">
      <c r="A1343" t="str">
        <f>""</f>
        <v/>
      </c>
      <c r="G1343" t="str">
        <f>""</f>
        <v/>
      </c>
      <c r="H1343" t="str">
        <f>""</f>
        <v/>
      </c>
      <c r="J1343" t="str">
        <f>"Ord# 933656586001"</f>
        <v>Ord# 933656586001</v>
      </c>
    </row>
    <row r="1344" spans="1:10" x14ac:dyDescent="0.3">
      <c r="A1344" t="str">
        <f>""</f>
        <v/>
      </c>
      <c r="G1344" t="str">
        <f>""</f>
        <v/>
      </c>
      <c r="H1344" t="str">
        <f>""</f>
        <v/>
      </c>
      <c r="J1344" t="str">
        <f>"Ord# 934020019001"</f>
        <v>Ord# 934020019001</v>
      </c>
    </row>
    <row r="1345" spans="1:10" x14ac:dyDescent="0.3">
      <c r="A1345" t="str">
        <f>""</f>
        <v/>
      </c>
      <c r="G1345" t="str">
        <f>""</f>
        <v/>
      </c>
      <c r="H1345" t="str">
        <f>""</f>
        <v/>
      </c>
      <c r="J1345" t="str">
        <f>"Ord# 935353316001"</f>
        <v>Ord# 935353316001</v>
      </c>
    </row>
    <row r="1346" spans="1:10" x14ac:dyDescent="0.3">
      <c r="A1346" t="str">
        <f>""</f>
        <v/>
      </c>
      <c r="G1346" t="str">
        <f>""</f>
        <v/>
      </c>
      <c r="H1346" t="str">
        <f>""</f>
        <v/>
      </c>
      <c r="J1346" t="str">
        <f>"Ord# 935356627001"</f>
        <v>Ord# 935356627001</v>
      </c>
    </row>
    <row r="1347" spans="1:10" x14ac:dyDescent="0.3">
      <c r="A1347" t="str">
        <f>""</f>
        <v/>
      </c>
      <c r="G1347" t="str">
        <f>""</f>
        <v/>
      </c>
      <c r="H1347" t="str">
        <f>""</f>
        <v/>
      </c>
      <c r="J1347" t="str">
        <f>"Ord# 936652835001"</f>
        <v>Ord# 936652835001</v>
      </c>
    </row>
    <row r="1348" spans="1:10" x14ac:dyDescent="0.3">
      <c r="A1348" t="str">
        <f>""</f>
        <v/>
      </c>
      <c r="G1348" t="str">
        <f>""</f>
        <v/>
      </c>
      <c r="H1348" t="str">
        <f>""</f>
        <v/>
      </c>
      <c r="J1348" t="str">
        <f>"Ord# 936655144001"</f>
        <v>Ord# 936655144001</v>
      </c>
    </row>
    <row r="1349" spans="1:10" x14ac:dyDescent="0.3">
      <c r="A1349" t="str">
        <f>""</f>
        <v/>
      </c>
      <c r="G1349" t="str">
        <f>""</f>
        <v/>
      </c>
      <c r="H1349" t="str">
        <f>""</f>
        <v/>
      </c>
      <c r="J1349" t="str">
        <f>"Ord# 93535654001"</f>
        <v>Ord# 93535654001</v>
      </c>
    </row>
    <row r="1350" spans="1:10" x14ac:dyDescent="0.3">
      <c r="A1350" t="str">
        <f>""</f>
        <v/>
      </c>
      <c r="G1350" t="str">
        <f>""</f>
        <v/>
      </c>
      <c r="H1350" t="str">
        <f>""</f>
        <v/>
      </c>
      <c r="J1350" t="str">
        <f>"Ord# 935356682001"</f>
        <v>Ord# 935356682001</v>
      </c>
    </row>
    <row r="1351" spans="1:10" x14ac:dyDescent="0.3">
      <c r="A1351" t="str">
        <f>""</f>
        <v/>
      </c>
      <c r="G1351" t="str">
        <f>""</f>
        <v/>
      </c>
      <c r="H1351" t="str">
        <f>""</f>
        <v/>
      </c>
      <c r="J1351" t="str">
        <f>"Ord# 933076061001"</f>
        <v>Ord# 933076061001</v>
      </c>
    </row>
    <row r="1352" spans="1:10" x14ac:dyDescent="0.3">
      <c r="A1352" t="str">
        <f>""</f>
        <v/>
      </c>
      <c r="G1352" t="str">
        <f>""</f>
        <v/>
      </c>
      <c r="H1352" t="str">
        <f>""</f>
        <v/>
      </c>
      <c r="J1352" t="str">
        <f>"Ord# 936300098001"</f>
        <v>Ord# 936300098001</v>
      </c>
    </row>
    <row r="1353" spans="1:10" x14ac:dyDescent="0.3">
      <c r="A1353" t="str">
        <f>""</f>
        <v/>
      </c>
      <c r="G1353" t="str">
        <f>""</f>
        <v/>
      </c>
      <c r="H1353" t="str">
        <f>""</f>
        <v/>
      </c>
      <c r="J1353" t="str">
        <f>"Ord# 936307022001"</f>
        <v>Ord# 936307022001</v>
      </c>
    </row>
    <row r="1354" spans="1:10" x14ac:dyDescent="0.3">
      <c r="A1354" t="str">
        <f>""</f>
        <v/>
      </c>
      <c r="G1354" t="str">
        <f>""</f>
        <v/>
      </c>
      <c r="H1354" t="str">
        <f>""</f>
        <v/>
      </c>
      <c r="J1354" t="str">
        <f>"Ord# 933766224001"</f>
        <v>Ord# 933766224001</v>
      </c>
    </row>
    <row r="1355" spans="1:10" x14ac:dyDescent="0.3">
      <c r="A1355" t="str">
        <f>""</f>
        <v/>
      </c>
      <c r="G1355" t="str">
        <f>""</f>
        <v/>
      </c>
      <c r="H1355" t="str">
        <f>""</f>
        <v/>
      </c>
      <c r="J1355" t="str">
        <f>"Ord# 933766695001"</f>
        <v>Ord# 933766695001</v>
      </c>
    </row>
    <row r="1356" spans="1:10" x14ac:dyDescent="0.3">
      <c r="A1356" t="str">
        <f>""</f>
        <v/>
      </c>
      <c r="G1356" t="str">
        <f>""</f>
        <v/>
      </c>
      <c r="H1356" t="str">
        <f>""</f>
        <v/>
      </c>
      <c r="J1356" t="str">
        <f>"Ord# 934336980001"</f>
        <v>Ord# 934336980001</v>
      </c>
    </row>
    <row r="1357" spans="1:10" x14ac:dyDescent="0.3">
      <c r="A1357" t="str">
        <f>""</f>
        <v/>
      </c>
      <c r="G1357" t="str">
        <f>""</f>
        <v/>
      </c>
      <c r="H1357" t="str">
        <f>""</f>
        <v/>
      </c>
      <c r="J1357" t="str">
        <f>"Ord# 936652916001"</f>
        <v>Ord# 936652916001</v>
      </c>
    </row>
    <row r="1358" spans="1:10" x14ac:dyDescent="0.3">
      <c r="A1358" t="str">
        <f>""</f>
        <v/>
      </c>
      <c r="G1358" t="str">
        <f>""</f>
        <v/>
      </c>
      <c r="H1358" t="str">
        <f>""</f>
        <v/>
      </c>
      <c r="J1358" t="str">
        <f>"Ord# 935824320001"</f>
        <v>Ord# 935824320001</v>
      </c>
    </row>
    <row r="1359" spans="1:10" x14ac:dyDescent="0.3">
      <c r="A1359" t="str">
        <f>""</f>
        <v/>
      </c>
      <c r="G1359" t="str">
        <f>""</f>
        <v/>
      </c>
      <c r="H1359" t="str">
        <f>""</f>
        <v/>
      </c>
      <c r="J1359" t="str">
        <f>"Ord# 935833189001"</f>
        <v>Ord# 935833189001</v>
      </c>
    </row>
    <row r="1360" spans="1:10" x14ac:dyDescent="0.3">
      <c r="A1360" t="str">
        <f>"T3313"</f>
        <v>T3313</v>
      </c>
      <c r="B1360" t="s">
        <v>381</v>
      </c>
      <c r="C1360">
        <v>70955</v>
      </c>
      <c r="D1360" s="2">
        <v>1560</v>
      </c>
      <c r="E1360" s="1">
        <v>42898</v>
      </c>
      <c r="F1360" t="s">
        <v>10</v>
      </c>
      <c r="G1360" t="str">
        <f>"322619"</f>
        <v>322619</v>
      </c>
      <c r="H1360" t="str">
        <f>"Inv# 322619"</f>
        <v>Inv# 322619</v>
      </c>
      <c r="I1360" s="2">
        <v>1560</v>
      </c>
      <c r="J1360" t="str">
        <f>"Payment"</f>
        <v>Payment</v>
      </c>
    </row>
    <row r="1361" spans="1:10" x14ac:dyDescent="0.3">
      <c r="A1361" t="str">
        <f>"000877"</f>
        <v>000877</v>
      </c>
      <c r="B1361" t="s">
        <v>382</v>
      </c>
      <c r="C1361">
        <v>70956</v>
      </c>
      <c r="D1361" s="2">
        <v>455</v>
      </c>
      <c r="E1361" s="1">
        <v>42898</v>
      </c>
      <c r="F1361" t="s">
        <v>10</v>
      </c>
      <c r="G1361" t="str">
        <f>"282631-1"</f>
        <v>282631-1</v>
      </c>
      <c r="H1361" t="str">
        <f>"CUST#BASCOU/DRUG TESTING/PCT1"</f>
        <v>CUST#BASCOU/DRUG TESTING/PCT1</v>
      </c>
      <c r="I1361" s="2">
        <v>135</v>
      </c>
      <c r="J1361" t="str">
        <f>"PRE EMPLOYMENT SERVICES"</f>
        <v>PRE EMPLOYMENT SERVICES</v>
      </c>
    </row>
    <row r="1362" spans="1:10" x14ac:dyDescent="0.3">
      <c r="A1362" t="str">
        <f>""</f>
        <v/>
      </c>
      <c r="F1362" t="s">
        <v>10</v>
      </c>
      <c r="G1362" t="str">
        <f>"282631-2"</f>
        <v>282631-2</v>
      </c>
      <c r="H1362" t="str">
        <f>"CUST#BASCOU/DRUG TESTING/PCT2"</f>
        <v>CUST#BASCOU/DRUG TESTING/PCT2</v>
      </c>
      <c r="I1362" s="2">
        <v>120</v>
      </c>
      <c r="J1362" t="str">
        <f>"PRE EMPLOYMENT SERVICES"</f>
        <v>PRE EMPLOYMENT SERVICES</v>
      </c>
    </row>
    <row r="1363" spans="1:10" x14ac:dyDescent="0.3">
      <c r="A1363" t="str">
        <f>""</f>
        <v/>
      </c>
      <c r="F1363" t="s">
        <v>10</v>
      </c>
      <c r="G1363" t="str">
        <f>"282631-3"</f>
        <v>282631-3</v>
      </c>
      <c r="H1363" t="str">
        <f>"CUST#BASCOU/DRUG TESTING/PCT4"</f>
        <v>CUST#BASCOU/DRUG TESTING/PCT4</v>
      </c>
      <c r="I1363" s="2">
        <v>200</v>
      </c>
      <c r="J1363" t="str">
        <f>"PRE EMPLOYMENT SERVICES"</f>
        <v>PRE EMPLOYMENT SERVICES</v>
      </c>
    </row>
    <row r="1364" spans="1:10" x14ac:dyDescent="0.3">
      <c r="A1364" t="str">
        <f>"OP"</f>
        <v>OP</v>
      </c>
      <c r="B1364" t="s">
        <v>383</v>
      </c>
      <c r="C1364">
        <v>70957</v>
      </c>
      <c r="D1364" s="2">
        <v>220</v>
      </c>
      <c r="E1364" s="1">
        <v>42898</v>
      </c>
      <c r="F1364" t="s">
        <v>10</v>
      </c>
      <c r="G1364" t="str">
        <f>"R015245"</f>
        <v>R015245</v>
      </c>
      <c r="H1364" t="str">
        <f>"Inv# R015245"</f>
        <v>Inv# R015245</v>
      </c>
      <c r="I1364" s="2">
        <v>220</v>
      </c>
      <c r="J1364" t="str">
        <f>"Inv# R015245"</f>
        <v>Inv# R015245</v>
      </c>
    </row>
    <row r="1365" spans="1:10" x14ac:dyDescent="0.3">
      <c r="A1365" t="str">
        <f>"OP"</f>
        <v>OP</v>
      </c>
      <c r="B1365" t="s">
        <v>383</v>
      </c>
      <c r="C1365">
        <v>71259</v>
      </c>
      <c r="D1365" s="2">
        <v>210</v>
      </c>
      <c r="E1365" s="1">
        <v>42912</v>
      </c>
      <c r="F1365" t="s">
        <v>10</v>
      </c>
      <c r="G1365" t="str">
        <f>"16073"</f>
        <v>16073</v>
      </c>
      <c r="H1365" t="str">
        <f>"LEAK/COURTHOUSE"</f>
        <v>LEAK/COURTHOUSE</v>
      </c>
      <c r="I1365" s="2">
        <v>210</v>
      </c>
      <c r="J1365" t="str">
        <f>"LEAK/COURTHOUSE"</f>
        <v>LEAK/COURTHOUSE</v>
      </c>
    </row>
    <row r="1366" spans="1:10" x14ac:dyDescent="0.3">
      <c r="A1366" t="str">
        <f>"005074"</f>
        <v>005074</v>
      </c>
      <c r="B1366" t="s">
        <v>384</v>
      </c>
      <c r="C1366">
        <v>70958</v>
      </c>
      <c r="D1366" s="2">
        <v>5742.83</v>
      </c>
      <c r="E1366" s="1">
        <v>42898</v>
      </c>
      <c r="F1366" t="s">
        <v>10</v>
      </c>
      <c r="G1366" t="str">
        <f>"051717"</f>
        <v>051717</v>
      </c>
      <c r="H1366" t="str">
        <f>"Quote# 051118"</f>
        <v>Quote# 051118</v>
      </c>
      <c r="I1366" s="2">
        <v>5742.83</v>
      </c>
      <c r="J1366" t="str">
        <f>"CCI5200CASE"</f>
        <v>CCI5200CASE</v>
      </c>
    </row>
    <row r="1367" spans="1:10" x14ac:dyDescent="0.3">
      <c r="A1367" t="str">
        <f>""</f>
        <v/>
      </c>
      <c r="G1367" t="str">
        <f>""</f>
        <v/>
      </c>
      <c r="H1367" t="str">
        <f>""</f>
        <v/>
      </c>
      <c r="J1367" t="str">
        <f>"CCI5201CASE"</f>
        <v>CCI5201CASE</v>
      </c>
    </row>
    <row r="1368" spans="1:10" x14ac:dyDescent="0.3">
      <c r="A1368" t="str">
        <f>""</f>
        <v/>
      </c>
      <c r="G1368" t="str">
        <f>""</f>
        <v/>
      </c>
      <c r="H1368" t="str">
        <f>""</f>
        <v/>
      </c>
      <c r="J1368" t="str">
        <f>"CCI53919CASE"</f>
        <v>CCI53919CASE</v>
      </c>
    </row>
    <row r="1369" spans="1:10" x14ac:dyDescent="0.3">
      <c r="A1369" t="str">
        <f>""</f>
        <v/>
      </c>
      <c r="G1369" t="str">
        <f>""</f>
        <v/>
      </c>
      <c r="H1369" t="str">
        <f>""</f>
        <v/>
      </c>
      <c r="J1369" t="str">
        <f>"CCI5220CASE"</f>
        <v>CCI5220CASE</v>
      </c>
    </row>
    <row r="1370" spans="1:10" x14ac:dyDescent="0.3">
      <c r="A1370" t="str">
        <f>""</f>
        <v/>
      </c>
      <c r="G1370" t="str">
        <f>""</f>
        <v/>
      </c>
      <c r="H1370" t="str">
        <f>""</f>
        <v/>
      </c>
      <c r="J1370" t="str">
        <f>"CCI5230CASE"</f>
        <v>CCI5230CASE</v>
      </c>
    </row>
    <row r="1371" spans="1:10" x14ac:dyDescent="0.3">
      <c r="A1371" t="str">
        <f>""</f>
        <v/>
      </c>
      <c r="G1371" t="str">
        <f>""</f>
        <v/>
      </c>
      <c r="H1371" t="str">
        <f>""</f>
        <v/>
      </c>
      <c r="J1371" t="str">
        <f>"WPA223FMJ5"</f>
        <v>WPA223FMJ5</v>
      </c>
    </row>
    <row r="1372" spans="1:10" x14ac:dyDescent="0.3">
      <c r="A1372" t="str">
        <f>""</f>
        <v/>
      </c>
      <c r="G1372" t="str">
        <f>""</f>
        <v/>
      </c>
      <c r="H1372" t="str">
        <f>""</f>
        <v/>
      </c>
      <c r="J1372" t="str">
        <f>"PP59CASE"</f>
        <v>PP59CASE</v>
      </c>
    </row>
    <row r="1373" spans="1:10" x14ac:dyDescent="0.3">
      <c r="A1373" t="str">
        <f>""</f>
        <v/>
      </c>
      <c r="G1373" t="str">
        <f>""</f>
        <v/>
      </c>
      <c r="H1373" t="str">
        <f>""</f>
        <v/>
      </c>
      <c r="J1373" t="str">
        <f>"LEB127RSBR"</f>
        <v>LEB127RSBR</v>
      </c>
    </row>
    <row r="1374" spans="1:10" x14ac:dyDescent="0.3">
      <c r="A1374" t="str">
        <f>""</f>
        <v/>
      </c>
      <c r="G1374" t="str">
        <f>""</f>
        <v/>
      </c>
      <c r="H1374" t="str">
        <f>""</f>
        <v/>
      </c>
      <c r="J1374" t="str">
        <f>"LE13300BRICK"</f>
        <v>LE13300BRICK</v>
      </c>
    </row>
    <row r="1375" spans="1:10" x14ac:dyDescent="0.3">
      <c r="A1375" t="str">
        <f>""</f>
        <v/>
      </c>
      <c r="G1375" t="str">
        <f>""</f>
        <v/>
      </c>
      <c r="H1375" t="str">
        <f>""</f>
        <v/>
      </c>
      <c r="J1375" t="str">
        <f>"Freight"</f>
        <v>Freight</v>
      </c>
    </row>
    <row r="1376" spans="1:10" x14ac:dyDescent="0.3">
      <c r="A1376" t="str">
        <f>"004798"</f>
        <v>004798</v>
      </c>
      <c r="B1376" t="s">
        <v>385</v>
      </c>
      <c r="C1376">
        <v>70959</v>
      </c>
      <c r="D1376" s="2">
        <v>739.71</v>
      </c>
      <c r="E1376" s="1">
        <v>42898</v>
      </c>
      <c r="F1376" t="s">
        <v>10</v>
      </c>
      <c r="G1376" t="str">
        <f>"14760 (202)"</f>
        <v>14760 (202)</v>
      </c>
      <c r="H1376" t="str">
        <f>"INV 14760 (202)"</f>
        <v>INV 14760 (202)</v>
      </c>
      <c r="I1376" s="2">
        <v>399.96</v>
      </c>
      <c r="J1376" t="str">
        <f>"INV 14760 (202)"</f>
        <v>INV 14760 (202)</v>
      </c>
    </row>
    <row r="1377" spans="1:10" x14ac:dyDescent="0.3">
      <c r="A1377" t="str">
        <f>""</f>
        <v/>
      </c>
      <c r="F1377" t="s">
        <v>10</v>
      </c>
      <c r="G1377" t="str">
        <f>"14760 OR 165"</f>
        <v>14760 OR 165</v>
      </c>
      <c r="H1377" t="str">
        <f>"INV 14760 OR 165/ #5511"</f>
        <v>INV 14760 OR 165/ #5511</v>
      </c>
      <c r="I1377" s="2">
        <v>339.75</v>
      </c>
      <c r="J1377" t="str">
        <f>"INV 14760 OR 165"</f>
        <v>INV 14760 OR 165</v>
      </c>
    </row>
    <row r="1378" spans="1:10" x14ac:dyDescent="0.3">
      <c r="A1378" t="str">
        <f>"004798"</f>
        <v>004798</v>
      </c>
      <c r="B1378" t="s">
        <v>385</v>
      </c>
      <c r="C1378">
        <v>71260</v>
      </c>
      <c r="D1378" s="2">
        <v>240</v>
      </c>
      <c r="E1378" s="1">
        <v>42912</v>
      </c>
      <c r="F1378" t="s">
        <v>10</v>
      </c>
      <c r="G1378" t="str">
        <f>"14760 OR 232"</f>
        <v>14760 OR 232</v>
      </c>
      <c r="H1378" t="str">
        <f>"INV 14760OR232/UNIT  1079"</f>
        <v>INV 14760OR232/UNIT  1079</v>
      </c>
      <c r="I1378" s="2">
        <v>240</v>
      </c>
      <c r="J1378" t="str">
        <f>"INV 14760 OR 232"</f>
        <v>INV 14760 OR 232</v>
      </c>
    </row>
    <row r="1379" spans="1:10" x14ac:dyDescent="0.3">
      <c r="A1379" t="str">
        <f>"003566"</f>
        <v>003566</v>
      </c>
      <c r="B1379" t="s">
        <v>386</v>
      </c>
      <c r="C1379">
        <v>70960</v>
      </c>
      <c r="D1379" s="2">
        <v>23.64</v>
      </c>
      <c r="E1379" s="1">
        <v>42898</v>
      </c>
      <c r="F1379" t="s">
        <v>10</v>
      </c>
      <c r="G1379" t="str">
        <f>"21722"</f>
        <v>21722</v>
      </c>
      <c r="H1379" t="str">
        <f>"ACCT# 1137 PCT#4"</f>
        <v>ACCT# 1137 PCT#4</v>
      </c>
      <c r="I1379" s="2">
        <v>23.64</v>
      </c>
      <c r="J1379" t="str">
        <f>"ACCT# 1137 PCT#4"</f>
        <v>ACCT# 1137 PCT#4</v>
      </c>
    </row>
    <row r="1380" spans="1:10" x14ac:dyDescent="0.3">
      <c r="A1380" t="str">
        <f>"T5411"</f>
        <v>T5411</v>
      </c>
      <c r="B1380" t="s">
        <v>387</v>
      </c>
      <c r="C1380">
        <v>70961</v>
      </c>
      <c r="D1380" s="2">
        <v>508.5</v>
      </c>
      <c r="E1380" s="1">
        <v>42898</v>
      </c>
      <c r="F1380" t="s">
        <v>10</v>
      </c>
      <c r="G1380" t="str">
        <f>"022897"</f>
        <v>022897</v>
      </c>
      <c r="H1380" t="str">
        <f>"Roll Up Flags"</f>
        <v>Roll Up Flags</v>
      </c>
      <c r="I1380" s="2">
        <v>508.5</v>
      </c>
      <c r="J1380" t="str">
        <f>"RU-FLGRS-36R"</f>
        <v>RU-FLGRS-36R</v>
      </c>
    </row>
    <row r="1381" spans="1:10" x14ac:dyDescent="0.3">
      <c r="A1381" t="str">
        <f>""</f>
        <v/>
      </c>
      <c r="G1381" t="str">
        <f>""</f>
        <v/>
      </c>
      <c r="H1381" t="str">
        <f>""</f>
        <v/>
      </c>
      <c r="J1381" t="str">
        <f>"RU-OLRA-36R"</f>
        <v>RU-OLRA-36R</v>
      </c>
    </row>
    <row r="1382" spans="1:10" x14ac:dyDescent="0.3">
      <c r="A1382" t="str">
        <f>"T5411"</f>
        <v>T5411</v>
      </c>
      <c r="B1382" t="s">
        <v>387</v>
      </c>
      <c r="C1382">
        <v>71261</v>
      </c>
      <c r="D1382" s="2">
        <v>973.5</v>
      </c>
      <c r="E1382" s="1">
        <v>42912</v>
      </c>
      <c r="F1382" t="s">
        <v>10</v>
      </c>
      <c r="G1382" t="str">
        <f>"023158"</f>
        <v>023158</v>
      </c>
      <c r="H1382" t="str">
        <f>"MTL FOLDING BARR"</f>
        <v>MTL FOLDING BARR</v>
      </c>
      <c r="I1382" s="2">
        <v>973.5</v>
      </c>
      <c r="J1382" t="str">
        <f>"MTL FOLDING BARR"</f>
        <v>MTL FOLDING BARR</v>
      </c>
    </row>
    <row r="1383" spans="1:10" x14ac:dyDescent="0.3">
      <c r="A1383" t="str">
        <f>"002370"</f>
        <v>002370</v>
      </c>
      <c r="B1383" t="s">
        <v>388</v>
      </c>
      <c r="C1383">
        <v>70962</v>
      </c>
      <c r="D1383" s="2">
        <v>2066.8000000000002</v>
      </c>
      <c r="E1383" s="1">
        <v>42898</v>
      </c>
      <c r="F1383" t="s">
        <v>10</v>
      </c>
      <c r="G1383" t="str">
        <f>"2008266"</f>
        <v>2008266</v>
      </c>
      <c r="H1383" t="str">
        <f>"Inv# 2008266"</f>
        <v>Inv# 2008266</v>
      </c>
      <c r="I1383" s="2">
        <v>1653</v>
      </c>
      <c r="J1383" t="str">
        <f>"Materials"</f>
        <v>Materials</v>
      </c>
    </row>
    <row r="1384" spans="1:10" x14ac:dyDescent="0.3">
      <c r="A1384" t="str">
        <f>""</f>
        <v/>
      </c>
      <c r="G1384" t="str">
        <f>""</f>
        <v/>
      </c>
      <c r="H1384" t="str">
        <f>""</f>
        <v/>
      </c>
      <c r="J1384" t="str">
        <f>"Labor"</f>
        <v>Labor</v>
      </c>
    </row>
    <row r="1385" spans="1:10" x14ac:dyDescent="0.3">
      <c r="A1385" t="str">
        <f>""</f>
        <v/>
      </c>
      <c r="F1385" t="s">
        <v>10</v>
      </c>
      <c r="G1385" t="str">
        <f>"2008267"</f>
        <v>2008267</v>
      </c>
      <c r="H1385" t="str">
        <f>"INV# 2008267"</f>
        <v>INV# 2008267</v>
      </c>
      <c r="I1385" s="2">
        <v>413.8</v>
      </c>
      <c r="J1385" t="str">
        <f>"INV# 2008267"</f>
        <v>INV# 2008267</v>
      </c>
    </row>
    <row r="1386" spans="1:10" x14ac:dyDescent="0.3">
      <c r="A1386" t="str">
        <f>"003321"</f>
        <v>003321</v>
      </c>
      <c r="B1386" t="s">
        <v>389</v>
      </c>
      <c r="C1386">
        <v>70963</v>
      </c>
      <c r="D1386" s="2">
        <v>175</v>
      </c>
      <c r="E1386" s="1">
        <v>42898</v>
      </c>
      <c r="F1386" t="s">
        <v>10</v>
      </c>
      <c r="G1386" t="str">
        <f>"201706052648"</f>
        <v>201706052648</v>
      </c>
      <c r="H1386" t="str">
        <f>"FERAL HOGS"</f>
        <v>FERAL HOGS</v>
      </c>
      <c r="I1386" s="2">
        <v>15</v>
      </c>
      <c r="J1386" t="str">
        <f>"FERAL HOGS"</f>
        <v>FERAL HOGS</v>
      </c>
    </row>
    <row r="1387" spans="1:10" x14ac:dyDescent="0.3">
      <c r="A1387" t="str">
        <f>""</f>
        <v/>
      </c>
      <c r="F1387" t="s">
        <v>10</v>
      </c>
      <c r="G1387" t="str">
        <f>"201706052649"</f>
        <v>201706052649</v>
      </c>
      <c r="H1387" t="str">
        <f>"FERAL HOGS"</f>
        <v>FERAL HOGS</v>
      </c>
      <c r="I1387" s="2">
        <v>160</v>
      </c>
      <c r="J1387" t="str">
        <f>"FERAL HOGS"</f>
        <v>FERAL HOGS</v>
      </c>
    </row>
    <row r="1388" spans="1:10" x14ac:dyDescent="0.3">
      <c r="A1388" t="str">
        <f>"WEBSTE"</f>
        <v>WEBSTE</v>
      </c>
      <c r="B1388" t="s">
        <v>390</v>
      </c>
      <c r="C1388">
        <v>70964</v>
      </c>
      <c r="D1388" s="2">
        <v>2793.46</v>
      </c>
      <c r="E1388" s="1">
        <v>42898</v>
      </c>
      <c r="F1388" t="s">
        <v>10</v>
      </c>
      <c r="G1388" t="str">
        <f>"201706062776"</f>
        <v>201706062776</v>
      </c>
      <c r="H1388" t="str">
        <f>"ACCT#0200140783/VETERINARY SUP"</f>
        <v>ACCT#0200140783/VETERINARY SUP</v>
      </c>
      <c r="I1388" s="2">
        <v>2793.46</v>
      </c>
      <c r="J1388" t="str">
        <f>"ACCT#0200140783/VETERINARY SUP"</f>
        <v>ACCT#0200140783/VETERINARY SUP</v>
      </c>
    </row>
    <row r="1389" spans="1:10" x14ac:dyDescent="0.3">
      <c r="A1389" t="str">
        <f>""</f>
        <v/>
      </c>
      <c r="G1389" t="str">
        <f>""</f>
        <v/>
      </c>
      <c r="H1389" t="str">
        <f>""</f>
        <v/>
      </c>
      <c r="J1389" t="str">
        <f>"ACCT#0200140783/VETERINARY SUP"</f>
        <v>ACCT#0200140783/VETERINARY SUP</v>
      </c>
    </row>
    <row r="1390" spans="1:10" x14ac:dyDescent="0.3">
      <c r="A1390" t="str">
        <f>"003382"</f>
        <v>003382</v>
      </c>
      <c r="B1390" t="s">
        <v>391</v>
      </c>
      <c r="C1390">
        <v>70965</v>
      </c>
      <c r="D1390" s="2">
        <v>55</v>
      </c>
      <c r="E1390" s="1">
        <v>42898</v>
      </c>
      <c r="F1390" t="s">
        <v>10</v>
      </c>
      <c r="G1390" t="str">
        <f>"201706073009"</f>
        <v>201706073009</v>
      </c>
      <c r="H1390" t="str">
        <f>"FERAL HOGS"</f>
        <v>FERAL HOGS</v>
      </c>
      <c r="I1390" s="2">
        <v>55</v>
      </c>
      <c r="J1390" t="str">
        <f>"FERAL HOGS"</f>
        <v>FERAL HOGS</v>
      </c>
    </row>
    <row r="1391" spans="1:10" x14ac:dyDescent="0.3">
      <c r="A1391" t="str">
        <f>"001854"</f>
        <v>001854</v>
      </c>
      <c r="B1391" t="s">
        <v>392</v>
      </c>
      <c r="C1391">
        <v>70966</v>
      </c>
      <c r="D1391" s="2">
        <v>598</v>
      </c>
      <c r="E1391" s="1">
        <v>42898</v>
      </c>
      <c r="F1391" t="s">
        <v>10</v>
      </c>
      <c r="G1391" t="str">
        <f>"201706052622"</f>
        <v>201706052622</v>
      </c>
      <c r="H1391" t="str">
        <f>"CONTRACT LABOR/5-22 TO 5/30/17"</f>
        <v>CONTRACT LABOR/5-22 TO 5/30/17</v>
      </c>
      <c r="I1391" s="2">
        <v>305.5</v>
      </c>
      <c r="J1391" t="str">
        <f>"CONTRACT LABOR/5-22 TO 5/30/17"</f>
        <v>CONTRACT LABOR/5-22 TO 5/30/17</v>
      </c>
    </row>
    <row r="1392" spans="1:10" x14ac:dyDescent="0.3">
      <c r="A1392" t="str">
        <f>""</f>
        <v/>
      </c>
      <c r="F1392" t="s">
        <v>10</v>
      </c>
      <c r="G1392" t="str">
        <f>"201706052623"</f>
        <v>201706052623</v>
      </c>
      <c r="H1392" t="str">
        <f>"CONTRACT LABOR/6-1 TO 6/8/17"</f>
        <v>CONTRACT LABOR/6-1 TO 6/8/17</v>
      </c>
      <c r="I1392" s="2">
        <v>292.5</v>
      </c>
      <c r="J1392" t="str">
        <f>"CONTRACT LABOR/6-1 TO 6/8/17"</f>
        <v>CONTRACT LABOR/6-1 TO 6/8/17</v>
      </c>
    </row>
    <row r="1393" spans="1:10" x14ac:dyDescent="0.3">
      <c r="A1393" t="str">
        <f>"001854"</f>
        <v>001854</v>
      </c>
      <c r="B1393" t="s">
        <v>392</v>
      </c>
      <c r="C1393">
        <v>71262</v>
      </c>
      <c r="D1393" s="2">
        <v>370.5</v>
      </c>
      <c r="E1393" s="1">
        <v>42912</v>
      </c>
      <c r="F1393" t="s">
        <v>10</v>
      </c>
      <c r="G1393" t="str">
        <f>"201706203164"</f>
        <v>201706203164</v>
      </c>
      <c r="H1393" t="str">
        <f>"CONTRACT LABOR-6/12 TO 6/22/17"</f>
        <v>CONTRACT LABOR-6/12 TO 6/22/17</v>
      </c>
      <c r="I1393" s="2">
        <v>370.5</v>
      </c>
      <c r="J1393" t="str">
        <f>"CONTRACT LABOR-6/12 TO 6/22/17"</f>
        <v>CONTRACT LABOR-6/12 TO 6/22/17</v>
      </c>
    </row>
    <row r="1394" spans="1:10" x14ac:dyDescent="0.3">
      <c r="A1394" t="str">
        <f>"002963"</f>
        <v>002963</v>
      </c>
      <c r="B1394" t="s">
        <v>393</v>
      </c>
      <c r="C1394">
        <v>70967</v>
      </c>
      <c r="D1394" s="2">
        <v>161.97999999999999</v>
      </c>
      <c r="E1394" s="1">
        <v>42898</v>
      </c>
      <c r="F1394" t="s">
        <v>10</v>
      </c>
      <c r="G1394" t="str">
        <f>"201706022553"</f>
        <v>201706022553</v>
      </c>
      <c r="H1394" t="str">
        <f>"TRAVEL REIMBURSEMENT"</f>
        <v>TRAVEL REIMBURSEMENT</v>
      </c>
      <c r="I1394" s="2">
        <v>161.97999999999999</v>
      </c>
      <c r="J1394" t="str">
        <f>"TRAVEL REIMBURSEMENT"</f>
        <v>TRAVEL REIMBURSEMENT</v>
      </c>
    </row>
    <row r="1395" spans="1:10" x14ac:dyDescent="0.3">
      <c r="A1395" t="str">
        <f>"PET"</f>
        <v>PET</v>
      </c>
      <c r="B1395" t="s">
        <v>394</v>
      </c>
      <c r="C1395">
        <v>71263</v>
      </c>
      <c r="D1395" s="2">
        <v>29.1</v>
      </c>
      <c r="E1395" s="1">
        <v>42912</v>
      </c>
      <c r="F1395" t="s">
        <v>10</v>
      </c>
      <c r="G1395" t="str">
        <f>"SIUN10137669"</f>
        <v>SIUN10137669</v>
      </c>
      <c r="H1395" t="str">
        <f>"CUST#CUN000000233"</f>
        <v>CUST#CUN000000233</v>
      </c>
      <c r="I1395" s="2">
        <v>29.1</v>
      </c>
      <c r="J1395" t="str">
        <f>"CUST#CUN000000233"</f>
        <v>CUST#CUN000000233</v>
      </c>
    </row>
    <row r="1396" spans="1:10" x14ac:dyDescent="0.3">
      <c r="A1396" t="str">
        <f>"000192"</f>
        <v>000192</v>
      </c>
      <c r="B1396" t="s">
        <v>395</v>
      </c>
      <c r="C1396">
        <v>71264</v>
      </c>
      <c r="D1396" s="2">
        <v>235</v>
      </c>
      <c r="E1396" s="1">
        <v>42912</v>
      </c>
      <c r="F1396" t="s">
        <v>10</v>
      </c>
      <c r="G1396" t="str">
        <f>"201706193139"</f>
        <v>201706193139</v>
      </c>
      <c r="H1396" t="str">
        <f>"REIMB-STATE BAR DUES"</f>
        <v>REIMB-STATE BAR DUES</v>
      </c>
      <c r="I1396" s="2">
        <v>235</v>
      </c>
      <c r="J1396" t="str">
        <f>"REIMB-STATE BAR DUES"</f>
        <v>REIMB-STATE BAR DUES</v>
      </c>
    </row>
    <row r="1397" spans="1:10" x14ac:dyDescent="0.3">
      <c r="A1397" t="str">
        <f>"PRD"</f>
        <v>PRD</v>
      </c>
      <c r="B1397" t="s">
        <v>396</v>
      </c>
      <c r="C1397">
        <v>70968</v>
      </c>
      <c r="D1397" s="2">
        <v>4515</v>
      </c>
      <c r="E1397" s="1">
        <v>42898</v>
      </c>
      <c r="F1397" t="s">
        <v>10</v>
      </c>
      <c r="G1397" t="str">
        <f>"201706012527"</f>
        <v>201706012527</v>
      </c>
      <c r="H1397" t="str">
        <f>"55093"</f>
        <v>55093</v>
      </c>
      <c r="I1397" s="2">
        <v>250</v>
      </c>
      <c r="J1397" t="str">
        <f>"55093"</f>
        <v>55093</v>
      </c>
    </row>
    <row r="1398" spans="1:10" x14ac:dyDescent="0.3">
      <c r="A1398" t="str">
        <f>""</f>
        <v/>
      </c>
      <c r="F1398" t="s">
        <v>10</v>
      </c>
      <c r="G1398" t="str">
        <f>"201706012528"</f>
        <v>201706012528</v>
      </c>
      <c r="H1398" t="str">
        <f>"54245"</f>
        <v>54245</v>
      </c>
      <c r="I1398" s="2">
        <v>250</v>
      </c>
      <c r="J1398" t="str">
        <f>"54245"</f>
        <v>54245</v>
      </c>
    </row>
    <row r="1399" spans="1:10" x14ac:dyDescent="0.3">
      <c r="A1399" t="str">
        <f>""</f>
        <v/>
      </c>
      <c r="F1399" t="s">
        <v>10</v>
      </c>
      <c r="G1399" t="str">
        <f>"201706012529"</f>
        <v>201706012529</v>
      </c>
      <c r="H1399" t="str">
        <f>"54592"</f>
        <v>54592</v>
      </c>
      <c r="I1399" s="2">
        <v>250</v>
      </c>
      <c r="J1399" t="str">
        <f>"54592"</f>
        <v>54592</v>
      </c>
    </row>
    <row r="1400" spans="1:10" x14ac:dyDescent="0.3">
      <c r="A1400" t="str">
        <f>""</f>
        <v/>
      </c>
      <c r="F1400" t="s">
        <v>10</v>
      </c>
      <c r="G1400" t="str">
        <f>"201706012530"</f>
        <v>201706012530</v>
      </c>
      <c r="H1400" t="str">
        <f>"55030"</f>
        <v>55030</v>
      </c>
      <c r="I1400" s="2">
        <v>250</v>
      </c>
      <c r="J1400" t="str">
        <f>"55030"</f>
        <v>55030</v>
      </c>
    </row>
    <row r="1401" spans="1:10" x14ac:dyDescent="0.3">
      <c r="A1401" t="str">
        <f>""</f>
        <v/>
      </c>
      <c r="F1401" t="s">
        <v>10</v>
      </c>
      <c r="G1401" t="str">
        <f>"201706012531"</f>
        <v>201706012531</v>
      </c>
      <c r="H1401" t="str">
        <f>"54900"</f>
        <v>54900</v>
      </c>
      <c r="I1401" s="2">
        <v>250</v>
      </c>
      <c r="J1401" t="str">
        <f>"54900"</f>
        <v>54900</v>
      </c>
    </row>
    <row r="1402" spans="1:10" x14ac:dyDescent="0.3">
      <c r="A1402" t="str">
        <f>""</f>
        <v/>
      </c>
      <c r="F1402" t="s">
        <v>10</v>
      </c>
      <c r="G1402" t="str">
        <f>"201706072850"</f>
        <v>201706072850</v>
      </c>
      <c r="H1402" t="str">
        <f>"16-17760"</f>
        <v>16-17760</v>
      </c>
      <c r="I1402" s="2">
        <v>1900</v>
      </c>
      <c r="J1402" t="str">
        <f>"16-17760"</f>
        <v>16-17760</v>
      </c>
    </row>
    <row r="1403" spans="1:10" x14ac:dyDescent="0.3">
      <c r="A1403" t="str">
        <f>""</f>
        <v/>
      </c>
      <c r="F1403" t="s">
        <v>10</v>
      </c>
      <c r="G1403" t="str">
        <f>"201706072853"</f>
        <v>201706072853</v>
      </c>
      <c r="H1403" t="str">
        <f>"16-18062"</f>
        <v>16-18062</v>
      </c>
      <c r="I1403" s="2">
        <v>250</v>
      </c>
      <c r="J1403" t="str">
        <f>"16-18062"</f>
        <v>16-18062</v>
      </c>
    </row>
    <row r="1404" spans="1:10" x14ac:dyDescent="0.3">
      <c r="A1404" t="str">
        <f>""</f>
        <v/>
      </c>
      <c r="F1404" t="s">
        <v>10</v>
      </c>
      <c r="G1404" t="str">
        <f>"201706072856"</f>
        <v>201706072856</v>
      </c>
      <c r="H1404" t="str">
        <f>"15-17305"</f>
        <v>15-17305</v>
      </c>
      <c r="I1404" s="2">
        <v>220</v>
      </c>
      <c r="J1404" t="str">
        <f>"15-17305"</f>
        <v>15-17305</v>
      </c>
    </row>
    <row r="1405" spans="1:10" x14ac:dyDescent="0.3">
      <c r="A1405" t="str">
        <f>""</f>
        <v/>
      </c>
      <c r="F1405" t="s">
        <v>10</v>
      </c>
      <c r="G1405" t="str">
        <f>"201706072860"</f>
        <v>201706072860</v>
      </c>
      <c r="H1405" t="str">
        <f>"16-17575"</f>
        <v>16-17575</v>
      </c>
      <c r="I1405" s="2">
        <v>377</v>
      </c>
      <c r="J1405" t="str">
        <f>"16-17575"</f>
        <v>16-17575</v>
      </c>
    </row>
    <row r="1406" spans="1:10" x14ac:dyDescent="0.3">
      <c r="A1406" t="str">
        <f>""</f>
        <v/>
      </c>
      <c r="F1406" t="s">
        <v>10</v>
      </c>
      <c r="G1406" t="str">
        <f>"201706072863"</f>
        <v>201706072863</v>
      </c>
      <c r="H1406" t="str">
        <f>"16-17910"</f>
        <v>16-17910</v>
      </c>
      <c r="I1406" s="2">
        <v>228</v>
      </c>
      <c r="J1406" t="str">
        <f>"16-17910"</f>
        <v>16-17910</v>
      </c>
    </row>
    <row r="1407" spans="1:10" x14ac:dyDescent="0.3">
      <c r="A1407" t="str">
        <f>""</f>
        <v/>
      </c>
      <c r="F1407" t="s">
        <v>10</v>
      </c>
      <c r="G1407" t="str">
        <f>"201706072864"</f>
        <v>201706072864</v>
      </c>
      <c r="H1407" t="str">
        <f>"1718119"</f>
        <v>1718119</v>
      </c>
      <c r="I1407" s="2">
        <v>190</v>
      </c>
      <c r="J1407" t="str">
        <f>"1718119"</f>
        <v>1718119</v>
      </c>
    </row>
    <row r="1408" spans="1:10" x14ac:dyDescent="0.3">
      <c r="A1408" t="str">
        <f>""</f>
        <v/>
      </c>
      <c r="F1408" t="s">
        <v>10</v>
      </c>
      <c r="G1408" t="str">
        <f>"201706072918"</f>
        <v>201706072918</v>
      </c>
      <c r="H1408" t="str">
        <f>"BCSO#23507"</f>
        <v>BCSO#23507</v>
      </c>
      <c r="I1408" s="2">
        <v>100</v>
      </c>
      <c r="J1408" t="str">
        <f>"BCSO#23507"</f>
        <v>BCSO#23507</v>
      </c>
    </row>
    <row r="1409" spans="1:10" x14ac:dyDescent="0.3">
      <c r="A1409" t="str">
        <f>"005088"</f>
        <v>005088</v>
      </c>
      <c r="B1409" t="s">
        <v>397</v>
      </c>
      <c r="C1409">
        <v>70969</v>
      </c>
      <c r="D1409" s="2">
        <v>5</v>
      </c>
      <c r="E1409" s="1">
        <v>42898</v>
      </c>
      <c r="F1409" t="s">
        <v>10</v>
      </c>
      <c r="G1409" t="str">
        <f>"201706022562"</f>
        <v>201706022562</v>
      </c>
      <c r="H1409" t="str">
        <f>"OVER PMT OF SVC FEE/JP #3"</f>
        <v>OVER PMT OF SVC FEE/JP #3</v>
      </c>
      <c r="I1409" s="2">
        <v>5</v>
      </c>
      <c r="J1409" t="str">
        <f>"OVER PMT OF SVC FEE/JP #3"</f>
        <v>OVER PMT OF SVC FEE/JP #3</v>
      </c>
    </row>
    <row r="1410" spans="1:10" x14ac:dyDescent="0.3">
      <c r="A1410" t="str">
        <f>"004923"</f>
        <v>004923</v>
      </c>
      <c r="B1410" t="s">
        <v>398</v>
      </c>
      <c r="C1410">
        <v>70970</v>
      </c>
      <c r="D1410" s="2">
        <v>4105</v>
      </c>
      <c r="E1410" s="1">
        <v>42898</v>
      </c>
      <c r="F1410" t="s">
        <v>10</v>
      </c>
      <c r="G1410" t="str">
        <f>"201706052587"</f>
        <v>201706052587</v>
      </c>
      <c r="H1410" t="str">
        <f>"PI SERVICES/CAUSE# 15 934"</f>
        <v>PI SERVICES/CAUSE# 15 934</v>
      </c>
      <c r="I1410" s="2">
        <v>4105</v>
      </c>
      <c r="J1410" t="str">
        <f>"PI SERVICES/CAUSE# 15 934"</f>
        <v>PI SERVICES/CAUSE# 15 934</v>
      </c>
    </row>
    <row r="1411" spans="1:10" x14ac:dyDescent="0.3">
      <c r="A1411" t="str">
        <f>"PB"</f>
        <v>PB</v>
      </c>
      <c r="B1411" t="s">
        <v>399</v>
      </c>
      <c r="C1411">
        <v>71265</v>
      </c>
      <c r="D1411" s="2">
        <v>1580.48</v>
      </c>
      <c r="E1411" s="1">
        <v>42912</v>
      </c>
      <c r="F1411" t="s">
        <v>10</v>
      </c>
      <c r="G1411" t="str">
        <f>"3303661905"</f>
        <v>3303661905</v>
      </c>
      <c r="H1411" t="str">
        <f>"INV 3303661905"</f>
        <v>INV 3303661905</v>
      </c>
      <c r="I1411" s="2">
        <v>416.48</v>
      </c>
      <c r="J1411" t="str">
        <f>"INV 3303661905"</f>
        <v>INV 3303661905</v>
      </c>
    </row>
    <row r="1412" spans="1:10" x14ac:dyDescent="0.3">
      <c r="A1412" t="str">
        <f>""</f>
        <v/>
      </c>
      <c r="F1412" t="s">
        <v>10</v>
      </c>
      <c r="G1412" t="str">
        <f>"3303686295"</f>
        <v>3303686295</v>
      </c>
      <c r="H1412" t="str">
        <f>"ACCT#0017315717/LEASING CHRGS"</f>
        <v>ACCT#0017315717/LEASING CHRGS</v>
      </c>
      <c r="I1412" s="2">
        <v>1164</v>
      </c>
      <c r="J1412" t="str">
        <f>"ACCT#0017315717/LEASING CHRGS"</f>
        <v>ACCT#0017315717/LEASING CHRGS</v>
      </c>
    </row>
    <row r="1413" spans="1:10" x14ac:dyDescent="0.3">
      <c r="A1413" t="str">
        <f>"003293"</f>
        <v>003293</v>
      </c>
      <c r="B1413" t="s">
        <v>400</v>
      </c>
      <c r="C1413">
        <v>70971</v>
      </c>
      <c r="D1413" s="2">
        <v>500</v>
      </c>
      <c r="E1413" s="1">
        <v>42898</v>
      </c>
      <c r="F1413" t="s">
        <v>10</v>
      </c>
      <c r="G1413" t="str">
        <f>"201706012532"</f>
        <v>201706012532</v>
      </c>
      <c r="H1413" t="str">
        <f>"55 095"</f>
        <v>55 095</v>
      </c>
      <c r="I1413" s="2">
        <v>250</v>
      </c>
      <c r="J1413" t="str">
        <f>"55 095"</f>
        <v>55 095</v>
      </c>
    </row>
    <row r="1414" spans="1:10" x14ac:dyDescent="0.3">
      <c r="A1414" t="str">
        <f>""</f>
        <v/>
      </c>
      <c r="F1414" t="s">
        <v>10</v>
      </c>
      <c r="G1414" t="str">
        <f>"201706012534"</f>
        <v>201706012534</v>
      </c>
      <c r="H1414" t="str">
        <f>"54 417"</f>
        <v>54 417</v>
      </c>
      <c r="I1414" s="2">
        <v>250</v>
      </c>
      <c r="J1414" t="str">
        <f>"54 417"</f>
        <v>54 417</v>
      </c>
    </row>
    <row r="1415" spans="1:10" x14ac:dyDescent="0.3">
      <c r="A1415" t="str">
        <f>"PM"</f>
        <v>PM</v>
      </c>
      <c r="B1415" t="s">
        <v>401</v>
      </c>
      <c r="C1415">
        <v>71266</v>
      </c>
      <c r="D1415" s="2">
        <v>592</v>
      </c>
      <c r="E1415" s="1">
        <v>42912</v>
      </c>
      <c r="F1415" t="s">
        <v>10</v>
      </c>
      <c r="G1415" t="str">
        <f>"201706133042"</f>
        <v>201706133042</v>
      </c>
      <c r="H1415" t="str">
        <f>"BOX 577-ANNUAL PO BOX SCV FEE"</f>
        <v>BOX 577-ANNUAL PO BOX SCV FEE</v>
      </c>
      <c r="I1415" s="2">
        <v>166</v>
      </c>
      <c r="J1415" t="str">
        <f>"BOX 577 - ANNUAL P.O. SCV FEE"</f>
        <v>BOX 577 - ANNUAL P.O. SCV FEE</v>
      </c>
    </row>
    <row r="1416" spans="1:10" x14ac:dyDescent="0.3">
      <c r="A1416" t="str">
        <f>""</f>
        <v/>
      </c>
      <c r="F1416" t="s">
        <v>10</v>
      </c>
      <c r="G1416" t="str">
        <f>"201706133044"</f>
        <v>201706133044</v>
      </c>
      <c r="H1416" t="str">
        <f>"BOX 676-ANNUAL PO BOX SCV FEE"</f>
        <v>BOX 676-ANNUAL PO BOX SCV FEE</v>
      </c>
      <c r="I1416" s="2">
        <v>94</v>
      </c>
      <c r="J1416" t="str">
        <f>"BOX 676-ANNUAL PO BOX SCV FEE"</f>
        <v>BOX 676-ANNUAL PO BOX SCV FEE</v>
      </c>
    </row>
    <row r="1417" spans="1:10" x14ac:dyDescent="0.3">
      <c r="A1417" t="str">
        <f>""</f>
        <v/>
      </c>
      <c r="F1417" t="s">
        <v>10</v>
      </c>
      <c r="G1417" t="str">
        <f>"201706133045"</f>
        <v>201706133045</v>
      </c>
      <c r="H1417" t="str">
        <f>"BOX 579-ANNUAL PO BOX SCV FEE"</f>
        <v>BOX 579-ANNUAL PO BOX SCV FEE</v>
      </c>
      <c r="I1417" s="2">
        <v>166</v>
      </c>
      <c r="J1417" t="str">
        <f>"BOX 579-ANNUAL PO BOX SCV FEE"</f>
        <v>BOX 579-ANNUAL PO BOX SCV FEE</v>
      </c>
    </row>
    <row r="1418" spans="1:10" x14ac:dyDescent="0.3">
      <c r="A1418" t="str">
        <f>""</f>
        <v/>
      </c>
      <c r="F1418" t="s">
        <v>10</v>
      </c>
      <c r="G1418" t="str">
        <f>"201706163130"</f>
        <v>201706163130</v>
      </c>
      <c r="H1418" t="str">
        <f>"POB ANN FEE/BOX #650/TX AGRI"</f>
        <v>POB ANN FEE/BOX #650/TX AGRI</v>
      </c>
      <c r="I1418" s="2">
        <v>166</v>
      </c>
      <c r="J1418" t="str">
        <f>"POB ANN FEE/BOX #650/TX AGRI"</f>
        <v>POB ANN FEE/BOX #650/TX AGRI</v>
      </c>
    </row>
    <row r="1419" spans="1:10" x14ac:dyDescent="0.3">
      <c r="A1419" t="str">
        <f>"T11156"</f>
        <v>T11156</v>
      </c>
      <c r="B1419" t="s">
        <v>402</v>
      </c>
      <c r="C1419">
        <v>70972</v>
      </c>
      <c r="D1419" s="2">
        <v>543.71</v>
      </c>
      <c r="E1419" s="1">
        <v>42898</v>
      </c>
      <c r="F1419" t="s">
        <v>10</v>
      </c>
      <c r="G1419" t="str">
        <f>"201706072854"</f>
        <v>201706072854</v>
      </c>
      <c r="H1419" t="str">
        <f>"INDIGENT HEALTH"</f>
        <v>INDIGENT HEALTH</v>
      </c>
      <c r="I1419" s="2">
        <v>543.71</v>
      </c>
      <c r="J1419" t="str">
        <f>"INDIGENT HEALTH"</f>
        <v>INDIGENT HEALTH</v>
      </c>
    </row>
    <row r="1420" spans="1:10" x14ac:dyDescent="0.3">
      <c r="A1420" t="str">
        <f>"T3233"</f>
        <v>T3233</v>
      </c>
      <c r="B1420" t="s">
        <v>403</v>
      </c>
      <c r="C1420">
        <v>70973</v>
      </c>
      <c r="D1420" s="2">
        <v>37.979999999999997</v>
      </c>
      <c r="E1420" s="1">
        <v>42898</v>
      </c>
      <c r="F1420" t="s">
        <v>10</v>
      </c>
      <c r="G1420" t="str">
        <f>"6758070/6914110"</f>
        <v>6758070/6914110</v>
      </c>
      <c r="H1420" t="str">
        <f>"INV6758070/6914110"</f>
        <v>INV6758070/6914110</v>
      </c>
      <c r="I1420" s="2">
        <v>37.979999999999997</v>
      </c>
      <c r="J1420" t="str">
        <f>"INV6914110"</f>
        <v>INV6914110</v>
      </c>
    </row>
    <row r="1421" spans="1:10" x14ac:dyDescent="0.3">
      <c r="A1421" t="str">
        <f>""</f>
        <v/>
      </c>
      <c r="G1421" t="str">
        <f>""</f>
        <v/>
      </c>
      <c r="H1421" t="str">
        <f>""</f>
        <v/>
      </c>
      <c r="J1421" t="str">
        <f>"INVOICE 6758070"</f>
        <v>INVOICE 6758070</v>
      </c>
    </row>
    <row r="1422" spans="1:10" x14ac:dyDescent="0.3">
      <c r="A1422" t="str">
        <f>"T3233"</f>
        <v>T3233</v>
      </c>
      <c r="B1422" t="s">
        <v>403</v>
      </c>
      <c r="C1422">
        <v>71267</v>
      </c>
      <c r="D1422" s="2">
        <v>629.25</v>
      </c>
      <c r="E1422" s="1">
        <v>42912</v>
      </c>
      <c r="F1422" t="s">
        <v>10</v>
      </c>
      <c r="G1422" t="str">
        <f>"07780430"</f>
        <v>07780430</v>
      </c>
      <c r="H1422" t="str">
        <f>"Acct# 07780430"</f>
        <v>Acct# 07780430</v>
      </c>
      <c r="I1422" s="2">
        <v>211</v>
      </c>
      <c r="J1422" t="str">
        <f>"Inv#005851600"</f>
        <v>Inv#005851600</v>
      </c>
    </row>
    <row r="1423" spans="1:10" x14ac:dyDescent="0.3">
      <c r="A1423" t="str">
        <f>""</f>
        <v/>
      </c>
      <c r="G1423" t="str">
        <f>""</f>
        <v/>
      </c>
      <c r="H1423" t="str">
        <f>""</f>
        <v/>
      </c>
      <c r="J1423" t="str">
        <f>"Inv#005849837"</f>
        <v>Inv#005849837</v>
      </c>
    </row>
    <row r="1424" spans="1:10" x14ac:dyDescent="0.3">
      <c r="A1424" t="str">
        <f>""</f>
        <v/>
      </c>
      <c r="G1424" t="str">
        <f>""</f>
        <v/>
      </c>
      <c r="H1424" t="str">
        <f>""</f>
        <v/>
      </c>
      <c r="J1424" t="str">
        <f>"Inv# 000831175"</f>
        <v>Inv# 000831175</v>
      </c>
    </row>
    <row r="1425" spans="1:10" x14ac:dyDescent="0.3">
      <c r="A1425" t="str">
        <f>""</f>
        <v/>
      </c>
      <c r="G1425" t="str">
        <f>""</f>
        <v/>
      </c>
      <c r="H1425" t="str">
        <f>""</f>
        <v/>
      </c>
      <c r="J1425" t="str">
        <f>"Inv# 7246438"</f>
        <v>Inv# 7246438</v>
      </c>
    </row>
    <row r="1426" spans="1:10" x14ac:dyDescent="0.3">
      <c r="A1426" t="str">
        <f>""</f>
        <v/>
      </c>
      <c r="G1426" t="str">
        <f>""</f>
        <v/>
      </c>
      <c r="H1426" t="str">
        <f>""</f>
        <v/>
      </c>
      <c r="J1426" t="str">
        <f>"Inv# 7259368"</f>
        <v>Inv# 7259368</v>
      </c>
    </row>
    <row r="1427" spans="1:10" x14ac:dyDescent="0.3">
      <c r="A1427" t="str">
        <f>""</f>
        <v/>
      </c>
      <c r="F1427" t="s">
        <v>10</v>
      </c>
      <c r="G1427" t="str">
        <f>"7312777/7322989"</f>
        <v>7312777/7322989</v>
      </c>
      <c r="H1427" t="str">
        <f>"OFFICE SUPPLIES"</f>
        <v>OFFICE SUPPLIES</v>
      </c>
      <c r="I1427" s="2">
        <v>321.91000000000003</v>
      </c>
      <c r="J1427" t="str">
        <f>"OFFICE SUPPLIES"</f>
        <v>OFFICE SUPPLIES</v>
      </c>
    </row>
    <row r="1428" spans="1:10" x14ac:dyDescent="0.3">
      <c r="A1428" t="str">
        <f>""</f>
        <v/>
      </c>
      <c r="G1428" t="str">
        <f>""</f>
        <v/>
      </c>
      <c r="H1428" t="str">
        <f>""</f>
        <v/>
      </c>
      <c r="J1428" t="str">
        <f>"OFFICE SUPPLIES"</f>
        <v>OFFICE SUPPLIES</v>
      </c>
    </row>
    <row r="1429" spans="1:10" x14ac:dyDescent="0.3">
      <c r="A1429" t="str">
        <f>""</f>
        <v/>
      </c>
      <c r="F1429" t="s">
        <v>10</v>
      </c>
      <c r="G1429" t="str">
        <f>"MULTIPLE INVOICES"</f>
        <v>MULTIPLE INVOICES</v>
      </c>
      <c r="H1429" t="str">
        <f>"Acct# C6796564"</f>
        <v>Acct# C6796564</v>
      </c>
      <c r="I1429" s="2">
        <v>96.34</v>
      </c>
      <c r="J1429" t="str">
        <f>"Inv# 7399695"</f>
        <v>Inv# 7399695</v>
      </c>
    </row>
    <row r="1430" spans="1:10" x14ac:dyDescent="0.3">
      <c r="A1430" t="str">
        <f>""</f>
        <v/>
      </c>
      <c r="G1430" t="str">
        <f>""</f>
        <v/>
      </c>
      <c r="H1430" t="str">
        <f>""</f>
        <v/>
      </c>
      <c r="J1430" t="str">
        <f>"Inv# 7450498"</f>
        <v>Inv# 7450498</v>
      </c>
    </row>
    <row r="1431" spans="1:10" x14ac:dyDescent="0.3">
      <c r="A1431" t="str">
        <f>""</f>
        <v/>
      </c>
      <c r="G1431" t="str">
        <f>""</f>
        <v/>
      </c>
      <c r="H1431" t="str">
        <f>""</f>
        <v/>
      </c>
      <c r="J1431" t="str">
        <f>"Inv#7246115"</f>
        <v>Inv#7246115</v>
      </c>
    </row>
    <row r="1432" spans="1:10" x14ac:dyDescent="0.3">
      <c r="A1432" t="str">
        <f>""</f>
        <v/>
      </c>
      <c r="G1432" t="str">
        <f>""</f>
        <v/>
      </c>
      <c r="H1432" t="str">
        <f>""</f>
        <v/>
      </c>
      <c r="J1432" t="str">
        <f>"Inv# 7246115 CR"</f>
        <v>Inv# 7246115 CR</v>
      </c>
    </row>
    <row r="1433" spans="1:10" x14ac:dyDescent="0.3">
      <c r="A1433" t="str">
        <f>"004803"</f>
        <v>004803</v>
      </c>
      <c r="B1433" t="s">
        <v>404</v>
      </c>
      <c r="C1433">
        <v>70974</v>
      </c>
      <c r="D1433" s="2">
        <v>20</v>
      </c>
      <c r="E1433" s="1">
        <v>42898</v>
      </c>
      <c r="F1433" t="s">
        <v>10</v>
      </c>
      <c r="G1433" t="str">
        <f>"201706073010"</f>
        <v>201706073010</v>
      </c>
      <c r="H1433" t="str">
        <f>"FERAL HOGS"</f>
        <v>FERAL HOGS</v>
      </c>
      <c r="I1433" s="2">
        <v>20</v>
      </c>
      <c r="J1433" t="str">
        <f>"FERAL HOGS"</f>
        <v>FERAL HOGS</v>
      </c>
    </row>
    <row r="1434" spans="1:10" x14ac:dyDescent="0.3">
      <c r="A1434" t="str">
        <f>"000303"</f>
        <v>000303</v>
      </c>
      <c r="B1434" t="s">
        <v>405</v>
      </c>
      <c r="C1434">
        <v>70975</v>
      </c>
      <c r="D1434" s="2">
        <v>250</v>
      </c>
      <c r="E1434" s="1">
        <v>42898</v>
      </c>
      <c r="F1434" t="s">
        <v>10</v>
      </c>
      <c r="G1434" t="str">
        <f>"201706052616"</f>
        <v>201706052616</v>
      </c>
      <c r="H1434" t="str">
        <f>"TRAVEL EXPENSE REIMBURSEMENT"</f>
        <v>TRAVEL EXPENSE REIMBURSEMENT</v>
      </c>
      <c r="I1434" s="2">
        <v>250</v>
      </c>
      <c r="J1434" t="str">
        <f>"TRAVEL EXPENSE REIMBURSEMENT"</f>
        <v>TRAVEL EXPENSE REIMBURSEMENT</v>
      </c>
    </row>
    <row r="1435" spans="1:10" x14ac:dyDescent="0.3">
      <c r="A1435" t="str">
        <f>"003892"</f>
        <v>003892</v>
      </c>
      <c r="B1435" t="s">
        <v>406</v>
      </c>
      <c r="C1435">
        <v>70976</v>
      </c>
      <c r="D1435" s="2">
        <v>159</v>
      </c>
      <c r="E1435" s="1">
        <v>42898</v>
      </c>
      <c r="F1435" t="s">
        <v>10</v>
      </c>
      <c r="G1435" t="str">
        <f>"022139442"</f>
        <v>022139442</v>
      </c>
      <c r="H1435" t="str">
        <f>"ADMIN ASST CONFERENCE"</f>
        <v>ADMIN ASST CONFERENCE</v>
      </c>
      <c r="I1435" s="2">
        <v>159</v>
      </c>
      <c r="J1435" t="str">
        <f>"ADMIN ASST CONFERENCE"</f>
        <v>ADMIN ASST CONFERENCE</v>
      </c>
    </row>
    <row r="1436" spans="1:10" x14ac:dyDescent="0.3">
      <c r="A1436" t="str">
        <f>"T5804"</f>
        <v>T5804</v>
      </c>
      <c r="B1436" t="s">
        <v>407</v>
      </c>
      <c r="C1436">
        <v>70977</v>
      </c>
      <c r="D1436" s="2">
        <v>195800</v>
      </c>
      <c r="E1436" s="1">
        <v>42898</v>
      </c>
      <c r="F1436" t="s">
        <v>10</v>
      </c>
      <c r="G1436" t="str">
        <f>"201706083028"</f>
        <v>201706083028</v>
      </c>
      <c r="H1436" t="str">
        <f>"CRAWLER LOADER"</f>
        <v>CRAWLER LOADER</v>
      </c>
      <c r="I1436" s="2">
        <v>195800</v>
      </c>
      <c r="J1436" t="str">
        <f>"CRAWLER LOADER"</f>
        <v>CRAWLER LOADER</v>
      </c>
    </row>
    <row r="1437" spans="1:10" x14ac:dyDescent="0.3">
      <c r="A1437" t="str">
        <f>"000591"</f>
        <v>000591</v>
      </c>
      <c r="B1437" t="s">
        <v>408</v>
      </c>
      <c r="C1437">
        <v>71268</v>
      </c>
      <c r="D1437" s="2">
        <v>22.93</v>
      </c>
      <c r="E1437" s="1">
        <v>42912</v>
      </c>
      <c r="F1437" t="s">
        <v>10</v>
      </c>
      <c r="G1437" t="str">
        <f>"07E0121569859"</f>
        <v>07E0121569859</v>
      </c>
      <c r="H1437" t="str">
        <f>"ACCT#0121569859/PCT#4"</f>
        <v>ACCT#0121569859/PCT#4</v>
      </c>
      <c r="I1437" s="2">
        <v>22.93</v>
      </c>
      <c r="J1437" t="str">
        <f>"ACCT#0121569859/PCT#4"</f>
        <v>ACCT#0121569859/PCT#4</v>
      </c>
    </row>
    <row r="1438" spans="1:10" x14ac:dyDescent="0.3">
      <c r="A1438" t="str">
        <f>"004205"</f>
        <v>004205</v>
      </c>
      <c r="B1438" t="s">
        <v>409</v>
      </c>
      <c r="C1438">
        <v>70978</v>
      </c>
      <c r="D1438" s="2">
        <v>715.47</v>
      </c>
      <c r="E1438" s="1">
        <v>42898</v>
      </c>
      <c r="F1438" t="s">
        <v>10</v>
      </c>
      <c r="G1438" t="str">
        <f>"000000001-179"</f>
        <v>000000001-179</v>
      </c>
      <c r="H1438" t="str">
        <f>"BOOTS PCT#4"</f>
        <v>BOOTS PCT#4</v>
      </c>
      <c r="I1438" s="2">
        <v>715.47</v>
      </c>
      <c r="J1438" t="str">
        <f>"BOOTS PCT#4"</f>
        <v>BOOTS PCT#4</v>
      </c>
    </row>
    <row r="1439" spans="1:10" x14ac:dyDescent="0.3">
      <c r="A1439" t="str">
        <f>"005110"</f>
        <v>005110</v>
      </c>
      <c r="B1439" t="s">
        <v>410</v>
      </c>
      <c r="C1439">
        <v>71269</v>
      </c>
      <c r="D1439" s="2">
        <v>583.04999999999995</v>
      </c>
      <c r="E1439" s="1">
        <v>42912</v>
      </c>
      <c r="F1439" t="s">
        <v>10</v>
      </c>
      <c r="G1439" t="str">
        <f>"201706133049"</f>
        <v>201706133049</v>
      </c>
      <c r="H1439" t="str">
        <f>"HOTEL FOR STATE CONVENTION"</f>
        <v>HOTEL FOR STATE CONVENTION</v>
      </c>
      <c r="I1439" s="2">
        <v>583.04999999999995</v>
      </c>
      <c r="J1439" t="str">
        <f>"HOTEL FOR STATE CONVENTION"</f>
        <v>HOTEL FOR STATE CONVENTION</v>
      </c>
    </row>
    <row r="1440" spans="1:10" x14ac:dyDescent="0.3">
      <c r="A1440" t="str">
        <f>"003737"</f>
        <v>003737</v>
      </c>
      <c r="B1440" t="s">
        <v>411</v>
      </c>
      <c r="C1440">
        <v>70979</v>
      </c>
      <c r="D1440" s="2">
        <v>268.72000000000003</v>
      </c>
      <c r="E1440" s="1">
        <v>42898</v>
      </c>
      <c r="F1440" t="s">
        <v>10</v>
      </c>
      <c r="G1440" t="str">
        <f>"0843-001338025"</f>
        <v>0843-001338025</v>
      </c>
      <c r="H1440" t="str">
        <f>"ACCT#3-0843-1269216 / ANIMAL C"</f>
        <v>ACCT#3-0843-1269216 / ANIMAL C</v>
      </c>
      <c r="I1440" s="2">
        <v>268.72000000000003</v>
      </c>
      <c r="J1440" t="str">
        <f>"REPUBLIC SERVICES INC BFI WAST"</f>
        <v>REPUBLIC SERVICES INC BFI WAST</v>
      </c>
    </row>
    <row r="1441" spans="1:10" x14ac:dyDescent="0.3">
      <c r="A1441" t="str">
        <f>"003737"</f>
        <v>003737</v>
      </c>
      <c r="B1441" t="s">
        <v>411</v>
      </c>
      <c r="C1441">
        <v>71097</v>
      </c>
      <c r="D1441" s="2">
        <v>2124.7199999999998</v>
      </c>
      <c r="E1441" s="1">
        <v>42906</v>
      </c>
      <c r="F1441" t="s">
        <v>10</v>
      </c>
      <c r="G1441" t="str">
        <f>"0843-001339352"</f>
        <v>0843-001339352</v>
      </c>
      <c r="H1441" t="str">
        <f>"ACCT #3-0843-0017094-05/31/17"</f>
        <v>ACCT #3-0843-0017094-05/31/17</v>
      </c>
      <c r="I1441" s="2">
        <v>2124.7199999999998</v>
      </c>
      <c r="J1441" t="str">
        <f>"ACCT #3-0843-0017094-05/31/17"</f>
        <v>ACCT #3-0843-0017094-05/31/17</v>
      </c>
    </row>
    <row r="1442" spans="1:10" x14ac:dyDescent="0.3">
      <c r="A1442" t="str">
        <f>"003737"</f>
        <v>003737</v>
      </c>
      <c r="B1442" t="s">
        <v>411</v>
      </c>
      <c r="C1442">
        <v>71270</v>
      </c>
      <c r="D1442" s="2">
        <v>231.74</v>
      </c>
      <c r="E1442" s="1">
        <v>42912</v>
      </c>
      <c r="F1442" t="s">
        <v>10</v>
      </c>
      <c r="G1442" t="str">
        <f>"0843-001326706"</f>
        <v>0843-001326706</v>
      </c>
      <c r="H1442" t="str">
        <f>"ACCT #3-0843-0041813 / P4"</f>
        <v>ACCT #3-0843-0041813 / P4</v>
      </c>
      <c r="I1442" s="2">
        <v>115.8</v>
      </c>
      <c r="J1442" t="str">
        <f>"ACCT #3-0843-0041813 / P4"</f>
        <v>ACCT #3-0843-0041813 / P4</v>
      </c>
    </row>
    <row r="1443" spans="1:10" x14ac:dyDescent="0.3">
      <c r="A1443" t="str">
        <f>""</f>
        <v/>
      </c>
      <c r="F1443" t="s">
        <v>10</v>
      </c>
      <c r="G1443" t="str">
        <f>"0843-001340087"</f>
        <v>0843-001340087</v>
      </c>
      <c r="H1443" t="str">
        <f>"ACCT # 3-0843-0041813 / P4"</f>
        <v>ACCT # 3-0843-0041813 / P4</v>
      </c>
      <c r="I1443" s="2">
        <v>115.94</v>
      </c>
      <c r="J1443" t="str">
        <f>"ACCT # 3-0843-0041813 / P4"</f>
        <v>ACCT # 3-0843-0041813 / P4</v>
      </c>
    </row>
    <row r="1444" spans="1:10" x14ac:dyDescent="0.3">
      <c r="A1444" t="str">
        <f>"004822"</f>
        <v>004822</v>
      </c>
      <c r="B1444" t="s">
        <v>412</v>
      </c>
      <c r="C1444">
        <v>70980</v>
      </c>
      <c r="D1444" s="2">
        <v>3862.34</v>
      </c>
      <c r="E1444" s="1">
        <v>42898</v>
      </c>
      <c r="F1444" t="s">
        <v>10</v>
      </c>
      <c r="G1444" t="str">
        <f>"0000007535"</f>
        <v>0000007535</v>
      </c>
      <c r="H1444" t="str">
        <f>"AC REPAIR PCT#4"</f>
        <v>AC REPAIR PCT#4</v>
      </c>
      <c r="I1444" s="2">
        <v>3862.34</v>
      </c>
      <c r="J1444" t="str">
        <f>"AC REPAIR PCT#4"</f>
        <v>AC REPAIR PCT#4</v>
      </c>
    </row>
    <row r="1445" spans="1:10" x14ac:dyDescent="0.3">
      <c r="A1445" t="str">
        <f>"004822"</f>
        <v>004822</v>
      </c>
      <c r="B1445" t="s">
        <v>412</v>
      </c>
      <c r="C1445">
        <v>71271</v>
      </c>
      <c r="D1445" s="2">
        <v>10999.88</v>
      </c>
      <c r="E1445" s="1">
        <v>42912</v>
      </c>
      <c r="F1445" t="s">
        <v>10</v>
      </c>
      <c r="G1445" t="str">
        <f>"0000007575"</f>
        <v>0000007575</v>
      </c>
      <c r="H1445" t="str">
        <f>"WORK ORDER#0000008384/PARTS"</f>
        <v>WORK ORDER#0000008384/PARTS</v>
      </c>
      <c r="I1445" s="2">
        <v>196.68</v>
      </c>
      <c r="J1445" t="str">
        <f>"WORK ORDER#0000008384/PARTS"</f>
        <v>WORK ORDER#0000008384/PARTS</v>
      </c>
    </row>
    <row r="1446" spans="1:10" x14ac:dyDescent="0.3">
      <c r="A1446" t="str">
        <f>""</f>
        <v/>
      </c>
      <c r="F1446" t="s">
        <v>10</v>
      </c>
      <c r="G1446" t="str">
        <f>"0000007667"</f>
        <v>0000007667</v>
      </c>
      <c r="H1446" t="str">
        <f>"WORK ORDER#0000008245/REPAIRS"</f>
        <v>WORK ORDER#0000008245/REPAIRS</v>
      </c>
      <c r="I1446" s="2">
        <v>10590.73</v>
      </c>
      <c r="J1446" t="str">
        <f>"WORK ORDER#0000008245/REPAIRS"</f>
        <v>WORK ORDER#0000008245/REPAIRS</v>
      </c>
    </row>
    <row r="1447" spans="1:10" x14ac:dyDescent="0.3">
      <c r="A1447" t="str">
        <f>""</f>
        <v/>
      </c>
      <c r="F1447" t="s">
        <v>10</v>
      </c>
      <c r="G1447" t="str">
        <f>"0000007677"</f>
        <v>0000007677</v>
      </c>
      <c r="H1447" t="str">
        <f>"WORK ORDER#0000008497/PARTS"</f>
        <v>WORK ORDER#0000008497/PARTS</v>
      </c>
      <c r="I1447" s="2">
        <v>212.47</v>
      </c>
      <c r="J1447" t="str">
        <f>"WORK ORDER#0000008497/PARTS"</f>
        <v>WORK ORDER#0000008497/PARTS</v>
      </c>
    </row>
    <row r="1448" spans="1:10" x14ac:dyDescent="0.3">
      <c r="A1448" t="str">
        <f>"002347"</f>
        <v>002347</v>
      </c>
      <c r="B1448" t="s">
        <v>413</v>
      </c>
      <c r="C1448">
        <v>70981</v>
      </c>
      <c r="D1448" s="2">
        <v>2000</v>
      </c>
      <c r="E1448" s="1">
        <v>42898</v>
      </c>
      <c r="F1448" t="s">
        <v>10</v>
      </c>
      <c r="G1448" t="str">
        <f>"ACCT 36251536"</f>
        <v>ACCT 36251536</v>
      </c>
      <c r="H1448" t="str">
        <f>"ACCT 36251536"</f>
        <v>ACCT 36251536</v>
      </c>
      <c r="I1448" s="2">
        <v>2000</v>
      </c>
      <c r="J1448" t="str">
        <f>"ACCT 36251536"</f>
        <v>ACCT 36251536</v>
      </c>
    </row>
    <row r="1449" spans="1:10" x14ac:dyDescent="0.3">
      <c r="A1449" t="str">
        <f>"RESERV"</f>
        <v>RESERV</v>
      </c>
      <c r="B1449" t="s">
        <v>413</v>
      </c>
      <c r="C1449">
        <v>70982</v>
      </c>
      <c r="D1449" s="2">
        <v>9000</v>
      </c>
      <c r="E1449" s="1">
        <v>42898</v>
      </c>
      <c r="F1449" t="s">
        <v>10</v>
      </c>
      <c r="G1449" t="str">
        <f>"201706022572"</f>
        <v>201706022572</v>
      </c>
      <c r="H1449" t="str">
        <f>"ACCT#34549337"</f>
        <v>ACCT#34549337</v>
      </c>
      <c r="I1449" s="2">
        <v>9000</v>
      </c>
      <c r="J1449" t="str">
        <f>"ACCT#34549337"</f>
        <v>ACCT#34549337</v>
      </c>
    </row>
    <row r="1450" spans="1:10" x14ac:dyDescent="0.3">
      <c r="A1450" t="str">
        <f>"T11385"</f>
        <v>T11385</v>
      </c>
      <c r="B1450" t="s">
        <v>414</v>
      </c>
      <c r="C1450">
        <v>70983</v>
      </c>
      <c r="D1450" s="2">
        <v>2250</v>
      </c>
      <c r="E1450" s="1">
        <v>42898</v>
      </c>
      <c r="F1450" t="s">
        <v>10</v>
      </c>
      <c r="G1450" t="str">
        <f>"201706012544"</f>
        <v>201706012544</v>
      </c>
      <c r="H1450" t="str">
        <f>"54803/54804"</f>
        <v>54803/54804</v>
      </c>
      <c r="I1450" s="2">
        <v>375</v>
      </c>
      <c r="J1450" t="str">
        <f>"54803/54804"</f>
        <v>54803/54804</v>
      </c>
    </row>
    <row r="1451" spans="1:10" x14ac:dyDescent="0.3">
      <c r="A1451" t="str">
        <f>""</f>
        <v/>
      </c>
      <c r="F1451" t="s">
        <v>10</v>
      </c>
      <c r="G1451" t="str">
        <f>"201706012545"</f>
        <v>201706012545</v>
      </c>
      <c r="H1451" t="str">
        <f>"401196-IM"</f>
        <v>401196-IM</v>
      </c>
      <c r="I1451" s="2">
        <v>250</v>
      </c>
      <c r="J1451" t="str">
        <f>"401196-IM"</f>
        <v>401196-IM</v>
      </c>
    </row>
    <row r="1452" spans="1:10" x14ac:dyDescent="0.3">
      <c r="A1452" t="str">
        <f>""</f>
        <v/>
      </c>
      <c r="F1452" t="s">
        <v>10</v>
      </c>
      <c r="G1452" t="str">
        <f>"201706012546"</f>
        <v>201706012546</v>
      </c>
      <c r="H1452" t="str">
        <f>"310072016A/310072016B"</f>
        <v>310072016A/310072016B</v>
      </c>
      <c r="I1452" s="2">
        <v>250</v>
      </c>
      <c r="J1452" t="str">
        <f>"310072016A/310072016B"</f>
        <v>310072016A/310072016B</v>
      </c>
    </row>
    <row r="1453" spans="1:10" x14ac:dyDescent="0.3">
      <c r="A1453" t="str">
        <f>""</f>
        <v/>
      </c>
      <c r="F1453" t="s">
        <v>10</v>
      </c>
      <c r="G1453" t="str">
        <f>"201706012547"</f>
        <v>201706012547</v>
      </c>
      <c r="H1453" t="str">
        <f>"20170192"</f>
        <v>20170192</v>
      </c>
      <c r="I1453" s="2">
        <v>125</v>
      </c>
      <c r="J1453" t="str">
        <f>"20170192"</f>
        <v>20170192</v>
      </c>
    </row>
    <row r="1454" spans="1:10" x14ac:dyDescent="0.3">
      <c r="A1454" t="str">
        <f>""</f>
        <v/>
      </c>
      <c r="F1454" t="s">
        <v>10</v>
      </c>
      <c r="G1454" t="str">
        <f>"201706072893"</f>
        <v>201706072893</v>
      </c>
      <c r="H1454" t="str">
        <f>"DC-2016-1015"</f>
        <v>DC-2016-1015</v>
      </c>
      <c r="I1454" s="2">
        <v>250</v>
      </c>
      <c r="J1454" t="str">
        <f>"DC-2016-1015"</f>
        <v>DC-2016-1015</v>
      </c>
    </row>
    <row r="1455" spans="1:10" x14ac:dyDescent="0.3">
      <c r="A1455" t="str">
        <f>""</f>
        <v/>
      </c>
      <c r="F1455" t="s">
        <v>10</v>
      </c>
      <c r="G1455" t="str">
        <f>"201706072894"</f>
        <v>201706072894</v>
      </c>
      <c r="H1455" t="str">
        <f>"404265-3M"</f>
        <v>404265-3M</v>
      </c>
      <c r="I1455" s="2">
        <v>250</v>
      </c>
      <c r="J1455" t="str">
        <f>"404265-3M"</f>
        <v>404265-3M</v>
      </c>
    </row>
    <row r="1456" spans="1:10" x14ac:dyDescent="0.3">
      <c r="A1456" t="str">
        <f>""</f>
        <v/>
      </c>
      <c r="F1456" t="s">
        <v>10</v>
      </c>
      <c r="G1456" t="str">
        <f>"201706072895"</f>
        <v>201706072895</v>
      </c>
      <c r="H1456" t="str">
        <f>"54855"</f>
        <v>54855</v>
      </c>
      <c r="I1456" s="2">
        <v>250</v>
      </c>
      <c r="J1456" t="str">
        <f>"54855"</f>
        <v>54855</v>
      </c>
    </row>
    <row r="1457" spans="1:10" x14ac:dyDescent="0.3">
      <c r="A1457" t="str">
        <f>""</f>
        <v/>
      </c>
      <c r="F1457" t="s">
        <v>10</v>
      </c>
      <c r="G1457" t="str">
        <f>"201706072896"</f>
        <v>201706072896</v>
      </c>
      <c r="H1457" t="str">
        <f>"02-0208-2"</f>
        <v>02-0208-2</v>
      </c>
      <c r="I1457" s="2">
        <v>250</v>
      </c>
      <c r="J1457" t="str">
        <f>"02-0208-2"</f>
        <v>02-0208-2</v>
      </c>
    </row>
    <row r="1458" spans="1:10" x14ac:dyDescent="0.3">
      <c r="A1458" t="str">
        <f>""</f>
        <v/>
      </c>
      <c r="F1458" t="s">
        <v>10</v>
      </c>
      <c r="G1458" t="str">
        <f>"201706072897"</f>
        <v>201706072897</v>
      </c>
      <c r="H1458" t="str">
        <f>"02-0207-1"</f>
        <v>02-0207-1</v>
      </c>
      <c r="I1458" s="2">
        <v>250</v>
      </c>
      <c r="J1458" t="str">
        <f>"02-0207-1"</f>
        <v>02-0207-1</v>
      </c>
    </row>
    <row r="1459" spans="1:10" x14ac:dyDescent="0.3">
      <c r="A1459" t="str">
        <f>"002590"</f>
        <v>002590</v>
      </c>
      <c r="B1459" t="s">
        <v>415</v>
      </c>
      <c r="C1459">
        <v>71272</v>
      </c>
      <c r="D1459" s="2">
        <v>7.99</v>
      </c>
      <c r="E1459" s="1">
        <v>42912</v>
      </c>
      <c r="F1459" t="s">
        <v>10</v>
      </c>
      <c r="G1459" t="str">
        <f>"98912358"</f>
        <v>98912358</v>
      </c>
      <c r="H1459" t="str">
        <f>"INV 98912358"</f>
        <v>INV 98912358</v>
      </c>
      <c r="I1459" s="2">
        <v>7.99</v>
      </c>
      <c r="J1459" t="str">
        <f>"INV 98912358"</f>
        <v>INV 98912358</v>
      </c>
    </row>
    <row r="1460" spans="1:10" x14ac:dyDescent="0.3">
      <c r="A1460" t="str">
        <f>"001322"</f>
        <v>001322</v>
      </c>
      <c r="B1460" t="s">
        <v>416</v>
      </c>
      <c r="C1460">
        <v>70984</v>
      </c>
      <c r="D1460" s="2">
        <v>1211.07</v>
      </c>
      <c r="E1460" s="1">
        <v>42898</v>
      </c>
      <c r="F1460" t="s">
        <v>10</v>
      </c>
      <c r="G1460" t="str">
        <f>"5048511390"</f>
        <v>5048511390</v>
      </c>
      <c r="H1460" t="str">
        <f>"CUST #12847097"</f>
        <v>CUST #12847097</v>
      </c>
      <c r="I1460" s="2">
        <v>1211.07</v>
      </c>
      <c r="J1460" t="str">
        <f t="shared" ref="J1460:J1478" si="9">"CUST #12847097"</f>
        <v>CUST #12847097</v>
      </c>
    </row>
    <row r="1461" spans="1:10" x14ac:dyDescent="0.3">
      <c r="A1461" t="str">
        <f>""</f>
        <v/>
      </c>
      <c r="G1461" t="str">
        <f>""</f>
        <v/>
      </c>
      <c r="H1461" t="str">
        <f>""</f>
        <v/>
      </c>
      <c r="J1461" t="str">
        <f t="shared" si="9"/>
        <v>CUST #12847097</v>
      </c>
    </row>
    <row r="1462" spans="1:10" x14ac:dyDescent="0.3">
      <c r="A1462" t="str">
        <f>""</f>
        <v/>
      </c>
      <c r="G1462" t="str">
        <f>""</f>
        <v/>
      </c>
      <c r="H1462" t="str">
        <f>""</f>
        <v/>
      </c>
      <c r="J1462" t="str">
        <f t="shared" si="9"/>
        <v>CUST #12847097</v>
      </c>
    </row>
    <row r="1463" spans="1:10" x14ac:dyDescent="0.3">
      <c r="A1463" t="str">
        <f>""</f>
        <v/>
      </c>
      <c r="G1463" t="str">
        <f>""</f>
        <v/>
      </c>
      <c r="H1463" t="str">
        <f>""</f>
        <v/>
      </c>
      <c r="J1463" t="str">
        <f t="shared" si="9"/>
        <v>CUST #12847097</v>
      </c>
    </row>
    <row r="1464" spans="1:10" x14ac:dyDescent="0.3">
      <c r="A1464" t="str">
        <f>""</f>
        <v/>
      </c>
      <c r="G1464" t="str">
        <f>""</f>
        <v/>
      </c>
      <c r="H1464" t="str">
        <f>""</f>
        <v/>
      </c>
      <c r="J1464" t="str">
        <f t="shared" si="9"/>
        <v>CUST #12847097</v>
      </c>
    </row>
    <row r="1465" spans="1:10" x14ac:dyDescent="0.3">
      <c r="A1465" t="str">
        <f>""</f>
        <v/>
      </c>
      <c r="G1465" t="str">
        <f>""</f>
        <v/>
      </c>
      <c r="H1465" t="str">
        <f>""</f>
        <v/>
      </c>
      <c r="J1465" t="str">
        <f t="shared" si="9"/>
        <v>CUST #12847097</v>
      </c>
    </row>
    <row r="1466" spans="1:10" x14ac:dyDescent="0.3">
      <c r="A1466" t="str">
        <f>""</f>
        <v/>
      </c>
      <c r="G1466" t="str">
        <f>""</f>
        <v/>
      </c>
      <c r="H1466" t="str">
        <f>""</f>
        <v/>
      </c>
      <c r="J1466" t="str">
        <f t="shared" si="9"/>
        <v>CUST #12847097</v>
      </c>
    </row>
    <row r="1467" spans="1:10" x14ac:dyDescent="0.3">
      <c r="A1467" t="str">
        <f>""</f>
        <v/>
      </c>
      <c r="G1467" t="str">
        <f>""</f>
        <v/>
      </c>
      <c r="H1467" t="str">
        <f>""</f>
        <v/>
      </c>
      <c r="J1467" t="str">
        <f t="shared" si="9"/>
        <v>CUST #12847097</v>
      </c>
    </row>
    <row r="1468" spans="1:10" x14ac:dyDescent="0.3">
      <c r="A1468" t="str">
        <f>""</f>
        <v/>
      </c>
      <c r="G1468" t="str">
        <f>""</f>
        <v/>
      </c>
      <c r="H1468" t="str">
        <f>""</f>
        <v/>
      </c>
      <c r="J1468" t="str">
        <f t="shared" si="9"/>
        <v>CUST #12847097</v>
      </c>
    </row>
    <row r="1469" spans="1:10" x14ac:dyDescent="0.3">
      <c r="A1469" t="str">
        <f>""</f>
        <v/>
      </c>
      <c r="G1469" t="str">
        <f>""</f>
        <v/>
      </c>
      <c r="H1469" t="str">
        <f>""</f>
        <v/>
      </c>
      <c r="J1469" t="str">
        <f t="shared" si="9"/>
        <v>CUST #12847097</v>
      </c>
    </row>
    <row r="1470" spans="1:10" x14ac:dyDescent="0.3">
      <c r="A1470" t="str">
        <f>""</f>
        <v/>
      </c>
      <c r="G1470" t="str">
        <f>""</f>
        <v/>
      </c>
      <c r="H1470" t="str">
        <f>""</f>
        <v/>
      </c>
      <c r="J1470" t="str">
        <f t="shared" si="9"/>
        <v>CUST #12847097</v>
      </c>
    </row>
    <row r="1471" spans="1:10" x14ac:dyDescent="0.3">
      <c r="A1471" t="str">
        <f>""</f>
        <v/>
      </c>
      <c r="G1471" t="str">
        <f>""</f>
        <v/>
      </c>
      <c r="H1471" t="str">
        <f>""</f>
        <v/>
      </c>
      <c r="J1471" t="str">
        <f t="shared" si="9"/>
        <v>CUST #12847097</v>
      </c>
    </row>
    <row r="1472" spans="1:10" x14ac:dyDescent="0.3">
      <c r="A1472" t="str">
        <f>""</f>
        <v/>
      </c>
      <c r="G1472" t="str">
        <f>""</f>
        <v/>
      </c>
      <c r="H1472" t="str">
        <f>""</f>
        <v/>
      </c>
      <c r="J1472" t="str">
        <f t="shared" si="9"/>
        <v>CUST #12847097</v>
      </c>
    </row>
    <row r="1473" spans="1:10" x14ac:dyDescent="0.3">
      <c r="A1473" t="str">
        <f>""</f>
        <v/>
      </c>
      <c r="G1473" t="str">
        <f>""</f>
        <v/>
      </c>
      <c r="H1473" t="str">
        <f>""</f>
        <v/>
      </c>
      <c r="J1473" t="str">
        <f t="shared" si="9"/>
        <v>CUST #12847097</v>
      </c>
    </row>
    <row r="1474" spans="1:10" x14ac:dyDescent="0.3">
      <c r="A1474" t="str">
        <f>""</f>
        <v/>
      </c>
      <c r="G1474" t="str">
        <f>""</f>
        <v/>
      </c>
      <c r="H1474" t="str">
        <f>""</f>
        <v/>
      </c>
      <c r="J1474" t="str">
        <f t="shared" si="9"/>
        <v>CUST #12847097</v>
      </c>
    </row>
    <row r="1475" spans="1:10" x14ac:dyDescent="0.3">
      <c r="A1475" t="str">
        <f>""</f>
        <v/>
      </c>
      <c r="G1475" t="str">
        <f>""</f>
        <v/>
      </c>
      <c r="H1475" t="str">
        <f>""</f>
        <v/>
      </c>
      <c r="J1475" t="str">
        <f t="shared" si="9"/>
        <v>CUST #12847097</v>
      </c>
    </row>
    <row r="1476" spans="1:10" x14ac:dyDescent="0.3">
      <c r="A1476" t="str">
        <f>""</f>
        <v/>
      </c>
      <c r="G1476" t="str">
        <f>""</f>
        <v/>
      </c>
      <c r="H1476" t="str">
        <f>""</f>
        <v/>
      </c>
      <c r="J1476" t="str">
        <f t="shared" si="9"/>
        <v>CUST #12847097</v>
      </c>
    </row>
    <row r="1477" spans="1:10" x14ac:dyDescent="0.3">
      <c r="A1477" t="str">
        <f>""</f>
        <v/>
      </c>
      <c r="G1477" t="str">
        <f>""</f>
        <v/>
      </c>
      <c r="H1477" t="str">
        <f>""</f>
        <v/>
      </c>
      <c r="J1477" t="str">
        <f t="shared" si="9"/>
        <v>CUST #12847097</v>
      </c>
    </row>
    <row r="1478" spans="1:10" x14ac:dyDescent="0.3">
      <c r="A1478" t="str">
        <f>""</f>
        <v/>
      </c>
      <c r="G1478" t="str">
        <f>""</f>
        <v/>
      </c>
      <c r="H1478" t="str">
        <f>""</f>
        <v/>
      </c>
      <c r="J1478" t="str">
        <f t="shared" si="9"/>
        <v>CUST #12847097</v>
      </c>
    </row>
    <row r="1479" spans="1:10" x14ac:dyDescent="0.3">
      <c r="A1479" t="str">
        <f>"001322"</f>
        <v>001322</v>
      </c>
      <c r="B1479" t="s">
        <v>416</v>
      </c>
      <c r="C1479">
        <v>71273</v>
      </c>
      <c r="D1479" s="2">
        <v>1449.07</v>
      </c>
      <c r="E1479" s="1">
        <v>42912</v>
      </c>
      <c r="F1479" t="s">
        <v>10</v>
      </c>
      <c r="G1479" t="str">
        <f>"5048983561"</f>
        <v>5048983561</v>
      </c>
      <c r="H1479" t="str">
        <f>"CUST#12847097/COPIER"</f>
        <v>CUST#12847097/COPIER</v>
      </c>
      <c r="I1479" s="2">
        <v>1251.5999999999999</v>
      </c>
      <c r="J1479" t="str">
        <f t="shared" ref="J1479:J1496" si="10">"CUST#12847097/COPIER"</f>
        <v>CUST#12847097/COPIER</v>
      </c>
    </row>
    <row r="1480" spans="1:10" x14ac:dyDescent="0.3">
      <c r="A1480" t="str">
        <f>""</f>
        <v/>
      </c>
      <c r="G1480" t="str">
        <f>""</f>
        <v/>
      </c>
      <c r="H1480" t="str">
        <f>""</f>
        <v/>
      </c>
      <c r="J1480" t="str">
        <f t="shared" si="10"/>
        <v>CUST#12847097/COPIER</v>
      </c>
    </row>
    <row r="1481" spans="1:10" x14ac:dyDescent="0.3">
      <c r="A1481" t="str">
        <f>""</f>
        <v/>
      </c>
      <c r="G1481" t="str">
        <f>""</f>
        <v/>
      </c>
      <c r="H1481" t="str">
        <f>""</f>
        <v/>
      </c>
      <c r="J1481" t="str">
        <f t="shared" si="10"/>
        <v>CUST#12847097/COPIER</v>
      </c>
    </row>
    <row r="1482" spans="1:10" x14ac:dyDescent="0.3">
      <c r="A1482" t="str">
        <f>""</f>
        <v/>
      </c>
      <c r="G1482" t="str">
        <f>""</f>
        <v/>
      </c>
      <c r="H1482" t="str">
        <f>""</f>
        <v/>
      </c>
      <c r="J1482" t="str">
        <f t="shared" si="10"/>
        <v>CUST#12847097/COPIER</v>
      </c>
    </row>
    <row r="1483" spans="1:10" x14ac:dyDescent="0.3">
      <c r="A1483" t="str">
        <f>""</f>
        <v/>
      </c>
      <c r="G1483" t="str">
        <f>""</f>
        <v/>
      </c>
      <c r="H1483" t="str">
        <f>""</f>
        <v/>
      </c>
      <c r="J1483" t="str">
        <f t="shared" si="10"/>
        <v>CUST#12847097/COPIER</v>
      </c>
    </row>
    <row r="1484" spans="1:10" x14ac:dyDescent="0.3">
      <c r="A1484" t="str">
        <f>""</f>
        <v/>
      </c>
      <c r="G1484" t="str">
        <f>""</f>
        <v/>
      </c>
      <c r="H1484" t="str">
        <f>""</f>
        <v/>
      </c>
      <c r="J1484" t="str">
        <f t="shared" si="10"/>
        <v>CUST#12847097/COPIER</v>
      </c>
    </row>
    <row r="1485" spans="1:10" x14ac:dyDescent="0.3">
      <c r="A1485" t="str">
        <f>""</f>
        <v/>
      </c>
      <c r="G1485" t="str">
        <f>""</f>
        <v/>
      </c>
      <c r="H1485" t="str">
        <f>""</f>
        <v/>
      </c>
      <c r="J1485" t="str">
        <f t="shared" si="10"/>
        <v>CUST#12847097/COPIER</v>
      </c>
    </row>
    <row r="1486" spans="1:10" x14ac:dyDescent="0.3">
      <c r="A1486" t="str">
        <f>""</f>
        <v/>
      </c>
      <c r="G1486" t="str">
        <f>""</f>
        <v/>
      </c>
      <c r="H1486" t="str">
        <f>""</f>
        <v/>
      </c>
      <c r="J1486" t="str">
        <f t="shared" si="10"/>
        <v>CUST#12847097/COPIER</v>
      </c>
    </row>
    <row r="1487" spans="1:10" x14ac:dyDescent="0.3">
      <c r="A1487" t="str">
        <f>""</f>
        <v/>
      </c>
      <c r="G1487" t="str">
        <f>""</f>
        <v/>
      </c>
      <c r="H1487" t="str">
        <f>""</f>
        <v/>
      </c>
      <c r="J1487" t="str">
        <f t="shared" si="10"/>
        <v>CUST#12847097/COPIER</v>
      </c>
    </row>
    <row r="1488" spans="1:10" x14ac:dyDescent="0.3">
      <c r="A1488" t="str">
        <f>""</f>
        <v/>
      </c>
      <c r="G1488" t="str">
        <f>""</f>
        <v/>
      </c>
      <c r="H1488" t="str">
        <f>""</f>
        <v/>
      </c>
      <c r="J1488" t="str">
        <f t="shared" si="10"/>
        <v>CUST#12847097/COPIER</v>
      </c>
    </row>
    <row r="1489" spans="1:10" x14ac:dyDescent="0.3">
      <c r="A1489" t="str">
        <f>""</f>
        <v/>
      </c>
      <c r="G1489" t="str">
        <f>""</f>
        <v/>
      </c>
      <c r="H1489" t="str">
        <f>""</f>
        <v/>
      </c>
      <c r="J1489" t="str">
        <f t="shared" si="10"/>
        <v>CUST#12847097/COPIER</v>
      </c>
    </row>
    <row r="1490" spans="1:10" x14ac:dyDescent="0.3">
      <c r="A1490" t="str">
        <f>""</f>
        <v/>
      </c>
      <c r="G1490" t="str">
        <f>""</f>
        <v/>
      </c>
      <c r="H1490" t="str">
        <f>""</f>
        <v/>
      </c>
      <c r="J1490" t="str">
        <f t="shared" si="10"/>
        <v>CUST#12847097/COPIER</v>
      </c>
    </row>
    <row r="1491" spans="1:10" x14ac:dyDescent="0.3">
      <c r="A1491" t="str">
        <f>""</f>
        <v/>
      </c>
      <c r="G1491" t="str">
        <f>""</f>
        <v/>
      </c>
      <c r="H1491" t="str">
        <f>""</f>
        <v/>
      </c>
      <c r="J1491" t="str">
        <f t="shared" si="10"/>
        <v>CUST#12847097/COPIER</v>
      </c>
    </row>
    <row r="1492" spans="1:10" x14ac:dyDescent="0.3">
      <c r="A1492" t="str">
        <f>""</f>
        <v/>
      </c>
      <c r="G1492" t="str">
        <f>""</f>
        <v/>
      </c>
      <c r="H1492" t="str">
        <f>""</f>
        <v/>
      </c>
      <c r="J1492" t="str">
        <f t="shared" si="10"/>
        <v>CUST#12847097/COPIER</v>
      </c>
    </row>
    <row r="1493" spans="1:10" x14ac:dyDescent="0.3">
      <c r="A1493" t="str">
        <f>""</f>
        <v/>
      </c>
      <c r="G1493" t="str">
        <f>""</f>
        <v/>
      </c>
      <c r="H1493" t="str">
        <f>""</f>
        <v/>
      </c>
      <c r="J1493" t="str">
        <f t="shared" si="10"/>
        <v>CUST#12847097/COPIER</v>
      </c>
    </row>
    <row r="1494" spans="1:10" x14ac:dyDescent="0.3">
      <c r="A1494" t="str">
        <f>""</f>
        <v/>
      </c>
      <c r="G1494" t="str">
        <f>""</f>
        <v/>
      </c>
      <c r="H1494" t="str">
        <f>""</f>
        <v/>
      </c>
      <c r="J1494" t="str">
        <f t="shared" si="10"/>
        <v>CUST#12847097/COPIER</v>
      </c>
    </row>
    <row r="1495" spans="1:10" x14ac:dyDescent="0.3">
      <c r="A1495" t="str">
        <f>""</f>
        <v/>
      </c>
      <c r="G1495" t="str">
        <f>""</f>
        <v/>
      </c>
      <c r="H1495" t="str">
        <f>""</f>
        <v/>
      </c>
      <c r="J1495" t="str">
        <f t="shared" si="10"/>
        <v>CUST#12847097/COPIER</v>
      </c>
    </row>
    <row r="1496" spans="1:10" x14ac:dyDescent="0.3">
      <c r="A1496" t="str">
        <f>""</f>
        <v/>
      </c>
      <c r="G1496" t="str">
        <f>""</f>
        <v/>
      </c>
      <c r="H1496" t="str">
        <f>""</f>
        <v/>
      </c>
      <c r="J1496" t="str">
        <f t="shared" si="10"/>
        <v>CUST#12847097/COPIER</v>
      </c>
    </row>
    <row r="1497" spans="1:10" x14ac:dyDescent="0.3">
      <c r="A1497" t="str">
        <f>""</f>
        <v/>
      </c>
      <c r="F1497" t="s">
        <v>10</v>
      </c>
      <c r="G1497" t="str">
        <f>"5049015482"</f>
        <v>5049015482</v>
      </c>
      <c r="H1497" t="str">
        <f>"CUST#12847097/CONT#4457471"</f>
        <v>CUST#12847097/CONT#4457471</v>
      </c>
      <c r="I1497" s="2">
        <v>197.47</v>
      </c>
      <c r="J1497" t="str">
        <f>"CUST#12847097/CONT#4457471"</f>
        <v>CUST#12847097/CONT#4457471</v>
      </c>
    </row>
    <row r="1498" spans="1:10" x14ac:dyDescent="0.3">
      <c r="A1498" t="str">
        <f>"000972"</f>
        <v>000972</v>
      </c>
      <c r="B1498" t="s">
        <v>417</v>
      </c>
      <c r="C1498">
        <v>71274</v>
      </c>
      <c r="D1498" s="2">
        <v>7087.58</v>
      </c>
      <c r="E1498" s="1">
        <v>42912</v>
      </c>
      <c r="F1498" t="s">
        <v>10</v>
      </c>
      <c r="G1498" t="str">
        <f>"30332388"</f>
        <v>30332388</v>
      </c>
      <c r="H1498" t="str">
        <f>"CUST#2000172616"</f>
        <v>CUST#2000172616</v>
      </c>
      <c r="I1498" s="2">
        <v>7087.58</v>
      </c>
      <c r="J1498" t="str">
        <f t="shared" ref="J1498:J1519" si="11">"CUST#2000172616"</f>
        <v>CUST#2000172616</v>
      </c>
    </row>
    <row r="1499" spans="1:10" x14ac:dyDescent="0.3">
      <c r="A1499" t="str">
        <f>""</f>
        <v/>
      </c>
      <c r="G1499" t="str">
        <f>""</f>
        <v/>
      </c>
      <c r="H1499" t="str">
        <f>""</f>
        <v/>
      </c>
      <c r="J1499" t="str">
        <f t="shared" si="11"/>
        <v>CUST#2000172616</v>
      </c>
    </row>
    <row r="1500" spans="1:10" x14ac:dyDescent="0.3">
      <c r="A1500" t="str">
        <f>""</f>
        <v/>
      </c>
      <c r="G1500" t="str">
        <f>""</f>
        <v/>
      </c>
      <c r="H1500" t="str">
        <f>""</f>
        <v/>
      </c>
      <c r="J1500" t="str">
        <f t="shared" si="11"/>
        <v>CUST#2000172616</v>
      </c>
    </row>
    <row r="1501" spans="1:10" x14ac:dyDescent="0.3">
      <c r="A1501" t="str">
        <f>""</f>
        <v/>
      </c>
      <c r="G1501" t="str">
        <f>""</f>
        <v/>
      </c>
      <c r="H1501" t="str">
        <f>""</f>
        <v/>
      </c>
      <c r="J1501" t="str">
        <f t="shared" si="11"/>
        <v>CUST#2000172616</v>
      </c>
    </row>
    <row r="1502" spans="1:10" x14ac:dyDescent="0.3">
      <c r="A1502" t="str">
        <f>""</f>
        <v/>
      </c>
      <c r="G1502" t="str">
        <f>""</f>
        <v/>
      </c>
      <c r="H1502" t="str">
        <f>""</f>
        <v/>
      </c>
      <c r="J1502" t="str">
        <f t="shared" si="11"/>
        <v>CUST#2000172616</v>
      </c>
    </row>
    <row r="1503" spans="1:10" x14ac:dyDescent="0.3">
      <c r="A1503" t="str">
        <f>""</f>
        <v/>
      </c>
      <c r="G1503" t="str">
        <f>""</f>
        <v/>
      </c>
      <c r="H1503" t="str">
        <f>""</f>
        <v/>
      </c>
      <c r="J1503" t="str">
        <f t="shared" si="11"/>
        <v>CUST#2000172616</v>
      </c>
    </row>
    <row r="1504" spans="1:10" x14ac:dyDescent="0.3">
      <c r="A1504" t="str">
        <f>""</f>
        <v/>
      </c>
      <c r="G1504" t="str">
        <f>""</f>
        <v/>
      </c>
      <c r="H1504" t="str">
        <f>""</f>
        <v/>
      </c>
      <c r="J1504" t="str">
        <f t="shared" si="11"/>
        <v>CUST#2000172616</v>
      </c>
    </row>
    <row r="1505" spans="1:10" x14ac:dyDescent="0.3">
      <c r="A1505" t="str">
        <f>""</f>
        <v/>
      </c>
      <c r="G1505" t="str">
        <f>""</f>
        <v/>
      </c>
      <c r="H1505" t="str">
        <f>""</f>
        <v/>
      </c>
      <c r="J1505" t="str">
        <f t="shared" si="11"/>
        <v>CUST#2000172616</v>
      </c>
    </row>
    <row r="1506" spans="1:10" x14ac:dyDescent="0.3">
      <c r="A1506" t="str">
        <f>""</f>
        <v/>
      </c>
      <c r="G1506" t="str">
        <f>""</f>
        <v/>
      </c>
      <c r="H1506" t="str">
        <f>""</f>
        <v/>
      </c>
      <c r="J1506" t="str">
        <f t="shared" si="11"/>
        <v>CUST#2000172616</v>
      </c>
    </row>
    <row r="1507" spans="1:10" x14ac:dyDescent="0.3">
      <c r="A1507" t="str">
        <f>""</f>
        <v/>
      </c>
      <c r="G1507" t="str">
        <f>""</f>
        <v/>
      </c>
      <c r="H1507" t="str">
        <f>""</f>
        <v/>
      </c>
      <c r="J1507" t="str">
        <f t="shared" si="11"/>
        <v>CUST#2000172616</v>
      </c>
    </row>
    <row r="1508" spans="1:10" x14ac:dyDescent="0.3">
      <c r="A1508" t="str">
        <f>""</f>
        <v/>
      </c>
      <c r="G1508" t="str">
        <f>""</f>
        <v/>
      </c>
      <c r="H1508" t="str">
        <f>""</f>
        <v/>
      </c>
      <c r="J1508" t="str">
        <f t="shared" si="11"/>
        <v>CUST#2000172616</v>
      </c>
    </row>
    <row r="1509" spans="1:10" x14ac:dyDescent="0.3">
      <c r="A1509" t="str">
        <f>""</f>
        <v/>
      </c>
      <c r="G1509" t="str">
        <f>""</f>
        <v/>
      </c>
      <c r="H1509" t="str">
        <f>""</f>
        <v/>
      </c>
      <c r="J1509" t="str">
        <f t="shared" si="11"/>
        <v>CUST#2000172616</v>
      </c>
    </row>
    <row r="1510" spans="1:10" x14ac:dyDescent="0.3">
      <c r="A1510" t="str">
        <f>""</f>
        <v/>
      </c>
      <c r="G1510" t="str">
        <f>""</f>
        <v/>
      </c>
      <c r="H1510" t="str">
        <f>""</f>
        <v/>
      </c>
      <c r="J1510" t="str">
        <f t="shared" si="11"/>
        <v>CUST#2000172616</v>
      </c>
    </row>
    <row r="1511" spans="1:10" x14ac:dyDescent="0.3">
      <c r="A1511" t="str">
        <f>""</f>
        <v/>
      </c>
      <c r="G1511" t="str">
        <f>""</f>
        <v/>
      </c>
      <c r="H1511" t="str">
        <f>""</f>
        <v/>
      </c>
      <c r="J1511" t="str">
        <f t="shared" si="11"/>
        <v>CUST#2000172616</v>
      </c>
    </row>
    <row r="1512" spans="1:10" x14ac:dyDescent="0.3">
      <c r="A1512" t="str">
        <f>""</f>
        <v/>
      </c>
      <c r="G1512" t="str">
        <f>""</f>
        <v/>
      </c>
      <c r="H1512" t="str">
        <f>""</f>
        <v/>
      </c>
      <c r="J1512" t="str">
        <f t="shared" si="11"/>
        <v>CUST#2000172616</v>
      </c>
    </row>
    <row r="1513" spans="1:10" x14ac:dyDescent="0.3">
      <c r="A1513" t="str">
        <f>""</f>
        <v/>
      </c>
      <c r="G1513" t="str">
        <f>""</f>
        <v/>
      </c>
      <c r="H1513" t="str">
        <f>""</f>
        <v/>
      </c>
      <c r="J1513" t="str">
        <f t="shared" si="11"/>
        <v>CUST#2000172616</v>
      </c>
    </row>
    <row r="1514" spans="1:10" x14ac:dyDescent="0.3">
      <c r="A1514" t="str">
        <f>""</f>
        <v/>
      </c>
      <c r="G1514" t="str">
        <f>""</f>
        <v/>
      </c>
      <c r="H1514" t="str">
        <f>""</f>
        <v/>
      </c>
      <c r="J1514" t="str">
        <f t="shared" si="11"/>
        <v>CUST#2000172616</v>
      </c>
    </row>
    <row r="1515" spans="1:10" x14ac:dyDescent="0.3">
      <c r="A1515" t="str">
        <f>""</f>
        <v/>
      </c>
      <c r="G1515" t="str">
        <f>""</f>
        <v/>
      </c>
      <c r="H1515" t="str">
        <f>""</f>
        <v/>
      </c>
      <c r="J1515" t="str">
        <f t="shared" si="11"/>
        <v>CUST#2000172616</v>
      </c>
    </row>
    <row r="1516" spans="1:10" x14ac:dyDescent="0.3">
      <c r="A1516" t="str">
        <f>""</f>
        <v/>
      </c>
      <c r="G1516" t="str">
        <f>""</f>
        <v/>
      </c>
      <c r="H1516" t="str">
        <f>""</f>
        <v/>
      </c>
      <c r="J1516" t="str">
        <f t="shared" si="11"/>
        <v>CUST#2000172616</v>
      </c>
    </row>
    <row r="1517" spans="1:10" x14ac:dyDescent="0.3">
      <c r="A1517" t="str">
        <f>""</f>
        <v/>
      </c>
      <c r="G1517" t="str">
        <f>""</f>
        <v/>
      </c>
      <c r="H1517" t="str">
        <f>""</f>
        <v/>
      </c>
      <c r="J1517" t="str">
        <f t="shared" si="11"/>
        <v>CUST#2000172616</v>
      </c>
    </row>
    <row r="1518" spans="1:10" x14ac:dyDescent="0.3">
      <c r="A1518" t="str">
        <f>""</f>
        <v/>
      </c>
      <c r="G1518" t="str">
        <f>""</f>
        <v/>
      </c>
      <c r="H1518" t="str">
        <f>""</f>
        <v/>
      </c>
      <c r="J1518" t="str">
        <f t="shared" si="11"/>
        <v>CUST#2000172616</v>
      </c>
    </row>
    <row r="1519" spans="1:10" x14ac:dyDescent="0.3">
      <c r="A1519" t="str">
        <f>""</f>
        <v/>
      </c>
      <c r="G1519" t="str">
        <f>""</f>
        <v/>
      </c>
      <c r="H1519" t="str">
        <f>""</f>
        <v/>
      </c>
      <c r="J1519" t="str">
        <f t="shared" si="11"/>
        <v>CUST#2000172616</v>
      </c>
    </row>
    <row r="1520" spans="1:10" x14ac:dyDescent="0.3">
      <c r="A1520" t="str">
        <f>"004549"</f>
        <v>004549</v>
      </c>
      <c r="B1520" t="s">
        <v>418</v>
      </c>
      <c r="C1520">
        <v>70985</v>
      </c>
      <c r="D1520" s="2">
        <v>275</v>
      </c>
      <c r="E1520" s="1">
        <v>42898</v>
      </c>
      <c r="F1520" t="s">
        <v>10</v>
      </c>
      <c r="G1520" t="str">
        <f>"721154"</f>
        <v>721154</v>
      </c>
      <c r="H1520" t="str">
        <f>"LANDSCAPING SVCS"</f>
        <v>LANDSCAPING SVCS</v>
      </c>
      <c r="I1520" s="2">
        <v>125</v>
      </c>
      <c r="J1520" t="str">
        <f>"LANDSCAPING SVCS"</f>
        <v>LANDSCAPING SVCS</v>
      </c>
    </row>
    <row r="1521" spans="1:10" x14ac:dyDescent="0.3">
      <c r="A1521" t="str">
        <f>""</f>
        <v/>
      </c>
      <c r="F1521" t="s">
        <v>10</v>
      </c>
      <c r="G1521" t="str">
        <f>"721155"</f>
        <v>721155</v>
      </c>
      <c r="H1521" t="str">
        <f>"LANDSCAPING SVCS"</f>
        <v>LANDSCAPING SVCS</v>
      </c>
      <c r="I1521" s="2">
        <v>150</v>
      </c>
      <c r="J1521" t="str">
        <f>"LANDSCAPING SVCS"</f>
        <v>LANDSCAPING SVCS</v>
      </c>
    </row>
    <row r="1522" spans="1:10" x14ac:dyDescent="0.3">
      <c r="A1522" t="str">
        <f>"004549"</f>
        <v>004549</v>
      </c>
      <c r="B1522" t="s">
        <v>418</v>
      </c>
      <c r="C1522">
        <v>71275</v>
      </c>
      <c r="D1522" s="2">
        <v>275</v>
      </c>
      <c r="E1522" s="1">
        <v>42912</v>
      </c>
      <c r="F1522" t="s">
        <v>10</v>
      </c>
      <c r="G1522" t="str">
        <f>"721158"</f>
        <v>721158</v>
      </c>
      <c r="H1522" t="str">
        <f>"LADSCAPING/PCT#4"</f>
        <v>LADSCAPING/PCT#4</v>
      </c>
      <c r="I1522" s="2">
        <v>125</v>
      </c>
      <c r="J1522" t="str">
        <f>"LADSCAPING/PCT#4"</f>
        <v>LADSCAPING/PCT#4</v>
      </c>
    </row>
    <row r="1523" spans="1:10" x14ac:dyDescent="0.3">
      <c r="A1523" t="str">
        <f>""</f>
        <v/>
      </c>
      <c r="F1523" t="s">
        <v>10</v>
      </c>
      <c r="G1523" t="str">
        <f>"721159"</f>
        <v>721159</v>
      </c>
      <c r="H1523" t="str">
        <f>"LANDSCAPING/PCT#4"</f>
        <v>LANDSCAPING/PCT#4</v>
      </c>
      <c r="I1523" s="2">
        <v>150</v>
      </c>
      <c r="J1523" t="str">
        <f>"LANDSCAPING/PCT#4"</f>
        <v>LANDSCAPING/PCT#4</v>
      </c>
    </row>
    <row r="1524" spans="1:10" x14ac:dyDescent="0.3">
      <c r="A1524" t="str">
        <f>"000374"</f>
        <v>000374</v>
      </c>
      <c r="B1524" t="s">
        <v>419</v>
      </c>
      <c r="C1524">
        <v>70986</v>
      </c>
      <c r="D1524" s="2">
        <v>76.98</v>
      </c>
      <c r="E1524" s="1">
        <v>42898</v>
      </c>
      <c r="F1524" t="s">
        <v>10</v>
      </c>
      <c r="G1524" t="str">
        <f>"1018062"</f>
        <v>1018062</v>
      </c>
      <c r="H1524" t="str">
        <f>"EMPRESS KITCHEN ROLL TOWELS"</f>
        <v>EMPRESS KITCHEN ROLL TOWELS</v>
      </c>
      <c r="I1524" s="2">
        <v>39.99</v>
      </c>
      <c r="J1524" t="str">
        <f>"EMPRESS KITCHEN ROLL TOWELS"</f>
        <v>EMPRESS KITCHEN ROLL TOWELS</v>
      </c>
    </row>
    <row r="1525" spans="1:10" x14ac:dyDescent="0.3">
      <c r="A1525" t="str">
        <f>""</f>
        <v/>
      </c>
      <c r="F1525" t="s">
        <v>10</v>
      </c>
      <c r="G1525" t="str">
        <f>"I017996"</f>
        <v>I017996</v>
      </c>
      <c r="H1525" t="str">
        <f>"MULTIFOLD WHITE TOWELS - P3"</f>
        <v>MULTIFOLD WHITE TOWELS - P3</v>
      </c>
      <c r="I1525" s="2">
        <v>36.99</v>
      </c>
      <c r="J1525" t="str">
        <f>"MULTIFOLD WHITE TOWELS - P3"</f>
        <v>MULTIFOLD WHITE TOWELS - P3</v>
      </c>
    </row>
    <row r="1526" spans="1:10" x14ac:dyDescent="0.3">
      <c r="A1526" t="str">
        <f>"004417"</f>
        <v>004417</v>
      </c>
      <c r="B1526" t="s">
        <v>420</v>
      </c>
      <c r="C1526">
        <v>70987</v>
      </c>
      <c r="D1526" s="2">
        <v>250</v>
      </c>
      <c r="E1526" s="1">
        <v>42898</v>
      </c>
      <c r="F1526" t="s">
        <v>10</v>
      </c>
      <c r="G1526" t="str">
        <f>"BCSOApr17"</f>
        <v>BCSOApr17</v>
      </c>
      <c r="H1526" t="str">
        <f>"APRIL SERVICE"</f>
        <v>APRIL SERVICE</v>
      </c>
      <c r="I1526" s="2">
        <v>250</v>
      </c>
      <c r="J1526" t="str">
        <f>"APRIL SERVICE"</f>
        <v>APRIL SERVICE</v>
      </c>
    </row>
    <row r="1527" spans="1:10" x14ac:dyDescent="0.3">
      <c r="A1527" t="str">
        <f>"004417"</f>
        <v>004417</v>
      </c>
      <c r="B1527" t="s">
        <v>420</v>
      </c>
      <c r="C1527">
        <v>71276</v>
      </c>
      <c r="D1527" s="2">
        <v>500</v>
      </c>
      <c r="E1527" s="1">
        <v>42912</v>
      </c>
      <c r="F1527" t="s">
        <v>10</v>
      </c>
      <c r="G1527" t="str">
        <f>"BCSOMAY17"</f>
        <v>BCSOMAY17</v>
      </c>
      <c r="H1527" t="str">
        <f>"BCSOMAY17"</f>
        <v>BCSOMAY17</v>
      </c>
      <c r="I1527" s="2">
        <v>500</v>
      </c>
      <c r="J1527" t="str">
        <f>"BCSOMAY17"</f>
        <v>BCSOMAY17</v>
      </c>
    </row>
    <row r="1528" spans="1:10" x14ac:dyDescent="0.3">
      <c r="A1528" t="str">
        <f>"003609"</f>
        <v>003609</v>
      </c>
      <c r="B1528" t="s">
        <v>421</v>
      </c>
      <c r="C1528">
        <v>70988</v>
      </c>
      <c r="D1528" s="2">
        <v>15</v>
      </c>
      <c r="E1528" s="1">
        <v>42898</v>
      </c>
      <c r="F1528" t="s">
        <v>10</v>
      </c>
      <c r="G1528" t="str">
        <f>"201706073011"</f>
        <v>201706073011</v>
      </c>
      <c r="H1528" t="str">
        <f>"FERAL HOGS"</f>
        <v>FERAL HOGS</v>
      </c>
      <c r="I1528" s="2">
        <v>15</v>
      </c>
      <c r="J1528" t="str">
        <f>"FERAL HOGS"</f>
        <v>FERAL HOGS</v>
      </c>
    </row>
    <row r="1529" spans="1:10" x14ac:dyDescent="0.3">
      <c r="A1529" t="str">
        <f>"004814"</f>
        <v>004814</v>
      </c>
      <c r="B1529" t="s">
        <v>422</v>
      </c>
      <c r="C1529">
        <v>70989</v>
      </c>
      <c r="D1529" s="2">
        <v>350</v>
      </c>
      <c r="E1529" s="1">
        <v>42898</v>
      </c>
      <c r="F1529" t="s">
        <v>10</v>
      </c>
      <c r="G1529" t="str">
        <f>"201706072969"</f>
        <v>201706072969</v>
      </c>
      <c r="H1529" t="str">
        <f>"FERAL HOGS"</f>
        <v>FERAL HOGS</v>
      </c>
      <c r="I1529" s="2">
        <v>350</v>
      </c>
      <c r="J1529" t="str">
        <f>"FERAL HOGS"</f>
        <v>FERAL HOGS</v>
      </c>
    </row>
    <row r="1530" spans="1:10" x14ac:dyDescent="0.3">
      <c r="A1530" t="str">
        <f>"MADDEN"</f>
        <v>MADDEN</v>
      </c>
      <c r="B1530" t="s">
        <v>423</v>
      </c>
      <c r="C1530">
        <v>70990</v>
      </c>
      <c r="D1530" s="2">
        <v>10.87</v>
      </c>
      <c r="E1530" s="1">
        <v>42898</v>
      </c>
      <c r="F1530" t="s">
        <v>10</v>
      </c>
      <c r="G1530" t="str">
        <f>"3953702"</f>
        <v>3953702</v>
      </c>
      <c r="H1530" t="str">
        <f>"CAPACITOR INV3953702"</f>
        <v>CAPACITOR INV3953702</v>
      </c>
      <c r="I1530" s="2">
        <v>10.87</v>
      </c>
      <c r="J1530" t="str">
        <f>"CAPACITOR INV3953702"</f>
        <v>CAPACITOR INV3953702</v>
      </c>
    </row>
    <row r="1531" spans="1:10" x14ac:dyDescent="0.3">
      <c r="A1531" t="str">
        <f>"005125"</f>
        <v>005125</v>
      </c>
      <c r="B1531" t="s">
        <v>424</v>
      </c>
      <c r="C1531">
        <v>71277</v>
      </c>
      <c r="D1531" s="2">
        <v>37.5</v>
      </c>
      <c r="E1531" s="1">
        <v>42912</v>
      </c>
      <c r="F1531" t="s">
        <v>10</v>
      </c>
      <c r="G1531" t="str">
        <f>"201706213243"</f>
        <v>201706213243</v>
      </c>
      <c r="H1531" t="str">
        <f>"RETURN WITHIN 10 DAYS"</f>
        <v>RETURN WITHIN 10 DAYS</v>
      </c>
      <c r="I1531" s="2">
        <v>37.5</v>
      </c>
      <c r="J1531" t="str">
        <f>"RETURN WITHIN 10 DAYS"</f>
        <v>RETURN WITHIN 10 DAYS</v>
      </c>
    </row>
    <row r="1532" spans="1:10" x14ac:dyDescent="0.3">
      <c r="A1532" t="str">
        <f>"T12894"</f>
        <v>T12894</v>
      </c>
      <c r="B1532" t="s">
        <v>425</v>
      </c>
      <c r="C1532">
        <v>70991</v>
      </c>
      <c r="D1532" s="2">
        <v>300</v>
      </c>
      <c r="E1532" s="1">
        <v>42898</v>
      </c>
      <c r="F1532" t="s">
        <v>10</v>
      </c>
      <c r="G1532" t="str">
        <f>"0038505-IN"</f>
        <v>0038505-IN</v>
      </c>
      <c r="H1532" t="str">
        <f>"INV 0038505-IN"</f>
        <v>INV 0038505-IN</v>
      </c>
      <c r="I1532" s="2">
        <v>200</v>
      </c>
      <c r="J1532" t="str">
        <f>"INV 0038505-IN"</f>
        <v>INV 0038505-IN</v>
      </c>
    </row>
    <row r="1533" spans="1:10" x14ac:dyDescent="0.3">
      <c r="A1533" t="str">
        <f>""</f>
        <v/>
      </c>
      <c r="G1533" t="str">
        <f>""</f>
        <v/>
      </c>
      <c r="H1533" t="str">
        <f>""</f>
        <v/>
      </c>
      <c r="J1533" t="str">
        <f>"INV 0038505-IN"</f>
        <v>INV 0038505-IN</v>
      </c>
    </row>
    <row r="1534" spans="1:10" x14ac:dyDescent="0.3">
      <c r="A1534" t="str">
        <f>""</f>
        <v/>
      </c>
      <c r="F1534" t="s">
        <v>10</v>
      </c>
      <c r="G1534" t="str">
        <f>"0038505-IN A"</f>
        <v>0038505-IN A</v>
      </c>
      <c r="H1534" t="str">
        <f>"INV 0038505-IN / BALANCE"</f>
        <v>INV 0038505-IN / BALANCE</v>
      </c>
      <c r="I1534" s="2">
        <v>100</v>
      </c>
      <c r="J1534" t="str">
        <f>"INV 0038505-IN / BALANCE"</f>
        <v>INV 0038505-IN / BALANCE</v>
      </c>
    </row>
    <row r="1535" spans="1:10" x14ac:dyDescent="0.3">
      <c r="A1535" t="str">
        <f>"005084"</f>
        <v>005084</v>
      </c>
      <c r="B1535" t="s">
        <v>426</v>
      </c>
      <c r="C1535">
        <v>70992</v>
      </c>
      <c r="D1535" s="2">
        <v>381.05</v>
      </c>
      <c r="E1535" s="1">
        <v>42898</v>
      </c>
      <c r="F1535" t="s">
        <v>10</v>
      </c>
      <c r="G1535" t="str">
        <f>"SA25025101"</f>
        <v>SA25025101</v>
      </c>
      <c r="H1535" t="str">
        <f>"INV SA25025101"</f>
        <v>INV SA25025101</v>
      </c>
      <c r="I1535" s="2">
        <v>381.05</v>
      </c>
      <c r="J1535" t="str">
        <f>"INV SA25025101"</f>
        <v>INV SA25025101</v>
      </c>
    </row>
    <row r="1536" spans="1:10" x14ac:dyDescent="0.3">
      <c r="A1536" t="str">
        <f>"003604"</f>
        <v>003604</v>
      </c>
      <c r="B1536" t="s">
        <v>427</v>
      </c>
      <c r="C1536">
        <v>70993</v>
      </c>
      <c r="D1536" s="2">
        <v>70</v>
      </c>
      <c r="E1536" s="1">
        <v>42898</v>
      </c>
      <c r="F1536" t="s">
        <v>10</v>
      </c>
      <c r="G1536" t="str">
        <f>"201706073012"</f>
        <v>201706073012</v>
      </c>
      <c r="H1536" t="str">
        <f>"FERAL HOGS"</f>
        <v>FERAL HOGS</v>
      </c>
      <c r="I1536" s="2">
        <v>70</v>
      </c>
      <c r="J1536" t="str">
        <f>"FERAL HOGS"</f>
        <v>FERAL HOGS</v>
      </c>
    </row>
    <row r="1537" spans="1:10" x14ac:dyDescent="0.3">
      <c r="A1537" t="str">
        <f>"003425"</f>
        <v>003425</v>
      </c>
      <c r="B1537" t="s">
        <v>428</v>
      </c>
      <c r="C1537">
        <v>70994</v>
      </c>
      <c r="D1537" s="2">
        <v>125</v>
      </c>
      <c r="E1537" s="1">
        <v>42898</v>
      </c>
      <c r="F1537" t="s">
        <v>10</v>
      </c>
      <c r="G1537" t="str">
        <f>"201706073013"</f>
        <v>201706073013</v>
      </c>
      <c r="H1537" t="str">
        <f>"FERAL HOGS"</f>
        <v>FERAL HOGS</v>
      </c>
      <c r="I1537" s="2">
        <v>75</v>
      </c>
      <c r="J1537" t="str">
        <f>"FERAL HOGS"</f>
        <v>FERAL HOGS</v>
      </c>
    </row>
    <row r="1538" spans="1:10" x14ac:dyDescent="0.3">
      <c r="A1538" t="str">
        <f>""</f>
        <v/>
      </c>
      <c r="F1538" t="s">
        <v>10</v>
      </c>
      <c r="G1538" t="str">
        <f>"201706073014"</f>
        <v>201706073014</v>
      </c>
      <c r="H1538" t="str">
        <f>"FERAL HOGS"</f>
        <v>FERAL HOGS</v>
      </c>
      <c r="I1538" s="2">
        <v>50</v>
      </c>
      <c r="J1538" t="str">
        <f>"FERAL HOGS"</f>
        <v>FERAL HOGS</v>
      </c>
    </row>
    <row r="1539" spans="1:10" x14ac:dyDescent="0.3">
      <c r="A1539" t="str">
        <f>"004991"</f>
        <v>004991</v>
      </c>
      <c r="B1539" t="s">
        <v>429</v>
      </c>
      <c r="C1539">
        <v>70995</v>
      </c>
      <c r="D1539" s="2">
        <v>990</v>
      </c>
      <c r="E1539" s="1">
        <v>42898</v>
      </c>
      <c r="F1539" t="s">
        <v>10</v>
      </c>
      <c r="G1539" t="str">
        <f>"201706022571"</f>
        <v>201706022571</v>
      </c>
      <c r="H1539" t="str">
        <f>"LPHCP RECORDING FEES"</f>
        <v>LPHCP RECORDING FEES</v>
      </c>
      <c r="I1539" s="2">
        <v>604</v>
      </c>
      <c r="J1539" t="str">
        <f>"LPHCP RECORDING FEES"</f>
        <v>LPHCP RECORDING FEES</v>
      </c>
    </row>
    <row r="1540" spans="1:10" x14ac:dyDescent="0.3">
      <c r="A1540" t="str">
        <f>""</f>
        <v/>
      </c>
      <c r="F1540" t="s">
        <v>10</v>
      </c>
      <c r="G1540" t="str">
        <f>"201706072946"</f>
        <v>201706072946</v>
      </c>
      <c r="H1540" t="str">
        <f>"LPHCP RECORDING FEES"</f>
        <v>LPHCP RECORDING FEES</v>
      </c>
      <c r="I1540" s="2">
        <v>386</v>
      </c>
      <c r="J1540" t="str">
        <f>"LPHCP RECORDING FEES"</f>
        <v>LPHCP RECORDING FEES</v>
      </c>
    </row>
    <row r="1541" spans="1:10" x14ac:dyDescent="0.3">
      <c r="A1541" t="str">
        <f>"RP-CC"</f>
        <v>RP-CC</v>
      </c>
      <c r="B1541" t="s">
        <v>429</v>
      </c>
      <c r="C1541">
        <v>70996</v>
      </c>
      <c r="D1541" s="2">
        <v>282</v>
      </c>
      <c r="E1541" s="1">
        <v>42898</v>
      </c>
      <c r="F1541" t="s">
        <v>10</v>
      </c>
      <c r="G1541" t="str">
        <f>"201706072956"</f>
        <v>201706072956</v>
      </c>
      <c r="H1541" t="str">
        <f>"DEVELOPMENT SVCS RECORDING FEE"</f>
        <v>DEVELOPMENT SVCS RECORDING FEE</v>
      </c>
      <c r="I1541" s="2">
        <v>282</v>
      </c>
      <c r="J1541" t="str">
        <f>"DEVELOPMENT SVCS RECORDING FEE"</f>
        <v>DEVELOPMENT SVCS RECORDING FEE</v>
      </c>
    </row>
    <row r="1542" spans="1:10" x14ac:dyDescent="0.3">
      <c r="A1542" t="str">
        <f>"004991"</f>
        <v>004991</v>
      </c>
      <c r="B1542" t="s">
        <v>429</v>
      </c>
      <c r="C1542">
        <v>71278</v>
      </c>
      <c r="D1542" s="2">
        <v>372</v>
      </c>
      <c r="E1542" s="1">
        <v>42912</v>
      </c>
      <c r="F1542" t="s">
        <v>10</v>
      </c>
      <c r="G1542" t="str">
        <f>"201706213234"</f>
        <v>201706213234</v>
      </c>
      <c r="H1542" t="str">
        <f>"LPHCP RECORDING FEES"</f>
        <v>LPHCP RECORDING FEES</v>
      </c>
      <c r="I1542" s="2">
        <v>372</v>
      </c>
      <c r="J1542" t="str">
        <f>"LPHCP RECORDING FEES"</f>
        <v>LPHCP RECORDING FEES</v>
      </c>
    </row>
    <row r="1543" spans="1:10" x14ac:dyDescent="0.3">
      <c r="A1543" t="str">
        <f>"002112"</f>
        <v>002112</v>
      </c>
      <c r="B1543" t="s">
        <v>430</v>
      </c>
      <c r="C1543">
        <v>70997</v>
      </c>
      <c r="D1543" s="2">
        <v>706.83</v>
      </c>
      <c r="E1543" s="1">
        <v>42898</v>
      </c>
      <c r="F1543" t="s">
        <v>10</v>
      </c>
      <c r="G1543" t="str">
        <f>"201706072855"</f>
        <v>201706072855</v>
      </c>
      <c r="H1543" t="str">
        <f>"INDIGENT HEALTH"</f>
        <v>INDIGENT HEALTH</v>
      </c>
      <c r="I1543" s="2">
        <v>706.83</v>
      </c>
      <c r="J1543" t="str">
        <f>"INDIGENT HEALTH"</f>
        <v>INDIGENT HEALTH</v>
      </c>
    </row>
    <row r="1544" spans="1:10" x14ac:dyDescent="0.3">
      <c r="A1544" t="str">
        <f>""</f>
        <v/>
      </c>
      <c r="G1544" t="str">
        <f>""</f>
        <v/>
      </c>
      <c r="H1544" t="str">
        <f>""</f>
        <v/>
      </c>
      <c r="J1544" t="str">
        <f>"INDIGENT HEALTH"</f>
        <v>INDIGENT HEALTH</v>
      </c>
    </row>
    <row r="1545" spans="1:10" x14ac:dyDescent="0.3">
      <c r="A1545" t="str">
        <f>"005093"</f>
        <v>005093</v>
      </c>
      <c r="B1545" t="s">
        <v>431</v>
      </c>
      <c r="C1545">
        <v>71279</v>
      </c>
      <c r="D1545" s="2">
        <v>300</v>
      </c>
      <c r="E1545" s="1">
        <v>42912</v>
      </c>
      <c r="F1545" t="s">
        <v>10</v>
      </c>
      <c r="G1545" t="str">
        <f>"16143007"</f>
        <v>16143007</v>
      </c>
      <c r="H1545" t="str">
        <f>"DIAGNOSTIC INSPECTION"</f>
        <v>DIAGNOSTIC INSPECTION</v>
      </c>
      <c r="I1545" s="2">
        <v>300</v>
      </c>
      <c r="J1545" t="str">
        <f>"DIAGNOSTIC INSPECTION"</f>
        <v>DIAGNOSTIC INSPECTION</v>
      </c>
    </row>
    <row r="1546" spans="1:10" x14ac:dyDescent="0.3">
      <c r="A1546" t="str">
        <f>"003697"</f>
        <v>003697</v>
      </c>
      <c r="B1546" t="s">
        <v>432</v>
      </c>
      <c r="C1546">
        <v>71280</v>
      </c>
      <c r="D1546" s="2">
        <v>1052.5</v>
      </c>
      <c r="E1546" s="1">
        <v>42912</v>
      </c>
      <c r="F1546" t="s">
        <v>10</v>
      </c>
      <c r="G1546" t="str">
        <f>"131679A"</f>
        <v>131679A</v>
      </c>
      <c r="H1546" t="str">
        <f>"INV 131679A/UNIT 5273"</f>
        <v>INV 131679A/UNIT 5273</v>
      </c>
      <c r="I1546" s="2">
        <v>535</v>
      </c>
      <c r="J1546" t="str">
        <f>"INV 131679a/UNIT 5273"</f>
        <v>INV 131679a/UNIT 5273</v>
      </c>
    </row>
    <row r="1547" spans="1:10" x14ac:dyDescent="0.3">
      <c r="A1547" t="str">
        <f>""</f>
        <v/>
      </c>
      <c r="F1547" t="s">
        <v>10</v>
      </c>
      <c r="G1547" t="str">
        <f>"24611 24612"</f>
        <v>24611 24612</v>
      </c>
      <c r="H1547" t="str">
        <f>"Inv# 24611 &amp; 24612"</f>
        <v>Inv# 24611 &amp; 24612</v>
      </c>
      <c r="I1547" s="2">
        <v>517.5</v>
      </c>
      <c r="J1547" t="str">
        <f>"Inv# 24611"</f>
        <v>Inv# 24611</v>
      </c>
    </row>
    <row r="1548" spans="1:10" x14ac:dyDescent="0.3">
      <c r="A1548" t="str">
        <f>""</f>
        <v/>
      </c>
      <c r="G1548" t="str">
        <f>""</f>
        <v/>
      </c>
      <c r="H1548" t="str">
        <f>""</f>
        <v/>
      </c>
      <c r="J1548" t="str">
        <f>"Inv# 24612"</f>
        <v>Inv# 24612</v>
      </c>
    </row>
    <row r="1549" spans="1:10" x14ac:dyDescent="0.3">
      <c r="A1549" t="str">
        <f>"T11973"</f>
        <v>T11973</v>
      </c>
      <c r="B1549" t="s">
        <v>433</v>
      </c>
      <c r="C1549">
        <v>70998</v>
      </c>
      <c r="D1549" s="2">
        <v>320</v>
      </c>
      <c r="E1549" s="1">
        <v>42898</v>
      </c>
      <c r="F1549" t="s">
        <v>10</v>
      </c>
      <c r="G1549" t="str">
        <f>"201706072841"</f>
        <v>201706072841</v>
      </c>
      <c r="H1549" t="str">
        <f>"INDIGENT HEALTH"</f>
        <v>INDIGENT HEALTH</v>
      </c>
      <c r="I1549" s="2">
        <v>320</v>
      </c>
      <c r="J1549" t="str">
        <f>"INDIGENT HEALTH"</f>
        <v>INDIGENT HEALTH</v>
      </c>
    </row>
    <row r="1550" spans="1:10" x14ac:dyDescent="0.3">
      <c r="A1550" t="str">
        <f>"T11973"</f>
        <v>T11973</v>
      </c>
      <c r="B1550" t="s">
        <v>433</v>
      </c>
      <c r="C1550">
        <v>71281</v>
      </c>
      <c r="D1550" s="2">
        <v>33.270000000000003</v>
      </c>
      <c r="E1550" s="1">
        <v>42912</v>
      </c>
      <c r="F1550" t="s">
        <v>10</v>
      </c>
      <c r="G1550" t="str">
        <f>"201706213228"</f>
        <v>201706213228</v>
      </c>
      <c r="H1550" t="str">
        <f>"INDIGENT HEALTH"</f>
        <v>INDIGENT HEALTH</v>
      </c>
      <c r="I1550" s="2">
        <v>33.270000000000003</v>
      </c>
      <c r="J1550" t="str">
        <f>"INDIGENT HEALTH"</f>
        <v>INDIGENT HEALTH</v>
      </c>
    </row>
    <row r="1551" spans="1:10" x14ac:dyDescent="0.3">
      <c r="A1551" t="str">
        <f>"T4840"</f>
        <v>T4840</v>
      </c>
      <c r="B1551" t="s">
        <v>434</v>
      </c>
      <c r="C1551">
        <v>70999</v>
      </c>
      <c r="D1551" s="2">
        <v>630</v>
      </c>
      <c r="E1551" s="1">
        <v>42898</v>
      </c>
      <c r="F1551" t="s">
        <v>10</v>
      </c>
      <c r="G1551" t="str">
        <f>"201706052593"</f>
        <v>201706052593</v>
      </c>
      <c r="H1551" t="str">
        <f>"CNTY ELEC OFFICIALS CONFERENCE"</f>
        <v>CNTY ELEC OFFICIALS CONFERENCE</v>
      </c>
      <c r="I1551" s="2">
        <v>630</v>
      </c>
      <c r="J1551" t="str">
        <f>"CNTY ELEC OFFICIALS CONFERENCE"</f>
        <v>CNTY ELEC OFFICIALS CONFERENCE</v>
      </c>
    </row>
    <row r="1552" spans="1:10" x14ac:dyDescent="0.3">
      <c r="A1552" t="str">
        <f>"003194"</f>
        <v>003194</v>
      </c>
      <c r="B1552" t="s">
        <v>435</v>
      </c>
      <c r="C1552">
        <v>71000</v>
      </c>
      <c r="D1552" s="2">
        <v>3165.25</v>
      </c>
      <c r="E1552" s="1">
        <v>42898</v>
      </c>
      <c r="F1552" t="s">
        <v>10</v>
      </c>
      <c r="G1552" t="str">
        <f>"PPDINV0007410"</f>
        <v>PPDINV0007410</v>
      </c>
      <c r="H1552" t="str">
        <f>"PREPAID PHONE CARDS"</f>
        <v>PREPAID PHONE CARDS</v>
      </c>
      <c r="I1552" s="2">
        <v>3165.25</v>
      </c>
      <c r="J1552" t="str">
        <f>"PREPAID PHONE CARDS"</f>
        <v>PREPAID PHONE CARDS</v>
      </c>
    </row>
    <row r="1553" spans="1:10" x14ac:dyDescent="0.3">
      <c r="A1553" t="str">
        <f>"BRACKE"</f>
        <v>BRACKE</v>
      </c>
      <c r="B1553" t="s">
        <v>173</v>
      </c>
      <c r="C1553">
        <v>71282</v>
      </c>
      <c r="D1553" s="2">
        <v>21140.46</v>
      </c>
      <c r="E1553" s="1">
        <v>42912</v>
      </c>
      <c r="F1553" t="s">
        <v>10</v>
      </c>
      <c r="G1553" t="str">
        <f>"201706213239"</f>
        <v>201706213239</v>
      </c>
      <c r="H1553" t="str">
        <f>"PT ID#5029353222/PRISONER"</f>
        <v>PT ID#5029353222/PRISONER</v>
      </c>
      <c r="I1553" s="2">
        <v>21140.46</v>
      </c>
      <c r="J1553" t="str">
        <f>"PT ID#5029353222/PRISONER"</f>
        <v>PT ID#5029353222/PRISONER</v>
      </c>
    </row>
    <row r="1554" spans="1:10" x14ac:dyDescent="0.3">
      <c r="A1554" t="str">
        <f>"003086"</f>
        <v>003086</v>
      </c>
      <c r="B1554" t="s">
        <v>173</v>
      </c>
      <c r="C1554">
        <v>71001</v>
      </c>
      <c r="D1554" s="2">
        <v>1984.58</v>
      </c>
      <c r="E1554" s="1">
        <v>42898</v>
      </c>
      <c r="F1554" t="s">
        <v>10</v>
      </c>
      <c r="G1554" t="str">
        <f>"201706072858"</f>
        <v>201706072858</v>
      </c>
      <c r="H1554" t="str">
        <f>"INDIGENT HEALTH"</f>
        <v>INDIGENT HEALTH</v>
      </c>
      <c r="I1554" s="2">
        <v>1984.58</v>
      </c>
      <c r="J1554" t="str">
        <f>"INDIGENT HEALTH"</f>
        <v>INDIGENT HEALTH</v>
      </c>
    </row>
    <row r="1555" spans="1:10" x14ac:dyDescent="0.3">
      <c r="A1555" t="str">
        <f>"003086"</f>
        <v>003086</v>
      </c>
      <c r="B1555" t="s">
        <v>173</v>
      </c>
      <c r="C1555">
        <v>71283</v>
      </c>
      <c r="D1555" s="2">
        <v>6616.3</v>
      </c>
      <c r="E1555" s="1">
        <v>42912</v>
      </c>
      <c r="F1555" t="s">
        <v>10</v>
      </c>
      <c r="G1555" t="str">
        <f>"201706213230"</f>
        <v>201706213230</v>
      </c>
      <c r="H1555" t="str">
        <f>"INDIGENT HEALTH"</f>
        <v>INDIGENT HEALTH</v>
      </c>
      <c r="I1555" s="2">
        <v>1476.3</v>
      </c>
      <c r="J1555" t="str">
        <f>"INDIGENT HEALTH"</f>
        <v>INDIGENT HEALTH</v>
      </c>
    </row>
    <row r="1556" spans="1:10" x14ac:dyDescent="0.3">
      <c r="A1556" t="str">
        <f>""</f>
        <v/>
      </c>
      <c r="G1556" t="str">
        <f>""</f>
        <v/>
      </c>
      <c r="H1556" t="str">
        <f>""</f>
        <v/>
      </c>
      <c r="J1556" t="str">
        <f>"INDIGENT HEALTH"</f>
        <v>INDIGENT HEALTH</v>
      </c>
    </row>
    <row r="1557" spans="1:10" x14ac:dyDescent="0.3">
      <c r="A1557" t="str">
        <f>""</f>
        <v/>
      </c>
      <c r="F1557" t="s">
        <v>10</v>
      </c>
      <c r="G1557" t="str">
        <f>"520141"</f>
        <v>520141</v>
      </c>
      <c r="H1557" t="str">
        <f>"INDIGENT HEALTH"</f>
        <v>INDIGENT HEALTH</v>
      </c>
      <c r="I1557" s="2">
        <v>5140</v>
      </c>
      <c r="J1557" t="str">
        <f>"INDIGENT HEALTH"</f>
        <v>INDIGENT HEALTH</v>
      </c>
    </row>
    <row r="1558" spans="1:10" x14ac:dyDescent="0.3">
      <c r="A1558" t="str">
        <f>"SAT"</f>
        <v>SAT</v>
      </c>
      <c r="B1558" t="s">
        <v>436</v>
      </c>
      <c r="C1558">
        <v>71002</v>
      </c>
      <c r="D1558" s="2">
        <v>50</v>
      </c>
      <c r="E1558" s="1">
        <v>42898</v>
      </c>
      <c r="F1558" t="s">
        <v>10</v>
      </c>
      <c r="G1558" t="str">
        <f>"201706022555"</f>
        <v>201706022555</v>
      </c>
      <c r="H1558" t="str">
        <f>"ANNUAL DUES/IT"</f>
        <v>ANNUAL DUES/IT</v>
      </c>
      <c r="I1558" s="2">
        <v>50</v>
      </c>
      <c r="J1558" t="str">
        <f>"ANNUAL DUES/IT"</f>
        <v>ANNUAL DUES/IT</v>
      </c>
    </row>
    <row r="1559" spans="1:10" x14ac:dyDescent="0.3">
      <c r="A1559" t="str">
        <f>"T10195"</f>
        <v>T10195</v>
      </c>
      <c r="B1559" t="s">
        <v>437</v>
      </c>
      <c r="C1559">
        <v>71284</v>
      </c>
      <c r="D1559" s="2">
        <v>1593.56</v>
      </c>
      <c r="E1559" s="1">
        <v>42912</v>
      </c>
      <c r="F1559" t="s">
        <v>10</v>
      </c>
      <c r="G1559" t="str">
        <f>"GB00239889"</f>
        <v>GB00239889</v>
      </c>
      <c r="H1559" t="str">
        <f>"Quote#13510652"</f>
        <v>Quote#13510652</v>
      </c>
      <c r="I1559" s="2">
        <v>314</v>
      </c>
      <c r="J1559" t="str">
        <f>"Quote#13510652"</f>
        <v>Quote#13510652</v>
      </c>
    </row>
    <row r="1560" spans="1:10" x14ac:dyDescent="0.3">
      <c r="A1560" t="str">
        <f>""</f>
        <v/>
      </c>
      <c r="F1560" t="s">
        <v>10</v>
      </c>
      <c r="G1560" t="str">
        <f>"GB00240685"</f>
        <v>GB00240685</v>
      </c>
      <c r="H1560" t="str">
        <f>"Digi Anywhere USB"</f>
        <v>Digi Anywhere USB</v>
      </c>
      <c r="I1560" s="2">
        <v>1279.56</v>
      </c>
      <c r="J1560" t="str">
        <f>"Part# AW-USB-14"</f>
        <v>Part# AW-USB-14</v>
      </c>
    </row>
    <row r="1561" spans="1:10" x14ac:dyDescent="0.3">
      <c r="A1561" t="str">
        <f>"004840"</f>
        <v>004840</v>
      </c>
      <c r="B1561" t="s">
        <v>438</v>
      </c>
      <c r="C1561">
        <v>71285</v>
      </c>
      <c r="D1561" s="2">
        <v>357.65</v>
      </c>
      <c r="E1561" s="1">
        <v>42912</v>
      </c>
      <c r="F1561" t="s">
        <v>10</v>
      </c>
      <c r="G1561" t="str">
        <f>"695256"</f>
        <v>695256</v>
      </c>
      <c r="H1561" t="str">
        <f>"ACCT#550615"</f>
        <v>ACCT#550615</v>
      </c>
      <c r="I1561" s="2">
        <v>264.55</v>
      </c>
      <c r="J1561" t="str">
        <f>"ACCT#550615"</f>
        <v>ACCT#550615</v>
      </c>
    </row>
    <row r="1562" spans="1:10" x14ac:dyDescent="0.3">
      <c r="A1562" t="str">
        <f>""</f>
        <v/>
      </c>
      <c r="F1562" t="s">
        <v>10</v>
      </c>
      <c r="G1562" t="str">
        <f>"696229"</f>
        <v>696229</v>
      </c>
      <c r="H1562" t="str">
        <f>"ACCT#550615"</f>
        <v>ACCT#550615</v>
      </c>
      <c r="I1562" s="2">
        <v>93.1</v>
      </c>
      <c r="J1562" t="str">
        <f>"ACCT#550615"</f>
        <v>ACCT#550615</v>
      </c>
    </row>
    <row r="1563" spans="1:10" x14ac:dyDescent="0.3">
      <c r="A1563" t="str">
        <f>"001260"</f>
        <v>001260</v>
      </c>
      <c r="B1563" t="s">
        <v>439</v>
      </c>
      <c r="C1563">
        <v>71003</v>
      </c>
      <c r="D1563" s="2">
        <v>303.20999999999998</v>
      </c>
      <c r="E1563" s="1">
        <v>42898</v>
      </c>
      <c r="F1563" t="s">
        <v>10</v>
      </c>
      <c r="G1563" t="str">
        <f>"201706072861"</f>
        <v>201706072861</v>
      </c>
      <c r="H1563" t="str">
        <f>"INDIGENT HEALTH"</f>
        <v>INDIGENT HEALTH</v>
      </c>
      <c r="I1563" s="2">
        <v>303.20999999999998</v>
      </c>
      <c r="J1563" t="str">
        <f>"INDIGENT HEALTH"</f>
        <v>INDIGENT HEALTH</v>
      </c>
    </row>
    <row r="1564" spans="1:10" x14ac:dyDescent="0.3">
      <c r="A1564" t="str">
        <f>"003483"</f>
        <v>003483</v>
      </c>
      <c r="B1564" t="s">
        <v>440</v>
      </c>
      <c r="C1564">
        <v>71004</v>
      </c>
      <c r="D1564" s="2">
        <v>196.54</v>
      </c>
      <c r="E1564" s="1">
        <v>42898</v>
      </c>
      <c r="F1564" t="s">
        <v>10</v>
      </c>
      <c r="G1564" t="str">
        <f>"003210"</f>
        <v>003210</v>
      </c>
      <c r="H1564" t="str">
        <f>"QUOTE 003210"</f>
        <v>QUOTE 003210</v>
      </c>
      <c r="I1564" s="2">
        <v>196.54</v>
      </c>
      <c r="J1564" t="str">
        <f>"QUOTE 003210"</f>
        <v>QUOTE 003210</v>
      </c>
    </row>
    <row r="1565" spans="1:10" x14ac:dyDescent="0.3">
      <c r="A1565" t="str">
        <f>""</f>
        <v/>
      </c>
      <c r="G1565" t="str">
        <f>""</f>
        <v/>
      </c>
      <c r="H1565" t="str">
        <f>""</f>
        <v/>
      </c>
      <c r="J1565" t="str">
        <f>"SHIPPING"</f>
        <v>SHIPPING</v>
      </c>
    </row>
    <row r="1566" spans="1:10" x14ac:dyDescent="0.3">
      <c r="A1566" t="str">
        <f>"SEI"</f>
        <v>SEI</v>
      </c>
      <c r="B1566" t="s">
        <v>441</v>
      </c>
      <c r="C1566">
        <v>71005</v>
      </c>
      <c r="D1566" s="2">
        <v>243.96</v>
      </c>
      <c r="E1566" s="1">
        <v>42898</v>
      </c>
      <c r="F1566" t="s">
        <v>10</v>
      </c>
      <c r="G1566" t="str">
        <f>"68482"</f>
        <v>68482</v>
      </c>
      <c r="H1566" t="str">
        <f>"DRYER #4 INV68482"</f>
        <v>DRYER #4 INV68482</v>
      </c>
      <c r="I1566" s="2">
        <v>243.96</v>
      </c>
      <c r="J1566" t="str">
        <f>"DRYER #4 INV68482"</f>
        <v>DRYER #4 INV68482</v>
      </c>
    </row>
    <row r="1567" spans="1:10" x14ac:dyDescent="0.3">
      <c r="A1567" t="str">
        <f>"SAP"</f>
        <v>SAP</v>
      </c>
      <c r="B1567" t="s">
        <v>442</v>
      </c>
      <c r="C1567">
        <v>71286</v>
      </c>
      <c r="D1567" s="2">
        <v>1301.9100000000001</v>
      </c>
      <c r="E1567" s="1">
        <v>42912</v>
      </c>
      <c r="F1567" t="s">
        <v>10</v>
      </c>
      <c r="G1567" t="str">
        <f>"201706203160"</f>
        <v>201706203160</v>
      </c>
      <c r="H1567" t="str">
        <f>"ACCT#260/PCT#2"</f>
        <v>ACCT#260/PCT#2</v>
      </c>
      <c r="I1567" s="2">
        <v>1301.9100000000001</v>
      </c>
      <c r="J1567" t="str">
        <f>"ACCT#260/PCT#2"</f>
        <v>ACCT#260/PCT#2</v>
      </c>
    </row>
    <row r="1568" spans="1:10" x14ac:dyDescent="0.3">
      <c r="A1568" t="str">
        <f>"SVT"</f>
        <v>SVT</v>
      </c>
      <c r="B1568" t="s">
        <v>443</v>
      </c>
      <c r="C1568">
        <v>71287</v>
      </c>
      <c r="D1568" s="2">
        <v>60.84</v>
      </c>
      <c r="E1568" s="1">
        <v>42912</v>
      </c>
      <c r="F1568" t="s">
        <v>10</v>
      </c>
      <c r="G1568" t="str">
        <f>"201706133040"</f>
        <v>201706133040</v>
      </c>
      <c r="H1568" t="str">
        <f>"ACCT# 15178277/COMM OFFICE"</f>
        <v>ACCT# 15178277/COMM OFFICE</v>
      </c>
      <c r="I1568" s="2">
        <v>60.84</v>
      </c>
      <c r="J1568" t="str">
        <f>"ACCT# 15178277/COMM OFFICE"</f>
        <v>ACCT# 15178277/COMM OFFICE</v>
      </c>
    </row>
    <row r="1569" spans="1:10" x14ac:dyDescent="0.3">
      <c r="A1569" t="str">
        <f>"STM"</f>
        <v>STM</v>
      </c>
      <c r="B1569" t="s">
        <v>444</v>
      </c>
      <c r="C1569">
        <v>71006</v>
      </c>
      <c r="D1569" s="2">
        <v>1240.8599999999999</v>
      </c>
      <c r="E1569" s="1">
        <v>42898</v>
      </c>
      <c r="F1569" t="s">
        <v>10</v>
      </c>
      <c r="G1569" t="str">
        <f>"63213566"</f>
        <v>63213566</v>
      </c>
      <c r="H1569" t="str">
        <f>"FLAT REPAIR PCT#4"</f>
        <v>FLAT REPAIR PCT#4</v>
      </c>
      <c r="I1569" s="2">
        <v>130.44999999999999</v>
      </c>
      <c r="J1569" t="str">
        <f>"FLAT REPAIR PCT#4"</f>
        <v>FLAT REPAIR PCT#4</v>
      </c>
    </row>
    <row r="1570" spans="1:10" x14ac:dyDescent="0.3">
      <c r="A1570" t="str">
        <f>""</f>
        <v/>
      </c>
      <c r="F1570" t="s">
        <v>10</v>
      </c>
      <c r="G1570" t="str">
        <f>"63213694"</f>
        <v>63213694</v>
      </c>
      <c r="H1570" t="str">
        <f>"ACCT #52157/PCT #3"</f>
        <v>ACCT #52157/PCT #3</v>
      </c>
      <c r="I1570" s="2">
        <v>942.76</v>
      </c>
      <c r="J1570" t="str">
        <f>"ACCT #52157/PCT #3"</f>
        <v>ACCT #52157/PCT #3</v>
      </c>
    </row>
    <row r="1571" spans="1:10" x14ac:dyDescent="0.3">
      <c r="A1571" t="str">
        <f>""</f>
        <v/>
      </c>
      <c r="F1571" t="s">
        <v>10</v>
      </c>
      <c r="G1571" t="str">
        <f>"63213821"</f>
        <v>63213821</v>
      </c>
      <c r="H1571" t="str">
        <f>"SERVICE CALL PCT#4"</f>
        <v>SERVICE CALL PCT#4</v>
      </c>
      <c r="I1571" s="2">
        <v>167.65</v>
      </c>
      <c r="J1571" t="str">
        <f>"SERVICE CALL PCT#4"</f>
        <v>SERVICE CALL PCT#4</v>
      </c>
    </row>
    <row r="1572" spans="1:10" x14ac:dyDescent="0.3">
      <c r="A1572" t="str">
        <f>"STM"</f>
        <v>STM</v>
      </c>
      <c r="B1572" t="s">
        <v>444</v>
      </c>
      <c r="C1572">
        <v>71288</v>
      </c>
      <c r="D1572" s="2">
        <v>1123.49</v>
      </c>
      <c r="E1572" s="1">
        <v>42912</v>
      </c>
      <c r="F1572" t="s">
        <v>10</v>
      </c>
      <c r="G1572" t="str">
        <f>"63212487/63212490"</f>
        <v>63212487/63212490</v>
      </c>
      <c r="H1572" t="str">
        <f>"ACCT#52157/PCT#3"</f>
        <v>ACCT#52157/PCT#3</v>
      </c>
      <c r="I1572" s="2">
        <v>1123.49</v>
      </c>
      <c r="J1572" t="str">
        <f>"ACCT#52157/PCT#3"</f>
        <v>ACCT#52157/PCT#3</v>
      </c>
    </row>
    <row r="1573" spans="1:10" x14ac:dyDescent="0.3">
      <c r="A1573" t="str">
        <f>"T11061"</f>
        <v>T11061</v>
      </c>
      <c r="B1573" t="s">
        <v>445</v>
      </c>
      <c r="C1573">
        <v>71007</v>
      </c>
      <c r="D1573" s="2">
        <v>105.08</v>
      </c>
      <c r="E1573" s="1">
        <v>42898</v>
      </c>
      <c r="F1573" t="s">
        <v>10</v>
      </c>
      <c r="G1573" t="str">
        <f>"11969495 051217"</f>
        <v>11969495 051217</v>
      </c>
      <c r="H1573" t="str">
        <f>"556850411969495/DA"</f>
        <v>556850411969495/DA</v>
      </c>
      <c r="I1573" s="2">
        <v>94.35</v>
      </c>
      <c r="J1573" t="str">
        <f>"556850411969495/DA"</f>
        <v>556850411969495/DA</v>
      </c>
    </row>
    <row r="1574" spans="1:10" x14ac:dyDescent="0.3">
      <c r="A1574" t="str">
        <f>""</f>
        <v/>
      </c>
      <c r="F1574" t="s">
        <v>10</v>
      </c>
      <c r="G1574" t="str">
        <f>"9604456 052517"</f>
        <v>9604456 052517</v>
      </c>
      <c r="H1574" t="str">
        <f>"ACCT#46668439604456/JP#2"</f>
        <v>ACCT#46668439604456/JP#2</v>
      </c>
      <c r="I1574" s="2">
        <v>10.73</v>
      </c>
      <c r="J1574" t="str">
        <f>"ACCT#46668439604456/JP#2"</f>
        <v>ACCT#46668439604456/JP#2</v>
      </c>
    </row>
    <row r="1575" spans="1:10" x14ac:dyDescent="0.3">
      <c r="A1575" t="str">
        <f>"003747"</f>
        <v>003747</v>
      </c>
      <c r="B1575" t="s">
        <v>447</v>
      </c>
      <c r="C1575">
        <v>71289</v>
      </c>
      <c r="D1575" s="2">
        <v>36.880000000000003</v>
      </c>
      <c r="E1575" s="1">
        <v>42912</v>
      </c>
      <c r="F1575" t="s">
        <v>10</v>
      </c>
      <c r="G1575" t="str">
        <f>"A0698356R"</f>
        <v>A0698356R</v>
      </c>
      <c r="H1575" t="str">
        <f>"ACCT#0698356-3/OEM"</f>
        <v>ACCT#0698356-3/OEM</v>
      </c>
      <c r="I1575" s="2">
        <v>36.880000000000003</v>
      </c>
      <c r="J1575" t="str">
        <f>"ACCT#0698356-3/OEM"</f>
        <v>ACCT#0698356-3/OEM</v>
      </c>
    </row>
    <row r="1576" spans="1:10" x14ac:dyDescent="0.3">
      <c r="A1576" t="str">
        <f>"SDHCS"</f>
        <v>SDHCS</v>
      </c>
      <c r="B1576" t="s">
        <v>448</v>
      </c>
      <c r="C1576">
        <v>71008</v>
      </c>
      <c r="D1576" s="2">
        <v>7006.34</v>
      </c>
      <c r="E1576" s="1">
        <v>42898</v>
      </c>
      <c r="F1576" t="s">
        <v>10</v>
      </c>
      <c r="G1576" t="str">
        <f>"1272*98048*1"</f>
        <v>1272*98048*1</v>
      </c>
      <c r="H1576" t="str">
        <f>"INDIGENT HLTH/JAIL/PHYSICIAN"</f>
        <v>INDIGENT HLTH/JAIL/PHYSICIAN</v>
      </c>
      <c r="I1576" s="2">
        <v>104.78</v>
      </c>
      <c r="J1576" t="str">
        <f>"INDIGENT HLTH/JAIL/PHYSICIAN"</f>
        <v>INDIGENT HLTH/JAIL/PHYSICIAN</v>
      </c>
    </row>
    <row r="1577" spans="1:10" x14ac:dyDescent="0.3">
      <c r="A1577" t="str">
        <f>""</f>
        <v/>
      </c>
      <c r="F1577" t="s">
        <v>10</v>
      </c>
      <c r="G1577" t="str">
        <f>"201706072862"</f>
        <v>201706072862</v>
      </c>
      <c r="H1577" t="str">
        <f>"INDIGENT HEALTH"</f>
        <v>INDIGENT HEALTH</v>
      </c>
      <c r="I1577" s="2">
        <v>6264.63</v>
      </c>
      <c r="J1577" t="str">
        <f>"INDIGENT HEALTH"</f>
        <v>INDIGENT HEALTH</v>
      </c>
    </row>
    <row r="1578" spans="1:10" x14ac:dyDescent="0.3">
      <c r="A1578" t="str">
        <f>""</f>
        <v/>
      </c>
      <c r="G1578" t="str">
        <f>""</f>
        <v/>
      </c>
      <c r="H1578" t="str">
        <f>""</f>
        <v/>
      </c>
      <c r="J1578" t="str">
        <f>"INDIGENT HEALTH"</f>
        <v>INDIGENT HEALTH</v>
      </c>
    </row>
    <row r="1579" spans="1:10" x14ac:dyDescent="0.3">
      <c r="A1579" t="str">
        <f>""</f>
        <v/>
      </c>
      <c r="F1579" t="s">
        <v>10</v>
      </c>
      <c r="G1579" t="str">
        <f>"4210*98030*1"</f>
        <v>4210*98030*1</v>
      </c>
      <c r="H1579" t="str">
        <f>"INDIGENT HLTH/JAIL OUTPATIENT"</f>
        <v>INDIGENT HLTH/JAIL OUTPATIENT</v>
      </c>
      <c r="I1579" s="2">
        <v>636.92999999999995</v>
      </c>
      <c r="J1579" t="str">
        <f>"INDIGENT HLTH/JAIL OUTPATIENT"</f>
        <v>INDIGENT HLTH/JAIL OUTPATIENT</v>
      </c>
    </row>
    <row r="1580" spans="1:10" x14ac:dyDescent="0.3">
      <c r="A1580" t="str">
        <f>"SCS"</f>
        <v>SCS</v>
      </c>
      <c r="B1580" t="s">
        <v>446</v>
      </c>
      <c r="C1580">
        <v>71290</v>
      </c>
      <c r="D1580" s="2">
        <v>319.95999999999998</v>
      </c>
      <c r="E1580" s="1">
        <v>42912</v>
      </c>
      <c r="F1580" t="s">
        <v>10</v>
      </c>
      <c r="G1580" t="str">
        <f>"171716511021"</f>
        <v>171716511021</v>
      </c>
      <c r="H1580" t="str">
        <f>"CUST#5568504/DA'S OFFICE"</f>
        <v>CUST#5568504/DA'S OFFICE</v>
      </c>
      <c r="I1580" s="2">
        <v>319.95999999999998</v>
      </c>
      <c r="J1580" t="str">
        <f>"CUST#5568504/DA'S OFFICE"</f>
        <v>CUST#5568504/DA'S OFFICE</v>
      </c>
    </row>
    <row r="1581" spans="1:10" x14ac:dyDescent="0.3">
      <c r="A1581" t="str">
        <f>"003508"</f>
        <v>003508</v>
      </c>
      <c r="B1581" t="s">
        <v>449</v>
      </c>
      <c r="C1581">
        <v>71009</v>
      </c>
      <c r="D1581" s="2">
        <v>2092.87</v>
      </c>
      <c r="E1581" s="1">
        <v>42898</v>
      </c>
      <c r="F1581" t="s">
        <v>10</v>
      </c>
      <c r="G1581" t="str">
        <f>"8044554716"</f>
        <v>8044554716</v>
      </c>
      <c r="H1581" t="str">
        <f>"Sum. Inv# 8044554716"</f>
        <v>Sum. Inv# 8044554716</v>
      </c>
      <c r="I1581" s="2">
        <v>2092.87</v>
      </c>
      <c r="J1581" t="str">
        <f>"Inv# 3340091557"</f>
        <v>Inv# 3340091557</v>
      </c>
    </row>
    <row r="1582" spans="1:10" x14ac:dyDescent="0.3">
      <c r="A1582" t="str">
        <f>""</f>
        <v/>
      </c>
      <c r="G1582" t="str">
        <f>""</f>
        <v/>
      </c>
      <c r="H1582" t="str">
        <f>""</f>
        <v/>
      </c>
      <c r="J1582" t="str">
        <f>"Inv# 3340091551"</f>
        <v>Inv# 3340091551</v>
      </c>
    </row>
    <row r="1583" spans="1:10" x14ac:dyDescent="0.3">
      <c r="A1583" t="str">
        <f>""</f>
        <v/>
      </c>
      <c r="G1583" t="str">
        <f>""</f>
        <v/>
      </c>
      <c r="H1583" t="str">
        <f>""</f>
        <v/>
      </c>
      <c r="J1583" t="str">
        <f>"Inv# 3340091552"</f>
        <v>Inv# 3340091552</v>
      </c>
    </row>
    <row r="1584" spans="1:10" x14ac:dyDescent="0.3">
      <c r="A1584" t="str">
        <f>""</f>
        <v/>
      </c>
      <c r="G1584" t="str">
        <f>""</f>
        <v/>
      </c>
      <c r="H1584" t="str">
        <f>""</f>
        <v/>
      </c>
      <c r="J1584" t="str">
        <f>"Inv# 3340091553"</f>
        <v>Inv# 3340091553</v>
      </c>
    </row>
    <row r="1585" spans="1:10" x14ac:dyDescent="0.3">
      <c r="A1585" t="str">
        <f>""</f>
        <v/>
      </c>
      <c r="G1585" t="str">
        <f>""</f>
        <v/>
      </c>
      <c r="H1585" t="str">
        <f>""</f>
        <v/>
      </c>
      <c r="J1585" t="str">
        <f>"Inv# 3340091554"</f>
        <v>Inv# 3340091554</v>
      </c>
    </row>
    <row r="1586" spans="1:10" x14ac:dyDescent="0.3">
      <c r="A1586" t="str">
        <f>""</f>
        <v/>
      </c>
      <c r="G1586" t="str">
        <f>""</f>
        <v/>
      </c>
      <c r="H1586" t="str">
        <f>""</f>
        <v/>
      </c>
      <c r="J1586" t="str">
        <f>"Inv# 3340091561"</f>
        <v>Inv# 3340091561</v>
      </c>
    </row>
    <row r="1587" spans="1:10" x14ac:dyDescent="0.3">
      <c r="A1587" t="str">
        <f>""</f>
        <v/>
      </c>
      <c r="G1587" t="str">
        <f>""</f>
        <v/>
      </c>
      <c r="H1587" t="str">
        <f>""</f>
        <v/>
      </c>
      <c r="J1587" t="str">
        <f>"Inv# 3340091559"</f>
        <v>Inv# 3340091559</v>
      </c>
    </row>
    <row r="1588" spans="1:10" x14ac:dyDescent="0.3">
      <c r="A1588" t="str">
        <f>""</f>
        <v/>
      </c>
      <c r="G1588" t="str">
        <f>""</f>
        <v/>
      </c>
      <c r="H1588" t="str">
        <f>""</f>
        <v/>
      </c>
      <c r="J1588" t="str">
        <f>"Inv# 3340091549"</f>
        <v>Inv# 3340091549</v>
      </c>
    </row>
    <row r="1589" spans="1:10" x14ac:dyDescent="0.3">
      <c r="A1589" t="str">
        <f>""</f>
        <v/>
      </c>
      <c r="G1589" t="str">
        <f>""</f>
        <v/>
      </c>
      <c r="H1589" t="str">
        <f>""</f>
        <v/>
      </c>
      <c r="J1589" t="str">
        <f>"Inv# 3340091550"</f>
        <v>Inv# 3340091550</v>
      </c>
    </row>
    <row r="1590" spans="1:10" x14ac:dyDescent="0.3">
      <c r="A1590" t="str">
        <f>""</f>
        <v/>
      </c>
      <c r="G1590" t="str">
        <f>""</f>
        <v/>
      </c>
      <c r="H1590" t="str">
        <f>""</f>
        <v/>
      </c>
      <c r="J1590" t="str">
        <f>"Inv# 3340091555"</f>
        <v>Inv# 3340091555</v>
      </c>
    </row>
    <row r="1591" spans="1:10" x14ac:dyDescent="0.3">
      <c r="A1591" t="str">
        <f>""</f>
        <v/>
      </c>
      <c r="G1591" t="str">
        <f>""</f>
        <v/>
      </c>
      <c r="H1591" t="str">
        <f>""</f>
        <v/>
      </c>
      <c r="J1591" t="str">
        <f>"Inv# 3340091527"</f>
        <v>Inv# 3340091527</v>
      </c>
    </row>
    <row r="1592" spans="1:10" x14ac:dyDescent="0.3">
      <c r="A1592" t="str">
        <f>""</f>
        <v/>
      </c>
      <c r="G1592" t="str">
        <f>""</f>
        <v/>
      </c>
      <c r="H1592" t="str">
        <f>""</f>
        <v/>
      </c>
      <c r="J1592" t="str">
        <f>"Inv# 3340091530"</f>
        <v>Inv# 3340091530</v>
      </c>
    </row>
    <row r="1593" spans="1:10" x14ac:dyDescent="0.3">
      <c r="A1593" t="str">
        <f>""</f>
        <v/>
      </c>
      <c r="G1593" t="str">
        <f>""</f>
        <v/>
      </c>
      <c r="H1593" t="str">
        <f>""</f>
        <v/>
      </c>
      <c r="J1593" t="str">
        <f>"Inv# 3340091532"</f>
        <v>Inv# 3340091532</v>
      </c>
    </row>
    <row r="1594" spans="1:10" x14ac:dyDescent="0.3">
      <c r="A1594" t="str">
        <f>""</f>
        <v/>
      </c>
      <c r="G1594" t="str">
        <f>""</f>
        <v/>
      </c>
      <c r="H1594" t="str">
        <f>""</f>
        <v/>
      </c>
      <c r="J1594" t="str">
        <f>"Inv# 3340091534"</f>
        <v>Inv# 3340091534</v>
      </c>
    </row>
    <row r="1595" spans="1:10" x14ac:dyDescent="0.3">
      <c r="A1595" t="str">
        <f>""</f>
        <v/>
      </c>
      <c r="G1595" t="str">
        <f>""</f>
        <v/>
      </c>
      <c r="H1595" t="str">
        <f>""</f>
        <v/>
      </c>
      <c r="J1595" t="str">
        <f>"Inv# 3340091542"</f>
        <v>Inv# 3340091542</v>
      </c>
    </row>
    <row r="1596" spans="1:10" x14ac:dyDescent="0.3">
      <c r="A1596" t="str">
        <f>""</f>
        <v/>
      </c>
      <c r="G1596" t="str">
        <f>""</f>
        <v/>
      </c>
      <c r="H1596" t="str">
        <f>""</f>
        <v/>
      </c>
      <c r="J1596" t="str">
        <f>"Inv# 3340091529"</f>
        <v>Inv# 3340091529</v>
      </c>
    </row>
    <row r="1597" spans="1:10" x14ac:dyDescent="0.3">
      <c r="A1597" t="str">
        <f>""</f>
        <v/>
      </c>
      <c r="G1597" t="str">
        <f>""</f>
        <v/>
      </c>
      <c r="H1597" t="str">
        <f>""</f>
        <v/>
      </c>
      <c r="J1597" t="str">
        <f>"Inv# 3340091535"</f>
        <v>Inv# 3340091535</v>
      </c>
    </row>
    <row r="1598" spans="1:10" x14ac:dyDescent="0.3">
      <c r="A1598" t="str">
        <f>""</f>
        <v/>
      </c>
      <c r="G1598" t="str">
        <f>""</f>
        <v/>
      </c>
      <c r="H1598" t="str">
        <f>""</f>
        <v/>
      </c>
      <c r="J1598" t="str">
        <f>"Inv# 3340091543"</f>
        <v>Inv# 3340091543</v>
      </c>
    </row>
    <row r="1599" spans="1:10" x14ac:dyDescent="0.3">
      <c r="A1599" t="str">
        <f>""</f>
        <v/>
      </c>
      <c r="G1599" t="str">
        <f>""</f>
        <v/>
      </c>
      <c r="H1599" t="str">
        <f>""</f>
        <v/>
      </c>
      <c r="J1599" t="str">
        <f>"Inv# 3340091545"</f>
        <v>Inv# 3340091545</v>
      </c>
    </row>
    <row r="1600" spans="1:10" x14ac:dyDescent="0.3">
      <c r="A1600" t="str">
        <f>""</f>
        <v/>
      </c>
      <c r="G1600" t="str">
        <f>""</f>
        <v/>
      </c>
      <c r="H1600" t="str">
        <f>""</f>
        <v/>
      </c>
      <c r="J1600" t="str">
        <f>"Inv# 3340091546"</f>
        <v>Inv# 3340091546</v>
      </c>
    </row>
    <row r="1601" spans="1:10" x14ac:dyDescent="0.3">
      <c r="A1601" t="str">
        <f>""</f>
        <v/>
      </c>
      <c r="G1601" t="str">
        <f>""</f>
        <v/>
      </c>
      <c r="H1601" t="str">
        <f>""</f>
        <v/>
      </c>
      <c r="J1601" t="str">
        <f>"Inv#"</f>
        <v>Inv#</v>
      </c>
    </row>
    <row r="1602" spans="1:10" x14ac:dyDescent="0.3">
      <c r="A1602" t="str">
        <f>"003508"</f>
        <v>003508</v>
      </c>
      <c r="B1602" t="s">
        <v>449</v>
      </c>
      <c r="C1602">
        <v>71291</v>
      </c>
      <c r="D1602" s="2">
        <v>1145.08</v>
      </c>
      <c r="E1602" s="1">
        <v>42912</v>
      </c>
      <c r="F1602" t="s">
        <v>10</v>
      </c>
      <c r="G1602" t="str">
        <f>"MULTIPLE INVOICES"</f>
        <v>MULTIPLE INVOICES</v>
      </c>
      <c r="H1602" t="str">
        <f>"Sum. Inv 8044791315"</f>
        <v>Sum. Inv 8044791315</v>
      </c>
      <c r="I1602" s="2">
        <v>1145.08</v>
      </c>
      <c r="J1602" t="str">
        <f>"Inv# 3341963300"</f>
        <v>Inv# 3341963300</v>
      </c>
    </row>
    <row r="1603" spans="1:10" x14ac:dyDescent="0.3">
      <c r="A1603" t="str">
        <f>""</f>
        <v/>
      </c>
      <c r="G1603" t="str">
        <f>""</f>
        <v/>
      </c>
      <c r="H1603" t="str">
        <f>""</f>
        <v/>
      </c>
      <c r="J1603" t="str">
        <f>"Inv# 3341963322"</f>
        <v>Inv# 3341963322</v>
      </c>
    </row>
    <row r="1604" spans="1:10" x14ac:dyDescent="0.3">
      <c r="A1604" t="str">
        <f>""</f>
        <v/>
      </c>
      <c r="G1604" t="str">
        <f>""</f>
        <v/>
      </c>
      <c r="H1604" t="str">
        <f>""</f>
        <v/>
      </c>
      <c r="J1604" t="str">
        <f>"Inv# 3341963315"</f>
        <v>Inv# 3341963315</v>
      </c>
    </row>
    <row r="1605" spans="1:10" x14ac:dyDescent="0.3">
      <c r="A1605" t="str">
        <f>""</f>
        <v/>
      </c>
      <c r="G1605" t="str">
        <f>""</f>
        <v/>
      </c>
      <c r="H1605" t="str">
        <f>""</f>
        <v/>
      </c>
      <c r="J1605" t="str">
        <f>"Inv# 3341963318"</f>
        <v>Inv# 3341963318</v>
      </c>
    </row>
    <row r="1606" spans="1:10" x14ac:dyDescent="0.3">
      <c r="A1606" t="str">
        <f>""</f>
        <v/>
      </c>
      <c r="G1606" t="str">
        <f>""</f>
        <v/>
      </c>
      <c r="H1606" t="str">
        <f>""</f>
        <v/>
      </c>
      <c r="J1606" t="str">
        <f>"Inv# 3341963320"</f>
        <v>Inv# 3341963320</v>
      </c>
    </row>
    <row r="1607" spans="1:10" x14ac:dyDescent="0.3">
      <c r="A1607" t="str">
        <f>""</f>
        <v/>
      </c>
      <c r="G1607" t="str">
        <f>""</f>
        <v/>
      </c>
      <c r="H1607" t="str">
        <f>""</f>
        <v/>
      </c>
      <c r="J1607" t="str">
        <f>"Inv# 3341963335"</f>
        <v>Inv# 3341963335</v>
      </c>
    </row>
    <row r="1608" spans="1:10" x14ac:dyDescent="0.3">
      <c r="A1608" t="str">
        <f>""</f>
        <v/>
      </c>
      <c r="G1608" t="str">
        <f>""</f>
        <v/>
      </c>
      <c r="H1608" t="str">
        <f>""</f>
        <v/>
      </c>
      <c r="J1608" t="str">
        <f>"Inv# 3341963338"</f>
        <v>Inv# 3341963338</v>
      </c>
    </row>
    <row r="1609" spans="1:10" x14ac:dyDescent="0.3">
      <c r="A1609" t="str">
        <f>""</f>
        <v/>
      </c>
      <c r="G1609" t="str">
        <f>""</f>
        <v/>
      </c>
      <c r="H1609" t="str">
        <f>""</f>
        <v/>
      </c>
      <c r="J1609" t="str">
        <f>"Inv# 3341963339"</f>
        <v>Inv# 3341963339</v>
      </c>
    </row>
    <row r="1610" spans="1:10" x14ac:dyDescent="0.3">
      <c r="A1610" t="str">
        <f>""</f>
        <v/>
      </c>
      <c r="G1610" t="str">
        <f>""</f>
        <v/>
      </c>
      <c r="H1610" t="str">
        <f>""</f>
        <v/>
      </c>
      <c r="J1610" t="str">
        <f>"Inv# 3341963324"</f>
        <v>Inv# 3341963324</v>
      </c>
    </row>
    <row r="1611" spans="1:10" x14ac:dyDescent="0.3">
      <c r="A1611" t="str">
        <f>""</f>
        <v/>
      </c>
      <c r="G1611" t="str">
        <f>""</f>
        <v/>
      </c>
      <c r="H1611" t="str">
        <f>""</f>
        <v/>
      </c>
      <c r="J1611" t="str">
        <f>"Inv# 3341963326"</f>
        <v>Inv# 3341963326</v>
      </c>
    </row>
    <row r="1612" spans="1:10" x14ac:dyDescent="0.3">
      <c r="A1612" t="str">
        <f>""</f>
        <v/>
      </c>
      <c r="G1612" t="str">
        <f>""</f>
        <v/>
      </c>
      <c r="H1612" t="str">
        <f>""</f>
        <v/>
      </c>
      <c r="J1612" t="str">
        <f>"Inv# 3341963327"</f>
        <v>Inv# 3341963327</v>
      </c>
    </row>
    <row r="1613" spans="1:10" x14ac:dyDescent="0.3">
      <c r="A1613" t="str">
        <f>""</f>
        <v/>
      </c>
      <c r="G1613" t="str">
        <f>""</f>
        <v/>
      </c>
      <c r="H1613" t="str">
        <f>""</f>
        <v/>
      </c>
      <c r="J1613" t="str">
        <f>"Inv# 3341963330"</f>
        <v>Inv# 3341963330</v>
      </c>
    </row>
    <row r="1614" spans="1:10" x14ac:dyDescent="0.3">
      <c r="A1614" t="str">
        <f>""</f>
        <v/>
      </c>
      <c r="G1614" t="str">
        <f>""</f>
        <v/>
      </c>
      <c r="H1614" t="str">
        <f>""</f>
        <v/>
      </c>
      <c r="J1614" t="str">
        <f>"Inv# 3341963332"</f>
        <v>Inv# 3341963332</v>
      </c>
    </row>
    <row r="1615" spans="1:10" x14ac:dyDescent="0.3">
      <c r="A1615" t="str">
        <f>""</f>
        <v/>
      </c>
      <c r="G1615" t="str">
        <f>""</f>
        <v/>
      </c>
      <c r="H1615" t="str">
        <f>""</f>
        <v/>
      </c>
      <c r="J1615" t="str">
        <f>"Inv# 3341963304"</f>
        <v>Inv# 3341963304</v>
      </c>
    </row>
    <row r="1616" spans="1:10" x14ac:dyDescent="0.3">
      <c r="A1616" t="str">
        <f>""</f>
        <v/>
      </c>
      <c r="G1616" t="str">
        <f>""</f>
        <v/>
      </c>
      <c r="H1616" t="str">
        <f>""</f>
        <v/>
      </c>
      <c r="J1616" t="str">
        <f>"Inv# 3341963309"</f>
        <v>Inv# 3341963309</v>
      </c>
    </row>
    <row r="1617" spans="1:10" x14ac:dyDescent="0.3">
      <c r="A1617" t="str">
        <f>""</f>
        <v/>
      </c>
      <c r="G1617" t="str">
        <f>""</f>
        <v/>
      </c>
      <c r="H1617" t="str">
        <f>""</f>
        <v/>
      </c>
      <c r="J1617" t="str">
        <f>"Inv# 3341963310"</f>
        <v>Inv# 3341963310</v>
      </c>
    </row>
    <row r="1618" spans="1:10" x14ac:dyDescent="0.3">
      <c r="A1618" t="str">
        <f>""</f>
        <v/>
      </c>
      <c r="G1618" t="str">
        <f>""</f>
        <v/>
      </c>
      <c r="H1618" t="str">
        <f>""</f>
        <v/>
      </c>
      <c r="J1618" t="str">
        <f>"Inv# 3341963313"</f>
        <v>Inv# 3341963313</v>
      </c>
    </row>
    <row r="1619" spans="1:10" x14ac:dyDescent="0.3">
      <c r="A1619" t="str">
        <f>"T459"</f>
        <v>T459</v>
      </c>
      <c r="B1619" t="s">
        <v>450</v>
      </c>
      <c r="C1619">
        <v>71010</v>
      </c>
      <c r="D1619" s="2">
        <v>700</v>
      </c>
      <c r="E1619" s="1">
        <v>42898</v>
      </c>
      <c r="F1619" t="s">
        <v>10</v>
      </c>
      <c r="G1619" t="str">
        <f>"201706052613"</f>
        <v>201706052613</v>
      </c>
      <c r="H1619" t="str">
        <f>"EIN#746000226/MAY'17"</f>
        <v>EIN#746000226/MAY'17</v>
      </c>
      <c r="I1619" s="2">
        <v>700</v>
      </c>
      <c r="J1619" t="str">
        <f>"EIN#746000226/MAY'17"</f>
        <v>EIN#746000226/MAY'17</v>
      </c>
    </row>
    <row r="1620" spans="1:10" x14ac:dyDescent="0.3">
      <c r="A1620" t="str">
        <f>"004808"</f>
        <v>004808</v>
      </c>
      <c r="B1620" t="s">
        <v>451</v>
      </c>
      <c r="C1620">
        <v>71011</v>
      </c>
      <c r="D1620" s="2">
        <v>75</v>
      </c>
      <c r="E1620" s="1">
        <v>42898</v>
      </c>
      <c r="F1620" t="s">
        <v>10</v>
      </c>
      <c r="G1620" t="str">
        <f>"201706052650"</f>
        <v>201706052650</v>
      </c>
      <c r="H1620" t="str">
        <f>"FERAL HOGS"</f>
        <v>FERAL HOGS</v>
      </c>
      <c r="I1620" s="2">
        <v>5</v>
      </c>
      <c r="J1620" t="str">
        <f>"FERAL HOGS"</f>
        <v>FERAL HOGS</v>
      </c>
    </row>
    <row r="1621" spans="1:10" x14ac:dyDescent="0.3">
      <c r="A1621" t="str">
        <f>""</f>
        <v/>
      </c>
      <c r="F1621" t="s">
        <v>10</v>
      </c>
      <c r="G1621" t="str">
        <f>"201706073015"</f>
        <v>201706073015</v>
      </c>
      <c r="H1621" t="str">
        <f>"FERAL HOGS"</f>
        <v>FERAL HOGS</v>
      </c>
      <c r="I1621" s="2">
        <v>5</v>
      </c>
      <c r="J1621" t="str">
        <f>"FERAL HOGS"</f>
        <v>FERAL HOGS</v>
      </c>
    </row>
    <row r="1622" spans="1:10" x14ac:dyDescent="0.3">
      <c r="A1622" t="str">
        <f>""</f>
        <v/>
      </c>
      <c r="F1622" t="s">
        <v>10</v>
      </c>
      <c r="G1622" t="str">
        <f>"201706073016"</f>
        <v>201706073016</v>
      </c>
      <c r="H1622" t="str">
        <f>"FERAL HOGS"</f>
        <v>FERAL HOGS</v>
      </c>
      <c r="I1622" s="2">
        <v>20</v>
      </c>
      <c r="J1622" t="str">
        <f>"FERAL HOGS"</f>
        <v>FERAL HOGS</v>
      </c>
    </row>
    <row r="1623" spans="1:10" x14ac:dyDescent="0.3">
      <c r="A1623" t="str">
        <f>""</f>
        <v/>
      </c>
      <c r="F1623" t="s">
        <v>10</v>
      </c>
      <c r="G1623" t="str">
        <f>"201706073017"</f>
        <v>201706073017</v>
      </c>
      <c r="H1623" t="str">
        <f>"FERAL HOGS"</f>
        <v>FERAL HOGS</v>
      </c>
      <c r="I1623" s="2">
        <v>45</v>
      </c>
      <c r="J1623" t="str">
        <f>"FERAL HOGS"</f>
        <v>FERAL HOGS</v>
      </c>
    </row>
    <row r="1624" spans="1:10" x14ac:dyDescent="0.3">
      <c r="A1624" t="str">
        <f>"T8648"</f>
        <v>T8648</v>
      </c>
      <c r="B1624" t="s">
        <v>452</v>
      </c>
      <c r="C1624">
        <v>71012</v>
      </c>
      <c r="D1624" s="2">
        <v>651.02</v>
      </c>
      <c r="E1624" s="1">
        <v>42898</v>
      </c>
      <c r="F1624" t="s">
        <v>10</v>
      </c>
      <c r="G1624" t="str">
        <f>"4007116507"</f>
        <v>4007116507</v>
      </c>
      <c r="H1624" t="str">
        <f>"INV4007116507 MED WASTE"</f>
        <v>INV4007116507 MED WASTE</v>
      </c>
      <c r="I1624" s="2">
        <v>651.02</v>
      </c>
      <c r="J1624" t="str">
        <f>"INV4007116507 MED WASTE"</f>
        <v>INV4007116507 MED WASTE</v>
      </c>
    </row>
    <row r="1625" spans="1:10" x14ac:dyDescent="0.3">
      <c r="A1625" t="str">
        <f>"002260"</f>
        <v>002260</v>
      </c>
      <c r="B1625" t="s">
        <v>453</v>
      </c>
      <c r="C1625">
        <v>71013</v>
      </c>
      <c r="D1625" s="2">
        <v>591.5</v>
      </c>
      <c r="E1625" s="1">
        <v>42898</v>
      </c>
      <c r="F1625" t="s">
        <v>10</v>
      </c>
      <c r="G1625" t="str">
        <f>"201706052620"</f>
        <v>201706052620</v>
      </c>
      <c r="H1625" t="str">
        <f>"CONTRACT LABOR/5-22 TO 5/31/17"</f>
        <v>CONTRACT LABOR/5-22 TO 5/31/17</v>
      </c>
      <c r="I1625" s="2">
        <v>305.5</v>
      </c>
      <c r="J1625" t="str">
        <f>"CONTRACT LABOR/5-22 TO 5/31/17"</f>
        <v>CONTRACT LABOR/5-22 TO 5/31/17</v>
      </c>
    </row>
    <row r="1626" spans="1:10" x14ac:dyDescent="0.3">
      <c r="A1626" t="str">
        <f>""</f>
        <v/>
      </c>
      <c r="F1626" t="s">
        <v>10</v>
      </c>
      <c r="G1626" t="str">
        <f>"201706052621"</f>
        <v>201706052621</v>
      </c>
      <c r="H1626" t="str">
        <f>"CONTRACT LABOR/6-1 TO 6/9/17"</f>
        <v>CONTRACT LABOR/6-1 TO 6/9/17</v>
      </c>
      <c r="I1626" s="2">
        <v>286</v>
      </c>
      <c r="J1626" t="str">
        <f>"CONTRACT LABOR/6-1 TO 6/9/17"</f>
        <v>CONTRACT LABOR/6-1 TO 6/9/17</v>
      </c>
    </row>
    <row r="1627" spans="1:10" x14ac:dyDescent="0.3">
      <c r="A1627" t="str">
        <f>"002260"</f>
        <v>002260</v>
      </c>
      <c r="B1627" t="s">
        <v>453</v>
      </c>
      <c r="C1627">
        <v>71292</v>
      </c>
      <c r="D1627" s="2">
        <v>364</v>
      </c>
      <c r="E1627" s="1">
        <v>42912</v>
      </c>
      <c r="F1627" t="s">
        <v>10</v>
      </c>
      <c r="G1627" t="str">
        <f>"201706203165"</f>
        <v>201706203165</v>
      </c>
      <c r="H1627" t="str">
        <f>"CONTRACT LABOR-6/12 TO 6/23/17"</f>
        <v>CONTRACT LABOR-6/12 TO 6/23/17</v>
      </c>
      <c r="I1627" s="2">
        <v>364</v>
      </c>
      <c r="J1627" t="str">
        <f>"CONTRACT LABOR-6/12 TO 6/23/17"</f>
        <v>CONTRACT LABOR-6/12 TO 6/23/17</v>
      </c>
    </row>
    <row r="1628" spans="1:10" x14ac:dyDescent="0.3">
      <c r="A1628" t="str">
        <f>"005107"</f>
        <v>005107</v>
      </c>
      <c r="B1628" t="s">
        <v>454</v>
      </c>
      <c r="C1628">
        <v>71014</v>
      </c>
      <c r="D1628" s="2">
        <v>50</v>
      </c>
      <c r="E1628" s="1">
        <v>42898</v>
      </c>
      <c r="F1628" t="s">
        <v>10</v>
      </c>
      <c r="G1628" t="str">
        <f>"201706052618"</f>
        <v>201706052618</v>
      </c>
      <c r="H1628" t="str">
        <f>"REFUND FOR RETURNED DOG"</f>
        <v>REFUND FOR RETURNED DOG</v>
      </c>
      <c r="I1628" s="2">
        <v>50</v>
      </c>
      <c r="J1628" t="str">
        <f>"REFUND FOR RETURNED DOG"</f>
        <v>REFUND FOR RETURNED DOG</v>
      </c>
    </row>
    <row r="1629" spans="1:10" x14ac:dyDescent="0.3">
      <c r="A1629" t="str">
        <f>"005107"</f>
        <v>005107</v>
      </c>
      <c r="B1629" t="s">
        <v>454</v>
      </c>
      <c r="C1629">
        <v>71354</v>
      </c>
      <c r="D1629" s="2">
        <v>47.75</v>
      </c>
      <c r="E1629" s="1">
        <v>42914</v>
      </c>
      <c r="F1629" t="s">
        <v>10</v>
      </c>
      <c r="G1629" t="str">
        <f>"201706283286"</f>
        <v>201706283286</v>
      </c>
      <c r="H1629" t="str">
        <f>"REFUND - ANIMAL CONTROL"</f>
        <v>REFUND - ANIMAL CONTROL</v>
      </c>
      <c r="I1629" s="2">
        <v>47.75</v>
      </c>
      <c r="J1629" t="str">
        <f>"REFUND - ANIMAL CONTROL"</f>
        <v>REFUND - ANIMAL CONTROL</v>
      </c>
    </row>
    <row r="1630" spans="1:10" x14ac:dyDescent="0.3">
      <c r="A1630" t="str">
        <f>"004775"</f>
        <v>004775</v>
      </c>
      <c r="B1630" t="s">
        <v>455</v>
      </c>
      <c r="C1630">
        <v>71015</v>
      </c>
      <c r="D1630" s="2">
        <v>1600</v>
      </c>
      <c r="E1630" s="1">
        <v>42898</v>
      </c>
      <c r="F1630" t="s">
        <v>10</v>
      </c>
      <c r="G1630" t="str">
        <f>"79"</f>
        <v>79</v>
      </c>
      <c r="H1630" t="str">
        <f>"LANDSCAPING SERVICES"</f>
        <v>LANDSCAPING SERVICES</v>
      </c>
      <c r="I1630" s="2">
        <v>1600</v>
      </c>
      <c r="J1630" t="str">
        <f>"LANDSCAPING SERVICES"</f>
        <v>LANDSCAPING SERVICES</v>
      </c>
    </row>
    <row r="1631" spans="1:10" x14ac:dyDescent="0.3">
      <c r="A1631" t="str">
        <f>"T11610"</f>
        <v>T11610</v>
      </c>
      <c r="B1631" t="s">
        <v>456</v>
      </c>
      <c r="C1631">
        <v>71016</v>
      </c>
      <c r="D1631" s="2">
        <v>320</v>
      </c>
      <c r="E1631" s="1">
        <v>42898</v>
      </c>
      <c r="F1631" t="s">
        <v>10</v>
      </c>
      <c r="G1631" t="str">
        <f>"201706052599"</f>
        <v>201706052599</v>
      </c>
      <c r="H1631" t="str">
        <f>"TACERA CONFERENCE"</f>
        <v>TACERA CONFERENCE</v>
      </c>
      <c r="I1631" s="2">
        <v>320</v>
      </c>
      <c r="J1631" t="str">
        <f>"TACERA CONFERENCE"</f>
        <v>TACERA CONFERENCE</v>
      </c>
    </row>
    <row r="1632" spans="1:10" x14ac:dyDescent="0.3">
      <c r="A1632" t="str">
        <f>"T11610"</f>
        <v>T11610</v>
      </c>
      <c r="B1632" t="s">
        <v>456</v>
      </c>
      <c r="C1632">
        <v>71293</v>
      </c>
      <c r="D1632" s="2">
        <v>45</v>
      </c>
      <c r="E1632" s="1">
        <v>42912</v>
      </c>
      <c r="F1632" t="s">
        <v>10</v>
      </c>
      <c r="G1632" t="str">
        <f>"201706133041"</f>
        <v>201706133041</v>
      </c>
      <c r="H1632" t="str">
        <f>"TACERA MEMBERSHIP-CLARA BECKET"</f>
        <v>TACERA MEMBERSHIP-CLARA BECKET</v>
      </c>
      <c r="I1632" s="2">
        <v>45</v>
      </c>
      <c r="J1632" t="str">
        <f>"TACERA MEMBERSHIP-CLARA BECKET"</f>
        <v>TACERA MEMBERSHIP-CLARA BECKET</v>
      </c>
    </row>
    <row r="1633" spans="1:10" x14ac:dyDescent="0.3">
      <c r="A1633" t="str">
        <f>"002977"</f>
        <v>002977</v>
      </c>
      <c r="B1633" t="s">
        <v>457</v>
      </c>
      <c r="C1633">
        <v>71294</v>
      </c>
      <c r="D1633" s="2">
        <v>890</v>
      </c>
      <c r="E1633" s="1">
        <v>42912</v>
      </c>
      <c r="F1633" t="s">
        <v>10</v>
      </c>
      <c r="G1633" t="str">
        <f>"200002062"</f>
        <v>200002062</v>
      </c>
      <c r="H1633" t="str">
        <f>"CONFERENCE REGISTRATION"</f>
        <v>CONFERENCE REGISTRATION</v>
      </c>
      <c r="I1633" s="2">
        <v>445</v>
      </c>
      <c r="J1633" t="str">
        <f>"CONFERENCE REGISTRATION"</f>
        <v>CONFERENCE REGISTRATION</v>
      </c>
    </row>
    <row r="1634" spans="1:10" x14ac:dyDescent="0.3">
      <c r="A1634" t="str">
        <f>""</f>
        <v/>
      </c>
      <c r="F1634" t="s">
        <v>10</v>
      </c>
      <c r="G1634" t="str">
        <f>"200002063"</f>
        <v>200002063</v>
      </c>
      <c r="H1634" t="str">
        <f>"CONFERENCE REGISTRATION"</f>
        <v>CONFERENCE REGISTRATION</v>
      </c>
      <c r="I1634" s="2">
        <v>445</v>
      </c>
      <c r="J1634" t="str">
        <f>"CONFERENCE REGISTRATION"</f>
        <v>CONFERENCE REGISTRATION</v>
      </c>
    </row>
    <row r="1635" spans="1:10" x14ac:dyDescent="0.3">
      <c r="A1635" t="str">
        <f>"005087"</f>
        <v>005087</v>
      </c>
      <c r="B1635" t="s">
        <v>458</v>
      </c>
      <c r="C1635">
        <v>71017</v>
      </c>
      <c r="D1635" s="2">
        <v>175</v>
      </c>
      <c r="E1635" s="1">
        <v>42898</v>
      </c>
      <c r="F1635" t="s">
        <v>10</v>
      </c>
      <c r="G1635" t="str">
        <f>"16-15-001023"</f>
        <v>16-15-001023</v>
      </c>
      <c r="H1635" t="str">
        <f>"CONFERENCE/EXTENSION OFFICE"</f>
        <v>CONFERENCE/EXTENSION OFFICE</v>
      </c>
      <c r="I1635" s="2">
        <v>175</v>
      </c>
      <c r="J1635" t="str">
        <f>"CONFERENCE/EXTENSION OFFICE"</f>
        <v>CONFERENCE/EXTENSION OFFICE</v>
      </c>
    </row>
    <row r="1636" spans="1:10" x14ac:dyDescent="0.3">
      <c r="A1636" t="str">
        <f>"002224"</f>
        <v>002224</v>
      </c>
      <c r="B1636" t="s">
        <v>459</v>
      </c>
      <c r="C1636">
        <v>71018</v>
      </c>
      <c r="D1636" s="2">
        <v>1356</v>
      </c>
      <c r="E1636" s="1">
        <v>42898</v>
      </c>
      <c r="F1636" t="s">
        <v>10</v>
      </c>
      <c r="G1636" t="str">
        <f>"201706072951"</f>
        <v>201706072951</v>
      </c>
      <c r="H1636" t="str">
        <f>"CASE#17-S-02334 HOLLAND  E"</f>
        <v>CASE#17-S-02334 HOLLAND  E</v>
      </c>
      <c r="I1636" s="2">
        <v>339</v>
      </c>
      <c r="J1636" t="str">
        <f>"CASE#17-S-02334 HOLLAND  E"</f>
        <v>CASE#17-S-02334 HOLLAND  E</v>
      </c>
    </row>
    <row r="1637" spans="1:10" x14ac:dyDescent="0.3">
      <c r="A1637" t="str">
        <f>""</f>
        <v/>
      </c>
      <c r="F1637" t="s">
        <v>10</v>
      </c>
      <c r="G1637" t="str">
        <f>"201706072952"</f>
        <v>201706072952</v>
      </c>
      <c r="H1637" t="str">
        <f>"CASE#17-S-02418 REYES-HERNAND"</f>
        <v>CASE#17-S-02418 REYES-HERNAND</v>
      </c>
      <c r="I1637" s="2">
        <v>339</v>
      </c>
      <c r="J1637" t="str">
        <f>"CASE#17-S-02418 REYES-HERNAND"</f>
        <v>CASE#17-S-02418 REYES-HERNAND</v>
      </c>
    </row>
    <row r="1638" spans="1:10" x14ac:dyDescent="0.3">
      <c r="A1638" t="str">
        <f>""</f>
        <v/>
      </c>
      <c r="F1638" t="s">
        <v>10</v>
      </c>
      <c r="G1638" t="str">
        <f>"201706072953"</f>
        <v>201706072953</v>
      </c>
      <c r="H1638" t="str">
        <f>"CASE#17-S-02339 AVILA S"</f>
        <v>CASE#17-S-02339 AVILA S</v>
      </c>
      <c r="I1638" s="2">
        <v>339</v>
      </c>
      <c r="J1638" t="str">
        <f>"CASE#17-S-02339 AVILA S"</f>
        <v>CASE#17-S-02339 AVILA S</v>
      </c>
    </row>
    <row r="1639" spans="1:10" x14ac:dyDescent="0.3">
      <c r="A1639" t="str">
        <f>""</f>
        <v/>
      </c>
      <c r="F1639" t="s">
        <v>10</v>
      </c>
      <c r="G1639" t="str">
        <f>"201706072954"</f>
        <v>201706072954</v>
      </c>
      <c r="H1639" t="str">
        <f>"CASE#17-S-00081 GARCIA J"</f>
        <v>CASE#17-S-00081 GARCIA J</v>
      </c>
      <c r="I1639" s="2">
        <v>339</v>
      </c>
      <c r="J1639" t="str">
        <f>"CASE#17-S-00081 GARCIA J"</f>
        <v>CASE#17-S-00081 GARCIA J</v>
      </c>
    </row>
    <row r="1640" spans="1:10" x14ac:dyDescent="0.3">
      <c r="A1640" t="str">
        <f>"002224"</f>
        <v>002224</v>
      </c>
      <c r="B1640" t="s">
        <v>459</v>
      </c>
      <c r="C1640">
        <v>71295</v>
      </c>
      <c r="D1640" s="2">
        <v>678</v>
      </c>
      <c r="E1640" s="1">
        <v>42912</v>
      </c>
      <c r="F1640" t="s">
        <v>10</v>
      </c>
      <c r="G1640" t="str">
        <f>"201706213237"</f>
        <v>201706213237</v>
      </c>
      <c r="H1640" t="str">
        <f>"CASE#17-J-00084/K. AMPARAN"</f>
        <v>CASE#17-J-00084/K. AMPARAN</v>
      </c>
      <c r="I1640" s="2">
        <v>339</v>
      </c>
      <c r="J1640" t="str">
        <f>"CASE#17-J-00084/K. AMPARAN"</f>
        <v>CASE#17-J-00084/K. AMPARAN</v>
      </c>
    </row>
    <row r="1641" spans="1:10" x14ac:dyDescent="0.3">
      <c r="A1641" t="str">
        <f>""</f>
        <v/>
      </c>
      <c r="F1641" t="s">
        <v>10</v>
      </c>
      <c r="G1641" t="str">
        <f>"201706213238"</f>
        <v>201706213238</v>
      </c>
      <c r="H1641" t="str">
        <f>"CASE#17-S-02418/K. HERNANDEZ"</f>
        <v>CASE#17-S-02418/K. HERNANDEZ</v>
      </c>
      <c r="I1641" s="2">
        <v>339</v>
      </c>
      <c r="J1641" t="str">
        <f>"CASE#17-S-02418/K. HERNANDEZ"</f>
        <v>CASE#17-S-02418/K. HERNANDEZ</v>
      </c>
    </row>
    <row r="1642" spans="1:10" x14ac:dyDescent="0.3">
      <c r="A1642" t="str">
        <f>"002839"</f>
        <v>002839</v>
      </c>
      <c r="B1642" t="s">
        <v>460</v>
      </c>
      <c r="C1642">
        <v>71019</v>
      </c>
      <c r="D1642" s="2">
        <v>150</v>
      </c>
      <c r="E1642" s="1">
        <v>42898</v>
      </c>
      <c r="F1642" t="s">
        <v>10</v>
      </c>
      <c r="G1642" t="s">
        <v>64</v>
      </c>
      <c r="H1642" t="s">
        <v>65</v>
      </c>
      <c r="I1642" s="2" t="str">
        <f>"SERVICE-3/14/2017"</f>
        <v>SERVICE-3/14/2017</v>
      </c>
      <c r="J1642" t="str">
        <f>"995-4110"</f>
        <v>995-4110</v>
      </c>
    </row>
    <row r="1643" spans="1:10" x14ac:dyDescent="0.3">
      <c r="A1643" t="str">
        <f>"003352"</f>
        <v>003352</v>
      </c>
      <c r="B1643" t="s">
        <v>461</v>
      </c>
      <c r="C1643">
        <v>71020</v>
      </c>
      <c r="D1643" s="2">
        <v>75</v>
      </c>
      <c r="E1643" s="1">
        <v>42898</v>
      </c>
      <c r="F1643" t="s">
        <v>10</v>
      </c>
      <c r="G1643" t="str">
        <f>"12370"</f>
        <v>12370</v>
      </c>
      <c r="H1643" t="str">
        <f>"SERVICE-3/14/2017"</f>
        <v>SERVICE-3/14/2017</v>
      </c>
      <c r="I1643" s="2">
        <v>75</v>
      </c>
      <c r="J1643" t="str">
        <f>"SERVICE-3/14/2017"</f>
        <v>SERVICE-3/14/2017</v>
      </c>
    </row>
    <row r="1644" spans="1:10" x14ac:dyDescent="0.3">
      <c r="A1644" t="str">
        <f>"004249"</f>
        <v>004249</v>
      </c>
      <c r="B1644" t="s">
        <v>462</v>
      </c>
      <c r="C1644">
        <v>71021</v>
      </c>
      <c r="D1644" s="2">
        <v>150</v>
      </c>
      <c r="E1644" s="1">
        <v>42898</v>
      </c>
      <c r="F1644" t="s">
        <v>10</v>
      </c>
      <c r="G1644" t="str">
        <f>"12370"</f>
        <v>12370</v>
      </c>
      <c r="H1644" t="str">
        <f>"SERVICE-3/14/2017"</f>
        <v>SERVICE-3/14/2017</v>
      </c>
      <c r="I1644" s="2">
        <v>150</v>
      </c>
      <c r="J1644" t="str">
        <f>"SERVICE-3/14/2017"</f>
        <v>SERVICE-3/14/2017</v>
      </c>
    </row>
    <row r="1645" spans="1:10" x14ac:dyDescent="0.3">
      <c r="A1645" t="str">
        <f>"004087"</f>
        <v>004087</v>
      </c>
      <c r="B1645" t="s">
        <v>463</v>
      </c>
      <c r="C1645">
        <v>71022</v>
      </c>
      <c r="D1645" s="2">
        <v>62</v>
      </c>
      <c r="E1645" s="1">
        <v>42898</v>
      </c>
      <c r="F1645" t="s">
        <v>10</v>
      </c>
      <c r="G1645" t="str">
        <f>"17060106"</f>
        <v>17060106</v>
      </c>
      <c r="H1645" t="str">
        <f>"CNTY CLERK USAGE"</f>
        <v>CNTY CLERK USAGE</v>
      </c>
      <c r="I1645" s="2">
        <v>62</v>
      </c>
      <c r="J1645" t="str">
        <f>"CNTY CLERK USAGE"</f>
        <v>CNTY CLERK USAGE</v>
      </c>
    </row>
    <row r="1646" spans="1:10" x14ac:dyDescent="0.3">
      <c r="A1646" t="str">
        <f>"TAE"</f>
        <v>TAE</v>
      </c>
      <c r="B1646" t="s">
        <v>464</v>
      </c>
      <c r="C1646">
        <v>71296</v>
      </c>
      <c r="D1646" s="2">
        <v>540.88</v>
      </c>
      <c r="E1646" s="1">
        <v>42912</v>
      </c>
      <c r="F1646" t="s">
        <v>10</v>
      </c>
      <c r="G1646" t="str">
        <f>"201706193137"</f>
        <v>201706193137</v>
      </c>
      <c r="H1646" t="str">
        <f>"REPAIRS PCT#3"</f>
        <v>REPAIRS PCT#3</v>
      </c>
      <c r="I1646" s="2">
        <v>540.88</v>
      </c>
      <c r="J1646" t="str">
        <f>"REPAIRS PCT#3"</f>
        <v>REPAIRS PCT#3</v>
      </c>
    </row>
    <row r="1647" spans="1:10" x14ac:dyDescent="0.3">
      <c r="A1647" t="str">
        <f>"TIMW"</f>
        <v>TIMW</v>
      </c>
      <c r="B1647" t="s">
        <v>465</v>
      </c>
      <c r="C1647">
        <v>71023</v>
      </c>
      <c r="D1647" s="2">
        <v>629.79999999999995</v>
      </c>
      <c r="E1647" s="1">
        <v>42898</v>
      </c>
      <c r="F1647" t="s">
        <v>10</v>
      </c>
      <c r="G1647" t="str">
        <f>"010645"</f>
        <v>010645</v>
      </c>
      <c r="H1647" t="str">
        <f>"SALES ORDER 10662 PCT#4"</f>
        <v>SALES ORDER 10662 PCT#4</v>
      </c>
      <c r="I1647" s="2">
        <v>629.79999999999995</v>
      </c>
      <c r="J1647" t="str">
        <f>"SALES ORDER 10662 PCT#4"</f>
        <v>SALES ORDER 10662 PCT#4</v>
      </c>
    </row>
    <row r="1648" spans="1:10" x14ac:dyDescent="0.3">
      <c r="A1648" t="str">
        <f>"TIMW"</f>
        <v>TIMW</v>
      </c>
      <c r="B1648" t="s">
        <v>465</v>
      </c>
      <c r="C1648">
        <v>71297</v>
      </c>
      <c r="D1648" s="2">
        <v>201.67</v>
      </c>
      <c r="E1648" s="1">
        <v>42912</v>
      </c>
      <c r="F1648" t="s">
        <v>10</v>
      </c>
      <c r="G1648" t="str">
        <f>"010661"</f>
        <v>010661</v>
      </c>
      <c r="H1648" t="str">
        <f>"SALES ORDER#10683"</f>
        <v>SALES ORDER#10683</v>
      </c>
      <c r="I1648" s="2">
        <v>37.6</v>
      </c>
      <c r="J1648" t="str">
        <f>"SALES ORDER#10683"</f>
        <v>SALES ORDER#10683</v>
      </c>
    </row>
    <row r="1649" spans="1:10" x14ac:dyDescent="0.3">
      <c r="A1649" t="str">
        <f>""</f>
        <v/>
      </c>
      <c r="F1649" t="s">
        <v>10</v>
      </c>
      <c r="G1649" t="str">
        <f>"10692"</f>
        <v>10692</v>
      </c>
      <c r="H1649" t="str">
        <f>"SALES ORDER#10710"</f>
        <v>SALES ORDER#10710</v>
      </c>
      <c r="I1649" s="2">
        <v>164.07</v>
      </c>
      <c r="J1649" t="str">
        <f>"SALES ORDER#10710"</f>
        <v>SALES ORDER#10710</v>
      </c>
    </row>
    <row r="1650" spans="1:10" x14ac:dyDescent="0.3">
      <c r="A1650" t="str">
        <f>"T6057"</f>
        <v>T6057</v>
      </c>
      <c r="B1650" t="s">
        <v>466</v>
      </c>
      <c r="C1650">
        <v>71298</v>
      </c>
      <c r="D1650" s="2">
        <v>300</v>
      </c>
      <c r="E1650" s="1">
        <v>42912</v>
      </c>
      <c r="F1650" t="s">
        <v>10</v>
      </c>
      <c r="G1650" t="str">
        <f>"201706193150"</f>
        <v>201706193150</v>
      </c>
      <c r="H1650" t="str">
        <f>"CONF#121939/K.BURNS"</f>
        <v>CONF#121939/K.BURNS</v>
      </c>
      <c r="I1650" s="2">
        <v>100</v>
      </c>
      <c r="J1650" t="str">
        <f>"CONF#121939/K.BURNS"</f>
        <v>CONF#121939/K.BURNS</v>
      </c>
    </row>
    <row r="1651" spans="1:10" x14ac:dyDescent="0.3">
      <c r="A1651" t="str">
        <f>""</f>
        <v/>
      </c>
      <c r="F1651" t="s">
        <v>10</v>
      </c>
      <c r="G1651" t="str">
        <f>"201706193151"</f>
        <v>201706193151</v>
      </c>
      <c r="H1651" t="str">
        <f>"CONF#120431-L. SIMMONS"</f>
        <v>CONF#120431-L. SIMMONS</v>
      </c>
      <c r="I1651" s="2">
        <v>100</v>
      </c>
      <c r="J1651" t="str">
        <f>"CONF#120431-L. SIMMONS"</f>
        <v>CONF#120431-L. SIMMONS</v>
      </c>
    </row>
    <row r="1652" spans="1:10" x14ac:dyDescent="0.3">
      <c r="A1652" t="str">
        <f>""</f>
        <v/>
      </c>
      <c r="F1652" t="s">
        <v>10</v>
      </c>
      <c r="G1652" t="str">
        <f>"201706193152"</f>
        <v>201706193152</v>
      </c>
      <c r="H1652" t="str">
        <f>"CONF#121949/P. HALL"</f>
        <v>CONF#121949/P. HALL</v>
      </c>
      <c r="I1652" s="2">
        <v>100</v>
      </c>
      <c r="J1652" t="str">
        <f>"CONF#121949/P. HALL"</f>
        <v>CONF#121949/P. HALL</v>
      </c>
    </row>
    <row r="1653" spans="1:10" x14ac:dyDescent="0.3">
      <c r="A1653" t="str">
        <f>"T8745"</f>
        <v>T8745</v>
      </c>
      <c r="B1653" t="s">
        <v>467</v>
      </c>
      <c r="C1653">
        <v>71024</v>
      </c>
      <c r="D1653" s="2">
        <v>193</v>
      </c>
      <c r="E1653" s="1">
        <v>42898</v>
      </c>
      <c r="F1653" t="s">
        <v>10</v>
      </c>
      <c r="G1653" t="str">
        <f>"1706058"</f>
        <v>1706058</v>
      </c>
      <c r="H1653" t="str">
        <f>"CUST#BASTROP COUNTY COURT"</f>
        <v>CUST#BASTROP COUNTY COURT</v>
      </c>
      <c r="I1653" s="2">
        <v>193</v>
      </c>
      <c r="J1653" t="str">
        <f>"CUST#BASTROP COUNTY COURT"</f>
        <v>CUST#BASTROP COUNTY COURT</v>
      </c>
    </row>
    <row r="1654" spans="1:10" x14ac:dyDescent="0.3">
      <c r="A1654" t="str">
        <f>"T8745"</f>
        <v>T8745</v>
      </c>
      <c r="B1654" t="s">
        <v>467</v>
      </c>
      <c r="C1654">
        <v>71299</v>
      </c>
      <c r="D1654" s="2">
        <v>193</v>
      </c>
      <c r="E1654" s="1">
        <v>42912</v>
      </c>
      <c r="F1654" t="s">
        <v>10</v>
      </c>
      <c r="G1654" t="str">
        <f>"1707058"</f>
        <v>1707058</v>
      </c>
      <c r="H1654" t="str">
        <f>"CUST#BASTROP COUNTY COURT"</f>
        <v>CUST#BASTROP COUNTY COURT</v>
      </c>
      <c r="I1654" s="2">
        <v>193</v>
      </c>
      <c r="J1654" t="str">
        <f>"CUST#BASTROP COUNTY COURT"</f>
        <v>CUST#BASTROP COUNTY COURT</v>
      </c>
    </row>
    <row r="1655" spans="1:10" x14ac:dyDescent="0.3">
      <c r="A1655" t="str">
        <f>"002996"</f>
        <v>002996</v>
      </c>
      <c r="B1655" t="s">
        <v>468</v>
      </c>
      <c r="C1655">
        <v>71025</v>
      </c>
      <c r="D1655" s="2">
        <v>45200</v>
      </c>
      <c r="E1655" s="1">
        <v>42898</v>
      </c>
      <c r="F1655" t="s">
        <v>10</v>
      </c>
      <c r="G1655" t="str">
        <f>"1120"</f>
        <v>1120</v>
      </c>
      <c r="H1655" t="str">
        <f>"CONCRETE SLAB"</f>
        <v>CONCRETE SLAB</v>
      </c>
      <c r="I1655" s="2">
        <v>45200</v>
      </c>
      <c r="J1655" t="str">
        <f>"CONCRETE SLAB"</f>
        <v>CONCRETE SLAB</v>
      </c>
    </row>
    <row r="1656" spans="1:10" x14ac:dyDescent="0.3">
      <c r="A1656" t="str">
        <f>"002996"</f>
        <v>002996</v>
      </c>
      <c r="B1656" t="s">
        <v>468</v>
      </c>
      <c r="C1656">
        <v>71300</v>
      </c>
      <c r="D1656" s="2">
        <v>300</v>
      </c>
      <c r="E1656" s="1">
        <v>42912</v>
      </c>
      <c r="F1656" t="s">
        <v>10</v>
      </c>
      <c r="G1656" t="str">
        <f>"1129"</f>
        <v>1129</v>
      </c>
      <c r="H1656" t="str">
        <f>"Invoice 1129"</f>
        <v>Invoice 1129</v>
      </c>
      <c r="I1656" s="2">
        <v>300</v>
      </c>
      <c r="J1656" t="str">
        <f>"Invoice 1129"</f>
        <v>Invoice 1129</v>
      </c>
    </row>
    <row r="1657" spans="1:10" x14ac:dyDescent="0.3">
      <c r="A1657" t="str">
        <f>"002587"</f>
        <v>002587</v>
      </c>
      <c r="B1657" t="s">
        <v>469</v>
      </c>
      <c r="C1657">
        <v>71026</v>
      </c>
      <c r="D1657" s="2">
        <v>75</v>
      </c>
      <c r="E1657" s="1">
        <v>42898</v>
      </c>
      <c r="F1657" t="s">
        <v>10</v>
      </c>
      <c r="G1657" t="s">
        <v>74</v>
      </c>
      <c r="H1657" t="s">
        <v>77</v>
      </c>
      <c r="I1657" s="2" t="str">
        <f>"SERVICE-3/24/2017"</f>
        <v>SERVICE-3/24/2017</v>
      </c>
      <c r="J1657" t="str">
        <f>"995-4110"</f>
        <v>995-4110</v>
      </c>
    </row>
    <row r="1658" spans="1:10" x14ac:dyDescent="0.3">
      <c r="A1658" t="str">
        <f>"002527"</f>
        <v>002527</v>
      </c>
      <c r="B1658" t="s">
        <v>470</v>
      </c>
      <c r="C1658">
        <v>71027</v>
      </c>
      <c r="D1658" s="2">
        <v>327.3</v>
      </c>
      <c r="E1658" s="1">
        <v>42898</v>
      </c>
      <c r="F1658" t="s">
        <v>10</v>
      </c>
      <c r="G1658" t="str">
        <f>"277535"</f>
        <v>277535</v>
      </c>
      <c r="H1658" t="str">
        <f>"AIR FILTERS INV277535"</f>
        <v>AIR FILTERS INV277535</v>
      </c>
      <c r="I1658" s="2">
        <v>327.3</v>
      </c>
      <c r="J1658" t="str">
        <f>"AIR FILTERS INV277535"</f>
        <v>AIR FILTERS INV277535</v>
      </c>
    </row>
    <row r="1659" spans="1:10" x14ac:dyDescent="0.3">
      <c r="A1659" t="str">
        <f>"T14371"</f>
        <v>T14371</v>
      </c>
      <c r="B1659" t="s">
        <v>471</v>
      </c>
      <c r="C1659">
        <v>71028</v>
      </c>
      <c r="D1659" s="2">
        <v>590.91999999999996</v>
      </c>
      <c r="E1659" s="1">
        <v>42898</v>
      </c>
      <c r="F1659" t="s">
        <v>10</v>
      </c>
      <c r="G1659" t="str">
        <f>"201706072867"</f>
        <v>201706072867</v>
      </c>
      <c r="H1659" t="str">
        <f>"INDIGENT HEALTH"</f>
        <v>INDIGENT HEALTH</v>
      </c>
      <c r="I1659" s="2">
        <v>590.91999999999996</v>
      </c>
      <c r="J1659" t="str">
        <f>"INDIGENT HEALTH"</f>
        <v>INDIGENT HEALTH</v>
      </c>
    </row>
    <row r="1660" spans="1:10" x14ac:dyDescent="0.3">
      <c r="A1660" t="str">
        <f>""</f>
        <v/>
      </c>
      <c r="G1660" t="str">
        <f>""</f>
        <v/>
      </c>
      <c r="H1660" t="str">
        <f>""</f>
        <v/>
      </c>
      <c r="J1660" t="str">
        <f>"INDIGENT HEALTH"</f>
        <v>INDIGENT HEALTH</v>
      </c>
    </row>
    <row r="1661" spans="1:10" x14ac:dyDescent="0.3">
      <c r="A1661" t="str">
        <f>"T14371"</f>
        <v>T14371</v>
      </c>
      <c r="B1661" t="s">
        <v>471</v>
      </c>
      <c r="C1661">
        <v>71301</v>
      </c>
      <c r="D1661" s="2">
        <v>387.68</v>
      </c>
      <c r="E1661" s="1">
        <v>42912</v>
      </c>
      <c r="F1661" t="s">
        <v>10</v>
      </c>
      <c r="G1661" t="str">
        <f>"201706213231"</f>
        <v>201706213231</v>
      </c>
      <c r="H1661" t="str">
        <f>"INDIGENT HEALTH"</f>
        <v>INDIGENT HEALTH</v>
      </c>
      <c r="I1661" s="2">
        <v>387.68</v>
      </c>
      <c r="J1661" t="str">
        <f>"INDIGENT HEALTH"</f>
        <v>INDIGENT HEALTH</v>
      </c>
    </row>
    <row r="1662" spans="1:10" x14ac:dyDescent="0.3">
      <c r="A1662" t="str">
        <f>"TXAGG"</f>
        <v>TXAGG</v>
      </c>
      <c r="B1662" t="s">
        <v>472</v>
      </c>
      <c r="C1662">
        <v>71029</v>
      </c>
      <c r="D1662" s="2">
        <v>2097.7199999999998</v>
      </c>
      <c r="E1662" s="1">
        <v>42898</v>
      </c>
      <c r="F1662" t="s">
        <v>10</v>
      </c>
      <c r="G1662" t="str">
        <f>"88842"</f>
        <v>88842</v>
      </c>
      <c r="H1662" t="str">
        <f>"CONCRETE SAND"</f>
        <v>CONCRETE SAND</v>
      </c>
      <c r="I1662" s="2">
        <v>68.77</v>
      </c>
      <c r="J1662" t="str">
        <f>"CONCRETE SAND"</f>
        <v>CONCRETE SAND</v>
      </c>
    </row>
    <row r="1663" spans="1:10" x14ac:dyDescent="0.3">
      <c r="A1663" t="str">
        <f>""</f>
        <v/>
      </c>
      <c r="F1663" t="s">
        <v>10</v>
      </c>
      <c r="G1663" t="str">
        <f>"88842-1"</f>
        <v>88842-1</v>
      </c>
      <c r="H1663" t="str">
        <f>"RIP RAP"</f>
        <v>RIP RAP</v>
      </c>
      <c r="I1663" s="2">
        <v>740.25</v>
      </c>
      <c r="J1663" t="str">
        <f>"RIP RAP"</f>
        <v>RIP RAP</v>
      </c>
    </row>
    <row r="1664" spans="1:10" x14ac:dyDescent="0.3">
      <c r="A1664" t="str">
        <f>""</f>
        <v/>
      </c>
      <c r="F1664" t="s">
        <v>10</v>
      </c>
      <c r="G1664" t="str">
        <f>"88867"</f>
        <v>88867</v>
      </c>
      <c r="H1664" t="str">
        <f>"RIP RAP"</f>
        <v>RIP RAP</v>
      </c>
      <c r="I1664" s="2">
        <v>506.1</v>
      </c>
      <c r="J1664" t="str">
        <f>"RIP RAP"</f>
        <v>RIP RAP</v>
      </c>
    </row>
    <row r="1665" spans="1:10" x14ac:dyDescent="0.3">
      <c r="A1665" t="str">
        <f>""</f>
        <v/>
      </c>
      <c r="F1665" t="s">
        <v>10</v>
      </c>
      <c r="G1665" t="str">
        <f>"88867-1"</f>
        <v>88867-1</v>
      </c>
      <c r="H1665" t="str">
        <f>"RIP RAP"</f>
        <v>RIP RAP</v>
      </c>
      <c r="I1665" s="2">
        <v>782.6</v>
      </c>
      <c r="J1665" t="str">
        <f>"RIP RAP"</f>
        <v>RIP RAP</v>
      </c>
    </row>
    <row r="1666" spans="1:10" x14ac:dyDescent="0.3">
      <c r="A1666" t="str">
        <f>"TXAGG"</f>
        <v>TXAGG</v>
      </c>
      <c r="B1666" t="s">
        <v>472</v>
      </c>
      <c r="C1666">
        <v>71302</v>
      </c>
      <c r="D1666" s="2">
        <v>551.95000000000005</v>
      </c>
      <c r="E1666" s="1">
        <v>42912</v>
      </c>
      <c r="F1666" t="s">
        <v>10</v>
      </c>
      <c r="G1666" t="str">
        <f>"89262"</f>
        <v>89262</v>
      </c>
      <c r="H1666" t="str">
        <f>"TICKET#1041425/RIP RAP/PCT#1"</f>
        <v>TICKET#1041425/RIP RAP/PCT#1</v>
      </c>
      <c r="I1666" s="2">
        <v>265.3</v>
      </c>
      <c r="J1666" t="str">
        <f>"TICKET#1041425/RIP RAP/PCT#1"</f>
        <v>TICKET#1041425/RIP RAP/PCT#1</v>
      </c>
    </row>
    <row r="1667" spans="1:10" x14ac:dyDescent="0.3">
      <c r="A1667" t="str">
        <f>""</f>
        <v/>
      </c>
      <c r="F1667" t="s">
        <v>10</v>
      </c>
      <c r="G1667" t="str">
        <f>"89310"</f>
        <v>89310</v>
      </c>
      <c r="H1667" t="str">
        <f>"TICKET#1041810/RIP RAP/PCT#1"</f>
        <v>TICKET#1041810/RIP RAP/PCT#1</v>
      </c>
      <c r="I1667" s="2">
        <v>286.64999999999998</v>
      </c>
      <c r="J1667" t="str">
        <f>"TICKET#1041810/RIP RAP/PCT#1"</f>
        <v>TICKET#1041810/RIP RAP/PCT#1</v>
      </c>
    </row>
    <row r="1668" spans="1:10" x14ac:dyDescent="0.3">
      <c r="A1668" t="str">
        <f>"T10216"</f>
        <v>T10216</v>
      </c>
      <c r="B1668" t="s">
        <v>473</v>
      </c>
      <c r="C1668">
        <v>71303</v>
      </c>
      <c r="D1668" s="2">
        <v>200</v>
      </c>
      <c r="E1668" s="1">
        <v>42912</v>
      </c>
      <c r="F1668" t="s">
        <v>10</v>
      </c>
      <c r="G1668" t="str">
        <f>"170620BASIC"</f>
        <v>170620BASIC</v>
      </c>
      <c r="H1668" t="str">
        <f>"Inv# 170620BASIC"</f>
        <v>Inv# 170620BASIC</v>
      </c>
      <c r="I1668" s="2">
        <v>200</v>
      </c>
    </row>
    <row r="1669" spans="1:10" x14ac:dyDescent="0.3">
      <c r="A1669" t="str">
        <f>"001468"</f>
        <v>001468</v>
      </c>
      <c r="B1669" t="s">
        <v>474</v>
      </c>
      <c r="C1669">
        <v>71031</v>
      </c>
      <c r="D1669" s="2">
        <v>50</v>
      </c>
      <c r="E1669" s="1">
        <v>42898</v>
      </c>
      <c r="F1669" t="s">
        <v>10</v>
      </c>
      <c r="G1669" t="str">
        <f>"43189"</f>
        <v>43189</v>
      </c>
      <c r="H1669" t="str">
        <f>"SURETY BOND-LEON SCAIFE"</f>
        <v>SURETY BOND-LEON SCAIFE</v>
      </c>
      <c r="I1669" s="2">
        <v>50</v>
      </c>
      <c r="J1669" t="str">
        <f>"SURETY BOND-LEON SCAIFE"</f>
        <v>SURETY BOND-LEON SCAIFE</v>
      </c>
    </row>
    <row r="1670" spans="1:10" x14ac:dyDescent="0.3">
      <c r="A1670" t="str">
        <f>"TAC1"</f>
        <v>TAC1</v>
      </c>
      <c r="B1670" t="s">
        <v>475</v>
      </c>
      <c r="C1670">
        <v>71030</v>
      </c>
      <c r="D1670" s="2">
        <v>76074.41</v>
      </c>
      <c r="E1670" s="1">
        <v>42898</v>
      </c>
      <c r="F1670" t="s">
        <v>10</v>
      </c>
      <c r="G1670" t="str">
        <f>"16857-WC3"</f>
        <v>16857-WC3</v>
      </c>
      <c r="H1670" t="str">
        <f>"2017 3RD QTR WRKRS COMP"</f>
        <v>2017 3RD QTR WRKRS COMP</v>
      </c>
      <c r="I1670" s="2">
        <v>52287.06</v>
      </c>
      <c r="J1670" t="str">
        <f t="shared" ref="J1670:J1712" si="12">"2017 3RD QTR WRKRS COMP"</f>
        <v>2017 3RD QTR WRKRS COMP</v>
      </c>
    </row>
    <row r="1671" spans="1:10" x14ac:dyDescent="0.3">
      <c r="A1671" t="str">
        <f>""</f>
        <v/>
      </c>
      <c r="G1671" t="str">
        <f>""</f>
        <v/>
      </c>
      <c r="H1671" t="str">
        <f>""</f>
        <v/>
      </c>
      <c r="J1671" t="str">
        <f t="shared" si="12"/>
        <v>2017 3RD QTR WRKRS COMP</v>
      </c>
    </row>
    <row r="1672" spans="1:10" x14ac:dyDescent="0.3">
      <c r="A1672" t="str">
        <f>""</f>
        <v/>
      </c>
      <c r="G1672" t="str">
        <f>""</f>
        <v/>
      </c>
      <c r="H1672" t="str">
        <f>""</f>
        <v/>
      </c>
      <c r="J1672" t="str">
        <f t="shared" si="12"/>
        <v>2017 3RD QTR WRKRS COMP</v>
      </c>
    </row>
    <row r="1673" spans="1:10" x14ac:dyDescent="0.3">
      <c r="A1673" t="str">
        <f>""</f>
        <v/>
      </c>
      <c r="G1673" t="str">
        <f>""</f>
        <v/>
      </c>
      <c r="H1673" t="str">
        <f>""</f>
        <v/>
      </c>
      <c r="J1673" t="str">
        <f t="shared" si="12"/>
        <v>2017 3RD QTR WRKRS COMP</v>
      </c>
    </row>
    <row r="1674" spans="1:10" x14ac:dyDescent="0.3">
      <c r="A1674" t="str">
        <f>""</f>
        <v/>
      </c>
      <c r="G1674" t="str">
        <f>""</f>
        <v/>
      </c>
      <c r="H1674" t="str">
        <f>""</f>
        <v/>
      </c>
      <c r="J1674" t="str">
        <f t="shared" si="12"/>
        <v>2017 3RD QTR WRKRS COMP</v>
      </c>
    </row>
    <row r="1675" spans="1:10" x14ac:dyDescent="0.3">
      <c r="A1675" t="str">
        <f>""</f>
        <v/>
      </c>
      <c r="G1675" t="str">
        <f>""</f>
        <v/>
      </c>
      <c r="H1675" t="str">
        <f>""</f>
        <v/>
      </c>
      <c r="J1675" t="str">
        <f t="shared" si="12"/>
        <v>2017 3RD QTR WRKRS COMP</v>
      </c>
    </row>
    <row r="1676" spans="1:10" x14ac:dyDescent="0.3">
      <c r="A1676" t="str">
        <f>""</f>
        <v/>
      </c>
      <c r="G1676" t="str">
        <f>""</f>
        <v/>
      </c>
      <c r="H1676" t="str">
        <f>""</f>
        <v/>
      </c>
      <c r="J1676" t="str">
        <f t="shared" si="12"/>
        <v>2017 3RD QTR WRKRS COMP</v>
      </c>
    </row>
    <row r="1677" spans="1:10" x14ac:dyDescent="0.3">
      <c r="A1677" t="str">
        <f>""</f>
        <v/>
      </c>
      <c r="G1677" t="str">
        <f>""</f>
        <v/>
      </c>
      <c r="H1677" t="str">
        <f>""</f>
        <v/>
      </c>
      <c r="J1677" t="str">
        <f t="shared" si="12"/>
        <v>2017 3RD QTR WRKRS COMP</v>
      </c>
    </row>
    <row r="1678" spans="1:10" x14ac:dyDescent="0.3">
      <c r="A1678" t="str">
        <f>""</f>
        <v/>
      </c>
      <c r="G1678" t="str">
        <f>""</f>
        <v/>
      </c>
      <c r="H1678" t="str">
        <f>""</f>
        <v/>
      </c>
      <c r="J1678" t="str">
        <f t="shared" si="12"/>
        <v>2017 3RD QTR WRKRS COMP</v>
      </c>
    </row>
    <row r="1679" spans="1:10" x14ac:dyDescent="0.3">
      <c r="A1679" t="str">
        <f>""</f>
        <v/>
      </c>
      <c r="G1679" t="str">
        <f>""</f>
        <v/>
      </c>
      <c r="H1679" t="str">
        <f>""</f>
        <v/>
      </c>
      <c r="J1679" t="str">
        <f t="shared" si="12"/>
        <v>2017 3RD QTR WRKRS COMP</v>
      </c>
    </row>
    <row r="1680" spans="1:10" x14ac:dyDescent="0.3">
      <c r="A1680" t="str">
        <f>""</f>
        <v/>
      </c>
      <c r="G1680" t="str">
        <f>""</f>
        <v/>
      </c>
      <c r="H1680" t="str">
        <f>""</f>
        <v/>
      </c>
      <c r="J1680" t="str">
        <f t="shared" si="12"/>
        <v>2017 3RD QTR WRKRS COMP</v>
      </c>
    </row>
    <row r="1681" spans="1:10" x14ac:dyDescent="0.3">
      <c r="A1681" t="str">
        <f>""</f>
        <v/>
      </c>
      <c r="G1681" t="str">
        <f>""</f>
        <v/>
      </c>
      <c r="H1681" t="str">
        <f>""</f>
        <v/>
      </c>
      <c r="J1681" t="str">
        <f t="shared" si="12"/>
        <v>2017 3RD QTR WRKRS COMP</v>
      </c>
    </row>
    <row r="1682" spans="1:10" x14ac:dyDescent="0.3">
      <c r="A1682" t="str">
        <f>""</f>
        <v/>
      </c>
      <c r="G1682" t="str">
        <f>""</f>
        <v/>
      </c>
      <c r="H1682" t="str">
        <f>""</f>
        <v/>
      </c>
      <c r="J1682" t="str">
        <f t="shared" si="12"/>
        <v>2017 3RD QTR WRKRS COMP</v>
      </c>
    </row>
    <row r="1683" spans="1:10" x14ac:dyDescent="0.3">
      <c r="A1683" t="str">
        <f>""</f>
        <v/>
      </c>
      <c r="G1683" t="str">
        <f>""</f>
        <v/>
      </c>
      <c r="H1683" t="str">
        <f>""</f>
        <v/>
      </c>
      <c r="J1683" t="str">
        <f t="shared" si="12"/>
        <v>2017 3RD QTR WRKRS COMP</v>
      </c>
    </row>
    <row r="1684" spans="1:10" x14ac:dyDescent="0.3">
      <c r="A1684" t="str">
        <f>""</f>
        <v/>
      </c>
      <c r="G1684" t="str">
        <f>""</f>
        <v/>
      </c>
      <c r="H1684" t="str">
        <f>""</f>
        <v/>
      </c>
      <c r="J1684" t="str">
        <f t="shared" si="12"/>
        <v>2017 3RD QTR WRKRS COMP</v>
      </c>
    </row>
    <row r="1685" spans="1:10" x14ac:dyDescent="0.3">
      <c r="A1685" t="str">
        <f>""</f>
        <v/>
      </c>
      <c r="G1685" t="str">
        <f>""</f>
        <v/>
      </c>
      <c r="H1685" t="str">
        <f>""</f>
        <v/>
      </c>
      <c r="J1685" t="str">
        <f t="shared" si="12"/>
        <v>2017 3RD QTR WRKRS COMP</v>
      </c>
    </row>
    <row r="1686" spans="1:10" x14ac:dyDescent="0.3">
      <c r="A1686" t="str">
        <f>""</f>
        <v/>
      </c>
      <c r="G1686" t="str">
        <f>""</f>
        <v/>
      </c>
      <c r="H1686" t="str">
        <f>""</f>
        <v/>
      </c>
      <c r="J1686" t="str">
        <f t="shared" si="12"/>
        <v>2017 3RD QTR WRKRS COMP</v>
      </c>
    </row>
    <row r="1687" spans="1:10" x14ac:dyDescent="0.3">
      <c r="A1687" t="str">
        <f>""</f>
        <v/>
      </c>
      <c r="G1687" t="str">
        <f>""</f>
        <v/>
      </c>
      <c r="H1687" t="str">
        <f>""</f>
        <v/>
      </c>
      <c r="J1687" t="str">
        <f t="shared" si="12"/>
        <v>2017 3RD QTR WRKRS COMP</v>
      </c>
    </row>
    <row r="1688" spans="1:10" x14ac:dyDescent="0.3">
      <c r="A1688" t="str">
        <f>""</f>
        <v/>
      </c>
      <c r="G1688" t="str">
        <f>""</f>
        <v/>
      </c>
      <c r="H1688" t="str">
        <f>""</f>
        <v/>
      </c>
      <c r="J1688" t="str">
        <f t="shared" si="12"/>
        <v>2017 3RD QTR WRKRS COMP</v>
      </c>
    </row>
    <row r="1689" spans="1:10" x14ac:dyDescent="0.3">
      <c r="A1689" t="str">
        <f>""</f>
        <v/>
      </c>
      <c r="G1689" t="str">
        <f>""</f>
        <v/>
      </c>
      <c r="H1689" t="str">
        <f>""</f>
        <v/>
      </c>
      <c r="J1689" t="str">
        <f t="shared" si="12"/>
        <v>2017 3RD QTR WRKRS COMP</v>
      </c>
    </row>
    <row r="1690" spans="1:10" x14ac:dyDescent="0.3">
      <c r="A1690" t="str">
        <f>""</f>
        <v/>
      </c>
      <c r="G1690" t="str">
        <f>""</f>
        <v/>
      </c>
      <c r="H1690" t="str">
        <f>""</f>
        <v/>
      </c>
      <c r="J1690" t="str">
        <f t="shared" si="12"/>
        <v>2017 3RD QTR WRKRS COMP</v>
      </c>
    </row>
    <row r="1691" spans="1:10" x14ac:dyDescent="0.3">
      <c r="A1691" t="str">
        <f>""</f>
        <v/>
      </c>
      <c r="G1691" t="str">
        <f>""</f>
        <v/>
      </c>
      <c r="H1691" t="str">
        <f>""</f>
        <v/>
      </c>
      <c r="J1691" t="str">
        <f t="shared" si="12"/>
        <v>2017 3RD QTR WRKRS COMP</v>
      </c>
    </row>
    <row r="1692" spans="1:10" x14ac:dyDescent="0.3">
      <c r="A1692" t="str">
        <f>""</f>
        <v/>
      </c>
      <c r="G1692" t="str">
        <f>""</f>
        <v/>
      </c>
      <c r="H1692" t="str">
        <f>""</f>
        <v/>
      </c>
      <c r="J1692" t="str">
        <f t="shared" si="12"/>
        <v>2017 3RD QTR WRKRS COMP</v>
      </c>
    </row>
    <row r="1693" spans="1:10" x14ac:dyDescent="0.3">
      <c r="A1693" t="str">
        <f>""</f>
        <v/>
      </c>
      <c r="G1693" t="str">
        <f>""</f>
        <v/>
      </c>
      <c r="H1693" t="str">
        <f>""</f>
        <v/>
      </c>
      <c r="J1693" t="str">
        <f t="shared" si="12"/>
        <v>2017 3RD QTR WRKRS COMP</v>
      </c>
    </row>
    <row r="1694" spans="1:10" x14ac:dyDescent="0.3">
      <c r="A1694" t="str">
        <f>""</f>
        <v/>
      </c>
      <c r="G1694" t="str">
        <f>""</f>
        <v/>
      </c>
      <c r="H1694" t="str">
        <f>""</f>
        <v/>
      </c>
      <c r="J1694" t="str">
        <f t="shared" si="12"/>
        <v>2017 3RD QTR WRKRS COMP</v>
      </c>
    </row>
    <row r="1695" spans="1:10" x14ac:dyDescent="0.3">
      <c r="A1695" t="str">
        <f>""</f>
        <v/>
      </c>
      <c r="G1695" t="str">
        <f>""</f>
        <v/>
      </c>
      <c r="H1695" t="str">
        <f>""</f>
        <v/>
      </c>
      <c r="J1695" t="str">
        <f t="shared" si="12"/>
        <v>2017 3RD QTR WRKRS COMP</v>
      </c>
    </row>
    <row r="1696" spans="1:10" x14ac:dyDescent="0.3">
      <c r="A1696" t="str">
        <f>""</f>
        <v/>
      </c>
      <c r="G1696" t="str">
        <f>""</f>
        <v/>
      </c>
      <c r="H1696" t="str">
        <f>""</f>
        <v/>
      </c>
      <c r="J1696" t="str">
        <f t="shared" si="12"/>
        <v>2017 3RD QTR WRKRS COMP</v>
      </c>
    </row>
    <row r="1697" spans="1:10" x14ac:dyDescent="0.3">
      <c r="A1697" t="str">
        <f>""</f>
        <v/>
      </c>
      <c r="G1697" t="str">
        <f>""</f>
        <v/>
      </c>
      <c r="H1697" t="str">
        <f>""</f>
        <v/>
      </c>
      <c r="J1697" t="str">
        <f t="shared" si="12"/>
        <v>2017 3RD QTR WRKRS COMP</v>
      </c>
    </row>
    <row r="1698" spans="1:10" x14ac:dyDescent="0.3">
      <c r="A1698" t="str">
        <f>""</f>
        <v/>
      </c>
      <c r="G1698" t="str">
        <f>""</f>
        <v/>
      </c>
      <c r="H1698" t="str">
        <f>""</f>
        <v/>
      </c>
      <c r="J1698" t="str">
        <f t="shared" si="12"/>
        <v>2017 3RD QTR WRKRS COMP</v>
      </c>
    </row>
    <row r="1699" spans="1:10" x14ac:dyDescent="0.3">
      <c r="A1699" t="str">
        <f>""</f>
        <v/>
      </c>
      <c r="G1699" t="str">
        <f>""</f>
        <v/>
      </c>
      <c r="H1699" t="str">
        <f>""</f>
        <v/>
      </c>
      <c r="J1699" t="str">
        <f t="shared" si="12"/>
        <v>2017 3RD QTR WRKRS COMP</v>
      </c>
    </row>
    <row r="1700" spans="1:10" x14ac:dyDescent="0.3">
      <c r="A1700" t="str">
        <f>""</f>
        <v/>
      </c>
      <c r="G1700" t="str">
        <f>""</f>
        <v/>
      </c>
      <c r="H1700" t="str">
        <f>""</f>
        <v/>
      </c>
      <c r="J1700" t="str">
        <f t="shared" si="12"/>
        <v>2017 3RD QTR WRKRS COMP</v>
      </c>
    </row>
    <row r="1701" spans="1:10" x14ac:dyDescent="0.3">
      <c r="A1701" t="str">
        <f>""</f>
        <v/>
      </c>
      <c r="G1701" t="str">
        <f>""</f>
        <v/>
      </c>
      <c r="H1701" t="str">
        <f>""</f>
        <v/>
      </c>
      <c r="J1701" t="str">
        <f t="shared" si="12"/>
        <v>2017 3RD QTR WRKRS COMP</v>
      </c>
    </row>
    <row r="1702" spans="1:10" x14ac:dyDescent="0.3">
      <c r="A1702" t="str">
        <f>""</f>
        <v/>
      </c>
      <c r="G1702" t="str">
        <f>""</f>
        <v/>
      </c>
      <c r="H1702" t="str">
        <f>""</f>
        <v/>
      </c>
      <c r="J1702" t="str">
        <f t="shared" si="12"/>
        <v>2017 3RD QTR WRKRS COMP</v>
      </c>
    </row>
    <row r="1703" spans="1:10" x14ac:dyDescent="0.3">
      <c r="A1703" t="str">
        <f>""</f>
        <v/>
      </c>
      <c r="G1703" t="str">
        <f>""</f>
        <v/>
      </c>
      <c r="H1703" t="str">
        <f>""</f>
        <v/>
      </c>
      <c r="J1703" t="str">
        <f t="shared" si="12"/>
        <v>2017 3RD QTR WRKRS COMP</v>
      </c>
    </row>
    <row r="1704" spans="1:10" x14ac:dyDescent="0.3">
      <c r="A1704" t="str">
        <f>""</f>
        <v/>
      </c>
      <c r="G1704" t="str">
        <f>""</f>
        <v/>
      </c>
      <c r="H1704" t="str">
        <f>""</f>
        <v/>
      </c>
      <c r="J1704" t="str">
        <f t="shared" si="12"/>
        <v>2017 3RD QTR WRKRS COMP</v>
      </c>
    </row>
    <row r="1705" spans="1:10" x14ac:dyDescent="0.3">
      <c r="A1705" t="str">
        <f>""</f>
        <v/>
      </c>
      <c r="G1705" t="str">
        <f>""</f>
        <v/>
      </c>
      <c r="H1705" t="str">
        <f>""</f>
        <v/>
      </c>
      <c r="J1705" t="str">
        <f t="shared" si="12"/>
        <v>2017 3RD QTR WRKRS COMP</v>
      </c>
    </row>
    <row r="1706" spans="1:10" x14ac:dyDescent="0.3">
      <c r="A1706" t="str">
        <f>""</f>
        <v/>
      </c>
      <c r="G1706" t="str">
        <f>""</f>
        <v/>
      </c>
      <c r="H1706" t="str">
        <f>""</f>
        <v/>
      </c>
      <c r="J1706" t="str">
        <f t="shared" si="12"/>
        <v>2017 3RD QTR WRKRS COMP</v>
      </c>
    </row>
    <row r="1707" spans="1:10" x14ac:dyDescent="0.3">
      <c r="A1707" t="str">
        <f>""</f>
        <v/>
      </c>
      <c r="G1707" t="str">
        <f>""</f>
        <v/>
      </c>
      <c r="H1707" t="str">
        <f>""</f>
        <v/>
      </c>
      <c r="J1707" t="str">
        <f t="shared" si="12"/>
        <v>2017 3RD QTR WRKRS COMP</v>
      </c>
    </row>
    <row r="1708" spans="1:10" x14ac:dyDescent="0.3">
      <c r="A1708" t="str">
        <f>""</f>
        <v/>
      </c>
      <c r="F1708" t="s">
        <v>10</v>
      </c>
      <c r="G1708" t="str">
        <f>"16857-WC3-1"</f>
        <v>16857-WC3-1</v>
      </c>
      <c r="H1708" t="str">
        <f>"2017 3RD QTR WRKRS COMP"</f>
        <v>2017 3RD QTR WRKRS COMP</v>
      </c>
      <c r="I1708" s="2">
        <v>93.46</v>
      </c>
      <c r="J1708" t="str">
        <f t="shared" si="12"/>
        <v>2017 3RD QTR WRKRS COMP</v>
      </c>
    </row>
    <row r="1709" spans="1:10" x14ac:dyDescent="0.3">
      <c r="A1709" t="str">
        <f>""</f>
        <v/>
      </c>
      <c r="F1709" t="s">
        <v>10</v>
      </c>
      <c r="G1709" t="str">
        <f>"16857-WC3-2"</f>
        <v>16857-WC3-2</v>
      </c>
      <c r="H1709" t="str">
        <f>"2017 3RD QTR WRKRS COMP"</f>
        <v>2017 3RD QTR WRKRS COMP</v>
      </c>
      <c r="I1709" s="2">
        <v>4572.91</v>
      </c>
      <c r="J1709" t="str">
        <f t="shared" si="12"/>
        <v>2017 3RD QTR WRKRS COMP</v>
      </c>
    </row>
    <row r="1710" spans="1:10" x14ac:dyDescent="0.3">
      <c r="A1710" t="str">
        <f>""</f>
        <v/>
      </c>
      <c r="F1710" t="s">
        <v>10</v>
      </c>
      <c r="G1710" t="str">
        <f>"16857-WC3-3"</f>
        <v>16857-WC3-3</v>
      </c>
      <c r="H1710" t="str">
        <f>"2017 3RD QTR WRKRS COMP"</f>
        <v>2017 3RD QTR WRKRS COMP</v>
      </c>
      <c r="I1710" s="2">
        <v>5994.55</v>
      </c>
      <c r="J1710" t="str">
        <f t="shared" si="12"/>
        <v>2017 3RD QTR WRKRS COMP</v>
      </c>
    </row>
    <row r="1711" spans="1:10" x14ac:dyDescent="0.3">
      <c r="A1711" t="str">
        <f>""</f>
        <v/>
      </c>
      <c r="F1711" t="s">
        <v>10</v>
      </c>
      <c r="G1711" t="str">
        <f>"16857-WC3-4"</f>
        <v>16857-WC3-4</v>
      </c>
      <c r="H1711" t="str">
        <f>"2017 3RD QTR WRKRS COMP"</f>
        <v>2017 3RD QTR WRKRS COMP</v>
      </c>
      <c r="I1711" s="2">
        <v>5568.09</v>
      </c>
      <c r="J1711" t="str">
        <f t="shared" si="12"/>
        <v>2017 3RD QTR WRKRS COMP</v>
      </c>
    </row>
    <row r="1712" spans="1:10" x14ac:dyDescent="0.3">
      <c r="A1712" t="str">
        <f>""</f>
        <v/>
      </c>
      <c r="F1712" t="s">
        <v>10</v>
      </c>
      <c r="G1712" t="str">
        <f>"16857-WC3-5"</f>
        <v>16857-WC3-5</v>
      </c>
      <c r="H1712" t="str">
        <f>"2017 3RD QTR WRKRS COMP"</f>
        <v>2017 3RD QTR WRKRS COMP</v>
      </c>
      <c r="I1712" s="2">
        <v>7558.34</v>
      </c>
      <c r="J1712" t="str">
        <f t="shared" si="12"/>
        <v>2017 3RD QTR WRKRS COMP</v>
      </c>
    </row>
    <row r="1713" spans="1:10" x14ac:dyDescent="0.3">
      <c r="A1713" t="str">
        <f>"TACRMP"</f>
        <v>TACRMP</v>
      </c>
      <c r="B1713" t="s">
        <v>475</v>
      </c>
      <c r="C1713">
        <v>71032</v>
      </c>
      <c r="D1713" s="2">
        <v>250</v>
      </c>
      <c r="E1713" s="1">
        <v>42898</v>
      </c>
      <c r="F1713" t="s">
        <v>10</v>
      </c>
      <c r="G1713" t="str">
        <f>"201706072949"</f>
        <v>201706072949</v>
      </c>
      <c r="H1713" t="str">
        <f>"CONF CO INV ACADEMY/ID#203296"</f>
        <v>CONF CO INV ACADEMY/ID#203296</v>
      </c>
      <c r="I1713" s="2">
        <v>250</v>
      </c>
      <c r="J1713" t="str">
        <f>"CONF CO INV ACADEMY/ID#203296"</f>
        <v>CONF CO INV ACADEMY/ID#203296</v>
      </c>
    </row>
    <row r="1714" spans="1:10" x14ac:dyDescent="0.3">
      <c r="A1714" t="str">
        <f>"T1562"</f>
        <v>T1562</v>
      </c>
      <c r="B1714" t="s">
        <v>476</v>
      </c>
      <c r="C1714">
        <v>71304</v>
      </c>
      <c r="D1714" s="2">
        <v>150</v>
      </c>
      <c r="E1714" s="1">
        <v>42912</v>
      </c>
      <c r="F1714" t="s">
        <v>10</v>
      </c>
      <c r="G1714" t="str">
        <f>"201706133054"</f>
        <v>201706133054</v>
      </c>
      <c r="H1714" t="str">
        <f>"MEMBERSHIP-D.SHIROCKY"</f>
        <v>MEMBERSHIP-D.SHIROCKY</v>
      </c>
      <c r="I1714" s="2">
        <v>75</v>
      </c>
      <c r="J1714" t="str">
        <f>"MEMBERSHIP-D.SHIROCKY"</f>
        <v>MEMBERSHIP-D.SHIROCKY</v>
      </c>
    </row>
    <row r="1715" spans="1:10" x14ac:dyDescent="0.3">
      <c r="A1715" t="str">
        <f>""</f>
        <v/>
      </c>
      <c r="F1715" t="s">
        <v>10</v>
      </c>
      <c r="G1715" t="str">
        <f>"201706133055"</f>
        <v>201706133055</v>
      </c>
      <c r="H1715" t="str">
        <f>"MEMBERSHIP-A. PARTIDA"</f>
        <v>MEMBERSHIP-A. PARTIDA</v>
      </c>
      <c r="I1715" s="2">
        <v>75</v>
      </c>
      <c r="J1715" t="str">
        <f>"MEMBERSHIP-A. PARTIDA"</f>
        <v>MEMBERSHIP-A. PARTIDA</v>
      </c>
    </row>
    <row r="1716" spans="1:10" x14ac:dyDescent="0.3">
      <c r="A1716" t="str">
        <f>"002122"</f>
        <v>002122</v>
      </c>
      <c r="B1716" t="s">
        <v>477</v>
      </c>
      <c r="C1716">
        <v>71305</v>
      </c>
      <c r="D1716" s="2">
        <v>529.41</v>
      </c>
      <c r="E1716" s="1">
        <v>42912</v>
      </c>
      <c r="F1716" t="s">
        <v>10</v>
      </c>
      <c r="G1716" t="str">
        <f>"201706133057"</f>
        <v>201706133057</v>
      </c>
      <c r="H1716" t="str">
        <f>"ACCT#0005"</f>
        <v>ACCT#0005</v>
      </c>
      <c r="I1716" s="2">
        <v>28.57</v>
      </c>
      <c r="J1716" t="str">
        <f>"ACCT#0005"</f>
        <v>ACCT#0005</v>
      </c>
    </row>
    <row r="1717" spans="1:10" x14ac:dyDescent="0.3">
      <c r="A1717" t="str">
        <f>""</f>
        <v/>
      </c>
      <c r="F1717" t="s">
        <v>10</v>
      </c>
      <c r="G1717" t="str">
        <f>"201706143063"</f>
        <v>201706143063</v>
      </c>
      <c r="H1717" t="str">
        <f>"ACCT#0005/PCT#4"</f>
        <v>ACCT#0005/PCT#4</v>
      </c>
      <c r="I1717" s="2">
        <v>500.84</v>
      </c>
      <c r="J1717" t="str">
        <f>"ACCT#0005/PCT#4"</f>
        <v>ACCT#0005/PCT#4</v>
      </c>
    </row>
    <row r="1718" spans="1:10" x14ac:dyDescent="0.3">
      <c r="A1718" t="str">
        <f>"000290"</f>
        <v>000290</v>
      </c>
      <c r="B1718" t="s">
        <v>478</v>
      </c>
      <c r="C1718">
        <v>71033</v>
      </c>
      <c r="D1718" s="2">
        <v>350</v>
      </c>
      <c r="E1718" s="1">
        <v>42898</v>
      </c>
      <c r="F1718" t="s">
        <v>10</v>
      </c>
      <c r="G1718" t="str">
        <f>"201706052601"</f>
        <v>201706052601</v>
      </c>
      <c r="H1718" t="str">
        <f>"CONFERENCE REGISTRATION"</f>
        <v>CONFERENCE REGISTRATION</v>
      </c>
      <c r="I1718" s="2">
        <v>350</v>
      </c>
      <c r="J1718" t="str">
        <f>"CONFERENCE REGISTRATION"</f>
        <v>CONFERENCE REGISTRATION</v>
      </c>
    </row>
    <row r="1719" spans="1:10" x14ac:dyDescent="0.3">
      <c r="A1719" t="str">
        <f>"TCSC"</f>
        <v>TCSC</v>
      </c>
      <c r="B1719" t="s">
        <v>479</v>
      </c>
      <c r="C1719">
        <v>71034</v>
      </c>
      <c r="D1719" s="2">
        <v>568.35</v>
      </c>
      <c r="E1719" s="1">
        <v>42898</v>
      </c>
      <c r="F1719" t="s">
        <v>10</v>
      </c>
      <c r="G1719" t="str">
        <f>"23005"</f>
        <v>23005</v>
      </c>
      <c r="H1719" t="str">
        <f>"CUST #1574/PCT 4 FLOOD"</f>
        <v>CUST #1574/PCT 4 FLOOD</v>
      </c>
      <c r="I1719" s="2">
        <v>285.69</v>
      </c>
      <c r="J1719" t="str">
        <f>"CUST #1574/PCT 4 FLOOD"</f>
        <v>CUST #1574/PCT 4 FLOOD</v>
      </c>
    </row>
    <row r="1720" spans="1:10" x14ac:dyDescent="0.3">
      <c r="A1720" t="str">
        <f>""</f>
        <v/>
      </c>
      <c r="F1720" t="s">
        <v>10</v>
      </c>
      <c r="G1720" t="str">
        <f>"23240"</f>
        <v>23240</v>
      </c>
      <c r="H1720" t="str">
        <f>"CUST #1574/PCT 4 FLOOD"</f>
        <v>CUST #1574/PCT 4 FLOOD</v>
      </c>
      <c r="I1720" s="2">
        <v>282.66000000000003</v>
      </c>
      <c r="J1720" t="str">
        <f>"CUST #1574/PCT 4 FLOOD"</f>
        <v>CUST #1574/PCT 4 FLOOD</v>
      </c>
    </row>
    <row r="1721" spans="1:10" x14ac:dyDescent="0.3">
      <c r="A1721" t="str">
        <f>"TCSC"</f>
        <v>TCSC</v>
      </c>
      <c r="B1721" t="s">
        <v>479</v>
      </c>
      <c r="C1721">
        <v>71306</v>
      </c>
      <c r="D1721" s="2">
        <v>5764.25</v>
      </c>
      <c r="E1721" s="1">
        <v>42912</v>
      </c>
      <c r="F1721" t="s">
        <v>211</v>
      </c>
      <c r="G1721" t="str">
        <f>"25479"</f>
        <v>25479</v>
      </c>
      <c r="H1721" t="str">
        <f>"CUST#1574/BASE/PCT#4"</f>
        <v>CUST#1574/BASE/PCT#4</v>
      </c>
      <c r="I1721" s="2">
        <v>-288.5</v>
      </c>
      <c r="J1721" t="str">
        <f>"CUST#1574/BASE/PCT#4"</f>
        <v>CUST#1574/BASE/PCT#4</v>
      </c>
    </row>
    <row r="1722" spans="1:10" x14ac:dyDescent="0.3">
      <c r="A1722" t="str">
        <f>""</f>
        <v/>
      </c>
      <c r="F1722" t="s">
        <v>10</v>
      </c>
      <c r="G1722" t="str">
        <f>"23482"</f>
        <v>23482</v>
      </c>
      <c r="H1722" t="str">
        <f>"CUST#1574/BASE/PCT#4/FLOOD"</f>
        <v>CUST#1574/BASE/PCT#4/FLOOD</v>
      </c>
      <c r="I1722" s="2">
        <v>287.92</v>
      </c>
      <c r="J1722" t="str">
        <f>"CUST#1574/BASE/PCT#4"</f>
        <v>CUST#1574/BASE/PCT#4</v>
      </c>
    </row>
    <row r="1723" spans="1:10" x14ac:dyDescent="0.3">
      <c r="A1723" t="str">
        <f>""</f>
        <v/>
      </c>
      <c r="F1723" t="s">
        <v>10</v>
      </c>
      <c r="G1723" t="str">
        <f>"23717"</f>
        <v>23717</v>
      </c>
      <c r="H1723" t="str">
        <f>"CUST#1574/BASE/PCT#4/FLOOD"</f>
        <v>CUST#1574/BASE/PCT#4/FLOOD</v>
      </c>
      <c r="I1723" s="2">
        <v>138.24</v>
      </c>
      <c r="J1723" t="str">
        <f>"CUST#1574/BASE/PCT#4/FLOOD"</f>
        <v>CUST#1574/BASE/PCT#4/FLOOD</v>
      </c>
    </row>
    <row r="1724" spans="1:10" x14ac:dyDescent="0.3">
      <c r="A1724" t="str">
        <f>""</f>
        <v/>
      </c>
      <c r="F1724" t="s">
        <v>10</v>
      </c>
      <c r="G1724" t="str">
        <f>"23880"</f>
        <v>23880</v>
      </c>
      <c r="H1724" t="str">
        <f>"CUST#1574/BASE/PCT#4/FLOOD"</f>
        <v>CUST#1574/BASE/PCT#4/FLOOD</v>
      </c>
      <c r="I1724" s="2">
        <v>142.24</v>
      </c>
      <c r="J1724" t="str">
        <f>"CUST#1574/BASE/PCT#4/FLOOD"</f>
        <v>CUST#1574/BASE/PCT#4/FLOOD</v>
      </c>
    </row>
    <row r="1725" spans="1:10" x14ac:dyDescent="0.3">
      <c r="A1725" t="str">
        <f>""</f>
        <v/>
      </c>
      <c r="F1725" t="s">
        <v>10</v>
      </c>
      <c r="G1725" t="str">
        <f>"24059"</f>
        <v>24059</v>
      </c>
      <c r="H1725" t="str">
        <f>"CUST#1574/BASE/PCT#4/FLOOD"</f>
        <v>CUST#1574/BASE/PCT#4/FLOOD</v>
      </c>
      <c r="I1725" s="2">
        <v>144.96</v>
      </c>
      <c r="J1725" t="str">
        <f>"CUST#1574/BASE/PCT#4/FLOOD"</f>
        <v>CUST#1574/BASE/PCT#4/FLOOD</v>
      </c>
    </row>
    <row r="1726" spans="1:10" x14ac:dyDescent="0.3">
      <c r="A1726" t="str">
        <f>""</f>
        <v/>
      </c>
      <c r="F1726" t="s">
        <v>10</v>
      </c>
      <c r="G1726" t="str">
        <f>"24302"</f>
        <v>24302</v>
      </c>
      <c r="H1726" t="str">
        <f>"CUST#1574/BASE/PCT#4/FLOOD"</f>
        <v>CUST#1574/BASE/PCT#4/FLOOD</v>
      </c>
      <c r="I1726" s="2">
        <v>140.18</v>
      </c>
      <c r="J1726" t="str">
        <f>"CUST#1574/BASE/PCT#4/FLOOD"</f>
        <v>CUST#1574/BASE/PCT#4/FLOOD</v>
      </c>
    </row>
    <row r="1727" spans="1:10" x14ac:dyDescent="0.3">
      <c r="A1727" t="str">
        <f>""</f>
        <v/>
      </c>
      <c r="F1727" t="s">
        <v>10</v>
      </c>
      <c r="G1727" t="str">
        <f>"24551"</f>
        <v>24551</v>
      </c>
      <c r="H1727" t="str">
        <f>"CUST#1574/BASE/PCT#4"</f>
        <v>CUST#1574/BASE/PCT#4</v>
      </c>
      <c r="I1727" s="2">
        <v>846.64</v>
      </c>
      <c r="J1727" t="str">
        <f>"CUST#1574/BASE/PCT#4"</f>
        <v>CUST#1574/BASE/PCT#4</v>
      </c>
    </row>
    <row r="1728" spans="1:10" x14ac:dyDescent="0.3">
      <c r="A1728" t="str">
        <f>""</f>
        <v/>
      </c>
      <c r="F1728" t="s">
        <v>10</v>
      </c>
      <c r="G1728" t="str">
        <f>"24801"</f>
        <v>24801</v>
      </c>
      <c r="H1728" t="str">
        <f>"CUST#1574/BASE/PCT#4"</f>
        <v>CUST#1574/BASE/PCT#4</v>
      </c>
      <c r="I1728" s="2">
        <v>567.13</v>
      </c>
      <c r="J1728" t="str">
        <f>"CUST#1574/BASE/PCT#4"</f>
        <v>CUST#1574/BASE/PCT#4</v>
      </c>
    </row>
    <row r="1729" spans="1:10" x14ac:dyDescent="0.3">
      <c r="A1729" t="str">
        <f>""</f>
        <v/>
      </c>
      <c r="F1729" t="s">
        <v>10</v>
      </c>
      <c r="G1729" t="str">
        <f>"25027"</f>
        <v>25027</v>
      </c>
      <c r="H1729" t="str">
        <f>"CUST#1574/BASE/PCT#4"</f>
        <v>CUST#1574/BASE/PCT#4</v>
      </c>
      <c r="I1729" s="2">
        <v>840.41</v>
      </c>
      <c r="J1729" t="str">
        <f>"CUST#1574/BASE/PCT#4"</f>
        <v>CUST#1574/BASE/PCT#4</v>
      </c>
    </row>
    <row r="1730" spans="1:10" x14ac:dyDescent="0.3">
      <c r="A1730" t="str">
        <f>""</f>
        <v/>
      </c>
      <c r="F1730" t="s">
        <v>10</v>
      </c>
      <c r="G1730" t="str">
        <f>"25257"</f>
        <v>25257</v>
      </c>
      <c r="H1730" t="str">
        <f>"CUST#1574/BASE/PCT#4"</f>
        <v>CUST#1574/BASE/PCT#4</v>
      </c>
      <c r="I1730" s="2">
        <v>1119.1300000000001</v>
      </c>
      <c r="J1730" t="str">
        <f>"CUST#1574/BASE/PCT#4"</f>
        <v>CUST#1574/BASE/PCT#4</v>
      </c>
    </row>
    <row r="1731" spans="1:10" x14ac:dyDescent="0.3">
      <c r="A1731" t="str">
        <f>""</f>
        <v/>
      </c>
      <c r="F1731" t="s">
        <v>10</v>
      </c>
      <c r="G1731" t="str">
        <f>"25509"</f>
        <v>25509</v>
      </c>
      <c r="H1731" t="str">
        <f>"CUST#1574/BASE/PCT#4"</f>
        <v>CUST#1574/BASE/PCT#4</v>
      </c>
      <c r="I1731" s="2">
        <v>1259.25</v>
      </c>
      <c r="J1731" t="str">
        <f>"CUST#1574/BASE/PCT#4"</f>
        <v>CUST#1574/BASE/PCT#4</v>
      </c>
    </row>
    <row r="1732" spans="1:10" x14ac:dyDescent="0.3">
      <c r="A1732" t="str">
        <f>""</f>
        <v/>
      </c>
      <c r="F1732" t="s">
        <v>10</v>
      </c>
      <c r="G1732" t="str">
        <f>"25735"</f>
        <v>25735</v>
      </c>
      <c r="H1732" t="str">
        <f>"CUST # 1574 - P4"</f>
        <v>CUST # 1574 - P4</v>
      </c>
      <c r="I1732" s="2">
        <v>566.65</v>
      </c>
      <c r="J1732" t="str">
        <f>"CUST # 1574 - P4"</f>
        <v>CUST # 1574 - P4</v>
      </c>
    </row>
    <row r="1733" spans="1:10" x14ac:dyDescent="0.3">
      <c r="A1733" t="str">
        <f>"004093"</f>
        <v>004093</v>
      </c>
      <c r="B1733" t="s">
        <v>480</v>
      </c>
      <c r="C1733">
        <v>71307</v>
      </c>
      <c r="D1733" s="2">
        <v>90</v>
      </c>
      <c r="E1733" s="1">
        <v>42912</v>
      </c>
      <c r="F1733" t="s">
        <v>10</v>
      </c>
      <c r="G1733" t="str">
        <f>"UI410735"</f>
        <v>UI410735</v>
      </c>
      <c r="H1733" t="str">
        <f>"ITEM#966-00-CUSTOM/PRINTING"</f>
        <v>ITEM#966-00-CUSTOM/PRINTING</v>
      </c>
      <c r="I1733" s="2">
        <v>90</v>
      </c>
      <c r="J1733" t="str">
        <f>"ITEM#966-00-CUSTOM/PRINTING"</f>
        <v>ITEM#966-00-CUSTOM/PRINTING</v>
      </c>
    </row>
    <row r="1734" spans="1:10" x14ac:dyDescent="0.3">
      <c r="A1734" t="str">
        <f>"001721"</f>
        <v>001721</v>
      </c>
      <c r="B1734" t="s">
        <v>481</v>
      </c>
      <c r="C1734">
        <v>71308</v>
      </c>
      <c r="D1734" s="2">
        <v>3</v>
      </c>
      <c r="E1734" s="1">
        <v>42912</v>
      </c>
      <c r="F1734" t="s">
        <v>10</v>
      </c>
      <c r="G1734" t="str">
        <f>"CRS-201705-121485"</f>
        <v>CRS-201705-121485</v>
      </c>
      <c r="H1734" t="str">
        <f>"RTI#700010/NAME SEARCH/HR"</f>
        <v>RTI#700010/NAME SEARCH/HR</v>
      </c>
      <c r="I1734" s="2">
        <v>3</v>
      </c>
      <c r="J1734" t="str">
        <f>"RTI#700010/NAME SEARCH/HR"</f>
        <v>RTI#700010/NAME SEARCH/HR</v>
      </c>
    </row>
    <row r="1735" spans="1:10" x14ac:dyDescent="0.3">
      <c r="A1735" t="str">
        <f>"T10512"</f>
        <v>T10512</v>
      </c>
      <c r="B1735" t="s">
        <v>482</v>
      </c>
      <c r="C1735">
        <v>71035</v>
      </c>
      <c r="D1735" s="2">
        <v>150</v>
      </c>
      <c r="E1735" s="1">
        <v>42898</v>
      </c>
      <c r="F1735" t="s">
        <v>10</v>
      </c>
      <c r="G1735" t="str">
        <f>"201706022551"</f>
        <v>201706022551</v>
      </c>
      <c r="H1735" t="str">
        <f>"WORKSHOP JP 2"</f>
        <v>WORKSHOP JP 2</v>
      </c>
      <c r="I1735" s="2">
        <v>150</v>
      </c>
      <c r="J1735" t="str">
        <f>"WORKSHOP JP 2"</f>
        <v>WORKSHOP JP 2</v>
      </c>
    </row>
    <row r="1736" spans="1:10" x14ac:dyDescent="0.3">
      <c r="A1736" t="str">
        <f>"T5375"</f>
        <v>T5375</v>
      </c>
      <c r="B1736" t="s">
        <v>484</v>
      </c>
      <c r="C1736">
        <v>71309</v>
      </c>
      <c r="D1736" s="2">
        <v>50</v>
      </c>
      <c r="E1736" s="1">
        <v>42912</v>
      </c>
      <c r="F1736" t="s">
        <v>10</v>
      </c>
      <c r="G1736" t="str">
        <f>"1264-0718"</f>
        <v>1264-0718</v>
      </c>
      <c r="H1736" t="str">
        <f>"SUBSCRIPTION-K. HANNA"</f>
        <v>SUBSCRIPTION-K. HANNA</v>
      </c>
      <c r="I1736" s="2">
        <v>50</v>
      </c>
      <c r="J1736" t="str">
        <f>"SUBSCRIPTION-K. HANNA"</f>
        <v>SUBSCRIPTION-K. HANNA</v>
      </c>
    </row>
    <row r="1737" spans="1:10" x14ac:dyDescent="0.3">
      <c r="A1737" t="str">
        <f>"000994"</f>
        <v>000994</v>
      </c>
      <c r="B1737" t="s">
        <v>485</v>
      </c>
      <c r="C1737">
        <v>71310</v>
      </c>
      <c r="D1737" s="2">
        <v>215</v>
      </c>
      <c r="E1737" s="1">
        <v>42912</v>
      </c>
      <c r="F1737" t="s">
        <v>10</v>
      </c>
      <c r="G1737" t="str">
        <f>"201706143062"</f>
        <v>201706143062</v>
      </c>
      <c r="H1737" t="str">
        <f>"ORDER#214579/EXHIBIT HALL"</f>
        <v>ORDER#214579/EXHIBIT HALL</v>
      </c>
      <c r="I1737" s="2">
        <v>215</v>
      </c>
      <c r="J1737" t="str">
        <f>"ORDER#214579/EXHIBIT HALL"</f>
        <v>ORDER#214579/EXHIBIT HALL</v>
      </c>
    </row>
    <row r="1738" spans="1:10" x14ac:dyDescent="0.3">
      <c r="A1738" t="str">
        <f>"T7170"</f>
        <v>T7170</v>
      </c>
      <c r="B1738" t="s">
        <v>486</v>
      </c>
      <c r="C1738">
        <v>71036</v>
      </c>
      <c r="D1738" s="2">
        <v>867.25</v>
      </c>
      <c r="E1738" s="1">
        <v>42898</v>
      </c>
      <c r="F1738" t="s">
        <v>10</v>
      </c>
      <c r="G1738" t="str">
        <f>"J2-45774"</f>
        <v>J2-45774</v>
      </c>
      <c r="H1738" t="str">
        <f>"A16486 RESENDEZ"</f>
        <v>A16486 RESENDEZ</v>
      </c>
      <c r="I1738" s="2">
        <v>81</v>
      </c>
      <c r="J1738" t="str">
        <f>"A16486 RESENDEZ"</f>
        <v>A16486 RESENDEZ</v>
      </c>
    </row>
    <row r="1739" spans="1:10" x14ac:dyDescent="0.3">
      <c r="A1739" t="str">
        <f>""</f>
        <v/>
      </c>
      <c r="F1739" t="s">
        <v>10</v>
      </c>
      <c r="G1739" t="str">
        <f>"J2-46581"</f>
        <v>J2-46581</v>
      </c>
      <c r="H1739" t="str">
        <f>"A8210910 BENITEZ"</f>
        <v>A8210910 BENITEZ</v>
      </c>
      <c r="I1739" s="2">
        <v>157.25</v>
      </c>
      <c r="J1739" t="str">
        <f>"A8210910 BENITEZ"</f>
        <v>A8210910 BENITEZ</v>
      </c>
    </row>
    <row r="1740" spans="1:10" x14ac:dyDescent="0.3">
      <c r="A1740" t="str">
        <f>""</f>
        <v/>
      </c>
      <c r="F1740" t="s">
        <v>10</v>
      </c>
      <c r="G1740" t="str">
        <f>"J2-46958"</f>
        <v>J2-46958</v>
      </c>
      <c r="H1740" t="str">
        <f>"A13155 MARKOFF"</f>
        <v>A13155 MARKOFF</v>
      </c>
      <c r="I1740" s="2">
        <v>314.5</v>
      </c>
      <c r="J1740" t="str">
        <f>"A13155 MARKOFF"</f>
        <v>A13155 MARKOFF</v>
      </c>
    </row>
    <row r="1741" spans="1:10" x14ac:dyDescent="0.3">
      <c r="A1741" t="str">
        <f>""</f>
        <v/>
      </c>
      <c r="F1741" t="s">
        <v>10</v>
      </c>
      <c r="G1741" t="str">
        <f>"J2-46960"</f>
        <v>J2-46960</v>
      </c>
      <c r="H1741" t="str">
        <f>"A13156 MIER"</f>
        <v>A13156 MIER</v>
      </c>
      <c r="I1741" s="2">
        <v>314.5</v>
      </c>
      <c r="J1741" t="str">
        <f>"A13156"</f>
        <v>A13156</v>
      </c>
    </row>
    <row r="1742" spans="1:10" x14ac:dyDescent="0.3">
      <c r="A1742" t="str">
        <f>"T7170"</f>
        <v>T7170</v>
      </c>
      <c r="B1742" t="s">
        <v>486</v>
      </c>
      <c r="C1742">
        <v>71311</v>
      </c>
      <c r="D1742" s="2">
        <v>386.75</v>
      </c>
      <c r="E1742" s="1">
        <v>42912</v>
      </c>
      <c r="F1742" t="s">
        <v>10</v>
      </c>
      <c r="G1742" t="str">
        <f>"17-1669J4"</f>
        <v>17-1669J4</v>
      </c>
      <c r="H1742" t="str">
        <f>"CIT#A8210917/GRISELL"</f>
        <v>CIT#A8210917/GRISELL</v>
      </c>
      <c r="I1742" s="2">
        <v>114.75</v>
      </c>
      <c r="J1742" t="str">
        <f>"CIT#A8210917/GRISELL"</f>
        <v>CIT#A8210917/GRISELL</v>
      </c>
    </row>
    <row r="1743" spans="1:10" x14ac:dyDescent="0.3">
      <c r="A1743" t="str">
        <f>""</f>
        <v/>
      </c>
      <c r="F1743" t="s">
        <v>10</v>
      </c>
      <c r="G1743" t="str">
        <f>"3CO-2271-17"</f>
        <v>3CO-2271-17</v>
      </c>
      <c r="H1743" t="str">
        <f>"A8139433-D. STOLLTENBERG"</f>
        <v>A8139433-D. STOLLTENBERG</v>
      </c>
      <c r="I1743" s="2">
        <v>114.75</v>
      </c>
      <c r="J1743" t="str">
        <f>"A8139433-STOLLTENBERG"</f>
        <v>A8139433-STOLLTENBERG</v>
      </c>
    </row>
    <row r="1744" spans="1:10" x14ac:dyDescent="0.3">
      <c r="A1744" t="str">
        <f>""</f>
        <v/>
      </c>
      <c r="F1744" t="s">
        <v>10</v>
      </c>
      <c r="G1744" t="str">
        <f>"J2-47405"</f>
        <v>J2-47405</v>
      </c>
      <c r="H1744" t="str">
        <f>"A8210914-D. DIAZ"</f>
        <v>A8210914-D. DIAZ</v>
      </c>
      <c r="I1744" s="2">
        <v>157.25</v>
      </c>
      <c r="J1744" t="str">
        <f>"A8210914-DIAZ"</f>
        <v>A8210914-DIAZ</v>
      </c>
    </row>
    <row r="1745" spans="1:10" x14ac:dyDescent="0.3">
      <c r="A1745" t="str">
        <f>"003850"</f>
        <v>003850</v>
      </c>
      <c r="B1745" t="s">
        <v>487</v>
      </c>
      <c r="C1745">
        <v>71037</v>
      </c>
      <c r="D1745" s="2">
        <v>223.46</v>
      </c>
      <c r="E1745" s="1">
        <v>42898</v>
      </c>
      <c r="F1745" t="s">
        <v>10</v>
      </c>
      <c r="G1745" t="str">
        <f>"201706072871"</f>
        <v>201706072871</v>
      </c>
      <c r="H1745" t="str">
        <f>"INDIGENT HEALTH"</f>
        <v>INDIGENT HEALTH</v>
      </c>
      <c r="I1745" s="2">
        <v>223.46</v>
      </c>
      <c r="J1745" t="str">
        <f>"INDIGENT HEALTH"</f>
        <v>INDIGENT HEALTH</v>
      </c>
    </row>
    <row r="1746" spans="1:10" x14ac:dyDescent="0.3">
      <c r="A1746" t="str">
        <f>"003946"</f>
        <v>003946</v>
      </c>
      <c r="B1746" t="s">
        <v>488</v>
      </c>
      <c r="C1746">
        <v>71312</v>
      </c>
      <c r="D1746" s="2">
        <v>500</v>
      </c>
      <c r="E1746" s="1">
        <v>42912</v>
      </c>
      <c r="F1746" t="s">
        <v>10</v>
      </c>
      <c r="G1746" t="str">
        <f>"201706143091"</f>
        <v>201706143091</v>
      </c>
      <c r="H1746" t="str">
        <f>"54204/54217/20170250"</f>
        <v>54204/54217/20170250</v>
      </c>
      <c r="I1746" s="2">
        <v>500</v>
      </c>
      <c r="J1746" t="str">
        <f>"54204/54217/20170250"</f>
        <v>54204/54217/20170250</v>
      </c>
    </row>
    <row r="1747" spans="1:10" x14ac:dyDescent="0.3">
      <c r="A1747" t="str">
        <f>"003873"</f>
        <v>003873</v>
      </c>
      <c r="B1747" t="s">
        <v>489</v>
      </c>
      <c r="C1747">
        <v>71313</v>
      </c>
      <c r="D1747" s="2">
        <v>350</v>
      </c>
      <c r="E1747" s="1">
        <v>42912</v>
      </c>
      <c r="F1747" t="s">
        <v>10</v>
      </c>
      <c r="G1747" t="str">
        <f>"175562001"</f>
        <v>175562001</v>
      </c>
      <c r="H1747" t="str">
        <f>"RENEWAL/MEMBERSHIP"</f>
        <v>RENEWAL/MEMBERSHIP</v>
      </c>
      <c r="I1747" s="2">
        <v>350</v>
      </c>
      <c r="J1747" t="str">
        <f>"RENEWAL/MEMBERSHIP"</f>
        <v>RENEWAL/MEMBERSHIP</v>
      </c>
    </row>
    <row r="1748" spans="1:10" x14ac:dyDescent="0.3">
      <c r="A1748" t="str">
        <f>"002317"</f>
        <v>002317</v>
      </c>
      <c r="B1748" t="s">
        <v>490</v>
      </c>
      <c r="C1748">
        <v>71038</v>
      </c>
      <c r="D1748" s="2">
        <v>4625</v>
      </c>
      <c r="E1748" s="1">
        <v>42898</v>
      </c>
      <c r="F1748" t="s">
        <v>10</v>
      </c>
      <c r="G1748" t="str">
        <f>"201706012535"</f>
        <v>201706012535</v>
      </c>
      <c r="H1748" t="str">
        <f>"52 514"</f>
        <v>52 514</v>
      </c>
      <c r="I1748" s="2">
        <v>250</v>
      </c>
      <c r="J1748" t="str">
        <f>"52 514"</f>
        <v>52 514</v>
      </c>
    </row>
    <row r="1749" spans="1:10" x14ac:dyDescent="0.3">
      <c r="A1749" t="str">
        <f>""</f>
        <v/>
      </c>
      <c r="F1749" t="s">
        <v>10</v>
      </c>
      <c r="G1749" t="str">
        <f>"201706012536"</f>
        <v>201706012536</v>
      </c>
      <c r="H1749" t="str">
        <f>"16 181"</f>
        <v>16 181</v>
      </c>
      <c r="I1749" s="2">
        <v>800</v>
      </c>
      <c r="J1749" t="str">
        <f>"16 181"</f>
        <v>16 181</v>
      </c>
    </row>
    <row r="1750" spans="1:10" x14ac:dyDescent="0.3">
      <c r="A1750" t="str">
        <f>""</f>
        <v/>
      </c>
      <c r="F1750" t="s">
        <v>10</v>
      </c>
      <c r="G1750" t="str">
        <f>"201706012537"</f>
        <v>201706012537</v>
      </c>
      <c r="H1750" t="str">
        <f>"402175-IM"</f>
        <v>402175-IM</v>
      </c>
      <c r="I1750" s="2">
        <v>400</v>
      </c>
      <c r="J1750" t="str">
        <f>"402175-IM"</f>
        <v>402175-IM</v>
      </c>
    </row>
    <row r="1751" spans="1:10" x14ac:dyDescent="0.3">
      <c r="A1751" t="str">
        <f>""</f>
        <v/>
      </c>
      <c r="F1751" t="s">
        <v>10</v>
      </c>
      <c r="G1751" t="str">
        <f>"201706012539"</f>
        <v>201706012539</v>
      </c>
      <c r="H1751" t="str">
        <f>"C160035"</f>
        <v>C160035</v>
      </c>
      <c r="I1751" s="2">
        <v>400</v>
      </c>
      <c r="J1751" t="str">
        <f>"C160035"</f>
        <v>C160035</v>
      </c>
    </row>
    <row r="1752" spans="1:10" x14ac:dyDescent="0.3">
      <c r="A1752" t="str">
        <f>""</f>
        <v/>
      </c>
      <c r="F1752" t="s">
        <v>10</v>
      </c>
      <c r="G1752" t="str">
        <f>"201706012540"</f>
        <v>201706012540</v>
      </c>
      <c r="H1752" t="str">
        <f>"16248/20160618/20160737"</f>
        <v>16248/20160618/20160737</v>
      </c>
      <c r="I1752" s="2">
        <v>1200</v>
      </c>
      <c r="J1752" t="str">
        <f>"16248/20160618/20160737"</f>
        <v>16248/20160618/20160737</v>
      </c>
    </row>
    <row r="1753" spans="1:10" x14ac:dyDescent="0.3">
      <c r="A1753" t="str">
        <f>""</f>
        <v/>
      </c>
      <c r="F1753" t="s">
        <v>10</v>
      </c>
      <c r="G1753" t="str">
        <f>"201706012541"</f>
        <v>201706012541</v>
      </c>
      <c r="H1753" t="str">
        <f>"CH20160625-C"</f>
        <v>CH20160625-C</v>
      </c>
      <c r="I1753" s="2">
        <v>400</v>
      </c>
      <c r="J1753" t="str">
        <f>"CH20160625-C"</f>
        <v>CH20160625-C</v>
      </c>
    </row>
    <row r="1754" spans="1:10" x14ac:dyDescent="0.3">
      <c r="A1754" t="str">
        <f>""</f>
        <v/>
      </c>
      <c r="F1754" t="s">
        <v>10</v>
      </c>
      <c r="G1754" t="str">
        <f>"201706012542"</f>
        <v>201706012542</v>
      </c>
      <c r="H1754" t="str">
        <f>"CH-20151215B"</f>
        <v>CH-20151215B</v>
      </c>
      <c r="I1754" s="2">
        <v>400</v>
      </c>
      <c r="J1754" t="str">
        <f>"CH-20151215B"</f>
        <v>CH-20151215B</v>
      </c>
    </row>
    <row r="1755" spans="1:10" x14ac:dyDescent="0.3">
      <c r="A1755" t="str">
        <f>""</f>
        <v/>
      </c>
      <c r="F1755" t="s">
        <v>10</v>
      </c>
      <c r="G1755" t="str">
        <f>"201706012543"</f>
        <v>201706012543</v>
      </c>
      <c r="H1755" t="str">
        <f>"55 092"</f>
        <v>55 092</v>
      </c>
      <c r="I1755" s="2">
        <v>250</v>
      </c>
      <c r="J1755" t="str">
        <f>"55 092"</f>
        <v>55 092</v>
      </c>
    </row>
    <row r="1756" spans="1:10" x14ac:dyDescent="0.3">
      <c r="A1756" t="str">
        <f>""</f>
        <v/>
      </c>
      <c r="F1756" t="s">
        <v>10</v>
      </c>
      <c r="G1756" t="str">
        <f>"201706072898"</f>
        <v>201706072898</v>
      </c>
      <c r="H1756" t="str">
        <f>"15-17550"</f>
        <v>15-17550</v>
      </c>
      <c r="I1756" s="2">
        <v>350</v>
      </c>
      <c r="J1756" t="str">
        <f>"15-17550"</f>
        <v>15-17550</v>
      </c>
    </row>
    <row r="1757" spans="1:10" x14ac:dyDescent="0.3">
      <c r="A1757" t="str">
        <f>""</f>
        <v/>
      </c>
      <c r="F1757" t="s">
        <v>10</v>
      </c>
      <c r="G1757" t="str">
        <f>"201706072899"</f>
        <v>201706072899</v>
      </c>
      <c r="H1757" t="str">
        <f>"16-17708"</f>
        <v>16-17708</v>
      </c>
      <c r="I1757" s="2">
        <v>175</v>
      </c>
      <c r="J1757" t="str">
        <f>"16-17708"</f>
        <v>16-17708</v>
      </c>
    </row>
    <row r="1758" spans="1:10" x14ac:dyDescent="0.3">
      <c r="A1758" t="str">
        <f>"002317"</f>
        <v>002317</v>
      </c>
      <c r="B1758" t="s">
        <v>490</v>
      </c>
      <c r="C1758">
        <v>71314</v>
      </c>
      <c r="D1758" s="2">
        <v>4675</v>
      </c>
      <c r="E1758" s="1">
        <v>42912</v>
      </c>
      <c r="F1758" t="s">
        <v>10</v>
      </c>
      <c r="G1758" t="str">
        <f>"201706143067"</f>
        <v>201706143067</v>
      </c>
      <c r="H1758" t="str">
        <f>"14 518"</f>
        <v>14 518</v>
      </c>
      <c r="I1758" s="2">
        <v>400</v>
      </c>
      <c r="J1758" t="str">
        <f>"14 518"</f>
        <v>14 518</v>
      </c>
    </row>
    <row r="1759" spans="1:10" x14ac:dyDescent="0.3">
      <c r="A1759" t="str">
        <f>""</f>
        <v/>
      </c>
      <c r="F1759" t="s">
        <v>10</v>
      </c>
      <c r="G1759" t="str">
        <f>"201706163117"</f>
        <v>201706163117</v>
      </c>
      <c r="H1759" t="str">
        <f>"15 431"</f>
        <v>15 431</v>
      </c>
      <c r="I1759" s="2">
        <v>2900</v>
      </c>
      <c r="J1759" t="str">
        <f>"15 431"</f>
        <v>15 431</v>
      </c>
    </row>
    <row r="1760" spans="1:10" x14ac:dyDescent="0.3">
      <c r="A1760" t="str">
        <f>""</f>
        <v/>
      </c>
      <c r="F1760" t="s">
        <v>10</v>
      </c>
      <c r="G1760" t="str">
        <f>"201706163121"</f>
        <v>201706163121</v>
      </c>
      <c r="H1760" t="str">
        <f>"402015-IM"</f>
        <v>402015-IM</v>
      </c>
      <c r="I1760" s="2">
        <v>250</v>
      </c>
      <c r="J1760" t="str">
        <f>"402015-IM"</f>
        <v>402015-IM</v>
      </c>
    </row>
    <row r="1761" spans="1:10" x14ac:dyDescent="0.3">
      <c r="A1761" t="str">
        <f>""</f>
        <v/>
      </c>
      <c r="F1761" t="s">
        <v>10</v>
      </c>
      <c r="G1761" t="str">
        <f>"201706163122"</f>
        <v>201706163122</v>
      </c>
      <c r="H1761" t="str">
        <f>"54 074"</f>
        <v>54 074</v>
      </c>
      <c r="I1761" s="2">
        <v>250</v>
      </c>
      <c r="J1761" t="str">
        <f>"54 074"</f>
        <v>54 074</v>
      </c>
    </row>
    <row r="1762" spans="1:10" x14ac:dyDescent="0.3">
      <c r="A1762" t="str">
        <f>""</f>
        <v/>
      </c>
      <c r="F1762" t="s">
        <v>10</v>
      </c>
      <c r="G1762" t="str">
        <f>"201706163123"</f>
        <v>201706163123</v>
      </c>
      <c r="H1762" t="str">
        <f>"402056-3M"</f>
        <v>402056-3M</v>
      </c>
      <c r="I1762" s="2">
        <v>250</v>
      </c>
      <c r="J1762" t="str">
        <f>"402056-3M"</f>
        <v>402056-3M</v>
      </c>
    </row>
    <row r="1763" spans="1:10" x14ac:dyDescent="0.3">
      <c r="A1763" t="str">
        <f>""</f>
        <v/>
      </c>
      <c r="F1763" t="s">
        <v>10</v>
      </c>
      <c r="G1763" t="str">
        <f>"201706163124"</f>
        <v>201706163124</v>
      </c>
      <c r="H1763" t="str">
        <f>"404076-IM"</f>
        <v>404076-IM</v>
      </c>
      <c r="I1763" s="2">
        <v>250</v>
      </c>
      <c r="J1763" t="str">
        <f>"404076-IM"</f>
        <v>404076-IM</v>
      </c>
    </row>
    <row r="1764" spans="1:10" x14ac:dyDescent="0.3">
      <c r="A1764" t="str">
        <f>""</f>
        <v/>
      </c>
      <c r="F1764" t="s">
        <v>10</v>
      </c>
      <c r="G1764" t="str">
        <f>"201706163125"</f>
        <v>201706163125</v>
      </c>
      <c r="H1764" t="str">
        <f>"51 718/52 564"</f>
        <v>51 718/52 564</v>
      </c>
      <c r="I1764" s="2">
        <v>375</v>
      </c>
      <c r="J1764" t="str">
        <f>"51 718/52 564"</f>
        <v>51 718/52 564</v>
      </c>
    </row>
    <row r="1765" spans="1:10" x14ac:dyDescent="0.3">
      <c r="A1765" t="str">
        <f>"005062"</f>
        <v>005062</v>
      </c>
      <c r="B1765" t="s">
        <v>491</v>
      </c>
      <c r="C1765">
        <v>71315</v>
      </c>
      <c r="D1765" s="2">
        <v>500</v>
      </c>
      <c r="E1765" s="1">
        <v>42912</v>
      </c>
      <c r="F1765" t="s">
        <v>10</v>
      </c>
      <c r="G1765" t="str">
        <f>"023525"</f>
        <v>023525</v>
      </c>
      <c r="H1765" t="str">
        <f>"INV023525 GUARD 4"</f>
        <v>INV023525 GUARD 4</v>
      </c>
      <c r="I1765" s="2">
        <v>500</v>
      </c>
      <c r="J1765" t="str">
        <f>"INV023525 GUARD 4"</f>
        <v>INV023525 GUARD 4</v>
      </c>
    </row>
    <row r="1766" spans="1:10" x14ac:dyDescent="0.3">
      <c r="A1766" t="str">
        <f>"TIME"</f>
        <v>TIME</v>
      </c>
      <c r="B1766" t="s">
        <v>492</v>
      </c>
      <c r="C1766">
        <v>71039</v>
      </c>
      <c r="D1766" s="2">
        <v>10258.77</v>
      </c>
      <c r="E1766" s="1">
        <v>42898</v>
      </c>
      <c r="F1766" t="s">
        <v>10</v>
      </c>
      <c r="G1766" t="str">
        <f>"201706062673"</f>
        <v>201706062673</v>
      </c>
      <c r="H1766" t="str">
        <f>"ACCT#8260163000003669-5/28/17"</f>
        <v>ACCT#8260163000003669-5/28/17</v>
      </c>
      <c r="I1766" s="2">
        <v>10258.77</v>
      </c>
      <c r="J1766" t="str">
        <f>"ACCT#8260163000003669-5/28/17"</f>
        <v>ACCT#8260163000003669-5/28/17</v>
      </c>
    </row>
    <row r="1767" spans="1:10" x14ac:dyDescent="0.3">
      <c r="A1767" t="str">
        <f>""</f>
        <v/>
      </c>
      <c r="G1767" t="str">
        <f>""</f>
        <v/>
      </c>
      <c r="H1767" t="str">
        <f>""</f>
        <v/>
      </c>
      <c r="J1767" t="str">
        <f>"ACCT#8260163000003669-5/28/17"</f>
        <v>ACCT#8260163000003669-5/28/17</v>
      </c>
    </row>
    <row r="1768" spans="1:10" x14ac:dyDescent="0.3">
      <c r="A1768" t="str">
        <f>""</f>
        <v/>
      </c>
      <c r="G1768" t="str">
        <f>""</f>
        <v/>
      </c>
      <c r="H1768" t="str">
        <f>""</f>
        <v/>
      </c>
      <c r="J1768" t="str">
        <f>"ACCT#8260163000003669-5/28/17"</f>
        <v>ACCT#8260163000003669-5/28/17</v>
      </c>
    </row>
    <row r="1769" spans="1:10" x14ac:dyDescent="0.3">
      <c r="A1769" t="str">
        <f>"002405"</f>
        <v>002405</v>
      </c>
      <c r="B1769" t="s">
        <v>493</v>
      </c>
      <c r="C1769">
        <v>71040</v>
      </c>
      <c r="D1769" s="2">
        <v>125</v>
      </c>
      <c r="E1769" s="1">
        <v>42898</v>
      </c>
      <c r="F1769" t="s">
        <v>10</v>
      </c>
      <c r="G1769" t="str">
        <f>"PER DIEM/T.STALCUP"</f>
        <v>PER DIEM/T.STALCUP</v>
      </c>
      <c r="H1769" t="str">
        <f>"PER DIEM"</f>
        <v>PER DIEM</v>
      </c>
      <c r="I1769" s="2">
        <v>125</v>
      </c>
      <c r="J1769" t="str">
        <f>"PER DIEM"</f>
        <v>PER DIEM</v>
      </c>
    </row>
    <row r="1770" spans="1:10" x14ac:dyDescent="0.3">
      <c r="A1770" t="str">
        <f>"005100"</f>
        <v>005100</v>
      </c>
      <c r="B1770" t="s">
        <v>494</v>
      </c>
      <c r="C1770">
        <v>71041</v>
      </c>
      <c r="D1770" s="2">
        <v>100</v>
      </c>
      <c r="E1770" s="1">
        <v>42898</v>
      </c>
      <c r="F1770" t="s">
        <v>10</v>
      </c>
      <c r="G1770" t="str">
        <f>"201706052651"</f>
        <v>201706052651</v>
      </c>
      <c r="H1770" t="str">
        <f>"FERAL HOGS"</f>
        <v>FERAL HOGS</v>
      </c>
      <c r="I1770" s="2">
        <v>100</v>
      </c>
      <c r="J1770" t="str">
        <f>"FERAL HOGS"</f>
        <v>FERAL HOGS</v>
      </c>
    </row>
    <row r="1771" spans="1:10" x14ac:dyDescent="0.3">
      <c r="A1771" t="str">
        <f>"002337"</f>
        <v>002337</v>
      </c>
      <c r="B1771" t="s">
        <v>495</v>
      </c>
      <c r="C1771">
        <v>71042</v>
      </c>
      <c r="D1771" s="2">
        <v>1410</v>
      </c>
      <c r="E1771" s="1">
        <v>42898</v>
      </c>
      <c r="F1771" t="s">
        <v>10</v>
      </c>
      <c r="G1771" t="s">
        <v>68</v>
      </c>
      <c r="H1771" t="s">
        <v>496</v>
      </c>
      <c r="I1771" s="2" t="str">
        <f>"SERVICE 03/28/2017"</f>
        <v>SERVICE 03/28/2017</v>
      </c>
      <c r="J1771" t="str">
        <f>"995-4110"</f>
        <v>995-4110</v>
      </c>
    </row>
    <row r="1772" spans="1:10" x14ac:dyDescent="0.3">
      <c r="A1772" t="str">
        <f>""</f>
        <v/>
      </c>
      <c r="F1772" t="s">
        <v>10</v>
      </c>
      <c r="G1772" t="str">
        <f>"11861"</f>
        <v>11861</v>
      </c>
      <c r="H1772" t="str">
        <f>"SERVICE 03/06/2017"</f>
        <v>SERVICE 03/06/2017</v>
      </c>
      <c r="I1772" s="2">
        <v>225</v>
      </c>
      <c r="J1772" t="str">
        <f>"SERVICE 03/06/2017"</f>
        <v>SERVICE 03/06/2017</v>
      </c>
    </row>
    <row r="1773" spans="1:10" x14ac:dyDescent="0.3">
      <c r="A1773" t="str">
        <f>""</f>
        <v/>
      </c>
      <c r="F1773" t="s">
        <v>10</v>
      </c>
      <c r="G1773" t="s">
        <v>74</v>
      </c>
      <c r="H1773" t="s">
        <v>77</v>
      </c>
      <c r="I1773" s="2" t="str">
        <f>"SERVICE-3/24/2017"</f>
        <v>SERVICE-3/24/2017</v>
      </c>
      <c r="J1773" t="str">
        <f>"995-4110"</f>
        <v>995-4110</v>
      </c>
    </row>
    <row r="1774" spans="1:10" x14ac:dyDescent="0.3">
      <c r="A1774" t="str">
        <f>""</f>
        <v/>
      </c>
      <c r="F1774" t="s">
        <v>10</v>
      </c>
      <c r="G1774" t="s">
        <v>74</v>
      </c>
      <c r="H1774" t="s">
        <v>78</v>
      </c>
      <c r="I1774" s="2" t="str">
        <f>"SERVICE-3/24/2017"</f>
        <v>SERVICE-3/24/2017</v>
      </c>
      <c r="J1774" t="str">
        <f>"995-4110"</f>
        <v>995-4110</v>
      </c>
    </row>
    <row r="1775" spans="1:10" x14ac:dyDescent="0.3">
      <c r="A1775" t="str">
        <f>""</f>
        <v/>
      </c>
      <c r="F1775" t="s">
        <v>10</v>
      </c>
      <c r="G1775" t="s">
        <v>74</v>
      </c>
      <c r="H1775" t="s">
        <v>79</v>
      </c>
      <c r="I1775" s="2" t="str">
        <f>"SERVICE 03/22/2017"</f>
        <v>SERVICE 03/22/2017</v>
      </c>
      <c r="J1775" t="str">
        <f>"995-4110"</f>
        <v>995-4110</v>
      </c>
    </row>
    <row r="1776" spans="1:10" x14ac:dyDescent="0.3">
      <c r="A1776" t="str">
        <f>""</f>
        <v/>
      </c>
      <c r="F1776" t="s">
        <v>10</v>
      </c>
      <c r="G1776" t="str">
        <f>"12000"</f>
        <v>12000</v>
      </c>
      <c r="H1776" t="str">
        <f>"SERVICE 03/06/2017"</f>
        <v>SERVICE 03/06/2017</v>
      </c>
      <c r="I1776" s="2">
        <v>150</v>
      </c>
      <c r="J1776" t="str">
        <f>"SERVICE 03/06/2017"</f>
        <v>SERVICE 03/06/2017</v>
      </c>
    </row>
    <row r="1777" spans="1:10" x14ac:dyDescent="0.3">
      <c r="A1777" t="str">
        <f>""</f>
        <v/>
      </c>
      <c r="F1777" t="s">
        <v>10</v>
      </c>
      <c r="G1777" t="str">
        <f>"12065"</f>
        <v>12065</v>
      </c>
      <c r="H1777" t="str">
        <f>"SERVICE 03/08/2017"</f>
        <v>SERVICE 03/08/2017</v>
      </c>
      <c r="I1777" s="2">
        <v>75</v>
      </c>
      <c r="J1777" t="str">
        <f>"SERVICE 03/08/2017"</f>
        <v>SERVICE 03/08/2017</v>
      </c>
    </row>
    <row r="1778" spans="1:10" x14ac:dyDescent="0.3">
      <c r="A1778" t="str">
        <f>""</f>
        <v/>
      </c>
      <c r="F1778" t="s">
        <v>10</v>
      </c>
      <c r="G1778" t="str">
        <f>"12370"</f>
        <v>12370</v>
      </c>
      <c r="H1778" t="str">
        <f>"SERVICE-3/14/2017"</f>
        <v>SERVICE-3/14/2017</v>
      </c>
      <c r="I1778" s="2">
        <v>300</v>
      </c>
      <c r="J1778" t="str">
        <f>"SERVICE-3/14/2017"</f>
        <v>SERVICE-3/14/2017</v>
      </c>
    </row>
    <row r="1779" spans="1:10" x14ac:dyDescent="0.3">
      <c r="A1779" t="str">
        <f>""</f>
        <v/>
      </c>
      <c r="F1779" t="s">
        <v>10</v>
      </c>
      <c r="G1779" t="str">
        <f>"12414"</f>
        <v>12414</v>
      </c>
      <c r="H1779" t="str">
        <f>"SERVICE 03/07/2017"</f>
        <v>SERVICE 03/07/2017</v>
      </c>
      <c r="I1779" s="2">
        <v>150</v>
      </c>
      <c r="J1779" t="str">
        <f>"SERVICE 03/07/2017"</f>
        <v>SERVICE 03/07/2017</v>
      </c>
    </row>
    <row r="1780" spans="1:10" x14ac:dyDescent="0.3">
      <c r="A1780" t="str">
        <f>"002337"</f>
        <v>002337</v>
      </c>
      <c r="B1780" t="s">
        <v>495</v>
      </c>
      <c r="C1780">
        <v>71316</v>
      </c>
      <c r="D1780" s="2">
        <v>270</v>
      </c>
      <c r="E1780" s="1">
        <v>42912</v>
      </c>
      <c r="F1780" t="s">
        <v>10</v>
      </c>
      <c r="G1780" t="str">
        <f>"12440"</f>
        <v>12440</v>
      </c>
      <c r="H1780" t="str">
        <f>"SERVICE-3/24/17"</f>
        <v>SERVICE-3/24/17</v>
      </c>
      <c r="I1780" s="2">
        <v>75</v>
      </c>
      <c r="J1780" t="str">
        <f>"SERVICE-3/24/17"</f>
        <v>SERVICE-3/24/17</v>
      </c>
    </row>
    <row r="1781" spans="1:10" x14ac:dyDescent="0.3">
      <c r="A1781" t="str">
        <f>""</f>
        <v/>
      </c>
      <c r="F1781" t="s">
        <v>10</v>
      </c>
      <c r="G1781" t="str">
        <f>"12636"</f>
        <v>12636</v>
      </c>
      <c r="H1781" t="str">
        <f>"SERVICE-4/4/17"</f>
        <v>SERVICE-4/4/17</v>
      </c>
      <c r="I1781" s="2">
        <v>75</v>
      </c>
      <c r="J1781" t="str">
        <f>"SERVICE-4/4/17"</f>
        <v>SERVICE-4/4/17</v>
      </c>
    </row>
    <row r="1782" spans="1:10" x14ac:dyDescent="0.3">
      <c r="A1782" t="str">
        <f>""</f>
        <v/>
      </c>
      <c r="F1782" t="s">
        <v>10</v>
      </c>
      <c r="G1782" t="str">
        <f>"6925"</f>
        <v>6925</v>
      </c>
      <c r="H1782" t="str">
        <f>"SERVICE-3/24/2017"</f>
        <v>SERVICE-3/24/2017</v>
      </c>
      <c r="I1782" s="2">
        <v>120</v>
      </c>
      <c r="J1782" t="str">
        <f>"SERVICE-3/24/2017"</f>
        <v>SERVICE-3/24/2017</v>
      </c>
    </row>
    <row r="1783" spans="1:10" x14ac:dyDescent="0.3">
      <c r="A1783" t="str">
        <f>"T6199"</f>
        <v>T6199</v>
      </c>
      <c r="B1783" t="s">
        <v>497</v>
      </c>
      <c r="C1783">
        <v>71043</v>
      </c>
      <c r="D1783" s="2">
        <v>100</v>
      </c>
      <c r="E1783" s="1">
        <v>42898</v>
      </c>
      <c r="F1783" t="s">
        <v>10</v>
      </c>
      <c r="G1783" t="str">
        <f>"TRAINING/K.STEIN"</f>
        <v>TRAINING/K.STEIN</v>
      </c>
      <c r="H1783" t="str">
        <f>"TRAINING"</f>
        <v>TRAINING</v>
      </c>
      <c r="I1783" s="2">
        <v>100</v>
      </c>
    </row>
    <row r="1784" spans="1:10" x14ac:dyDescent="0.3">
      <c r="A1784" t="str">
        <f>"002944"</f>
        <v>002944</v>
      </c>
      <c r="B1784" t="s">
        <v>498</v>
      </c>
      <c r="C1784">
        <v>70893</v>
      </c>
      <c r="D1784" s="2">
        <v>1692.45</v>
      </c>
      <c r="E1784" s="1">
        <v>42898</v>
      </c>
      <c r="F1784" t="s">
        <v>10</v>
      </c>
      <c r="G1784" t="str">
        <f>"655176"</f>
        <v>655176</v>
      </c>
      <c r="H1784" t="str">
        <f>"INV 655176/UNIT 81"</f>
        <v>INV 655176/UNIT 81</v>
      </c>
      <c r="I1784" s="2">
        <v>518.76</v>
      </c>
      <c r="J1784" t="str">
        <f>"INV 655176/UNIT 81"</f>
        <v>INV 655176/UNIT 81</v>
      </c>
    </row>
    <row r="1785" spans="1:10" x14ac:dyDescent="0.3">
      <c r="A1785" t="str">
        <f>""</f>
        <v/>
      </c>
      <c r="F1785" t="s">
        <v>10</v>
      </c>
      <c r="G1785" t="str">
        <f>"655177"</f>
        <v>655177</v>
      </c>
      <c r="H1785" t="str">
        <f>"INV 655177/UNIT 0124"</f>
        <v>INV 655177/UNIT 0124</v>
      </c>
      <c r="I1785" s="2">
        <v>521.64</v>
      </c>
      <c r="J1785" t="str">
        <f>"INV 655177/UNIT 0124"</f>
        <v>INV 655177/UNIT 0124</v>
      </c>
    </row>
    <row r="1786" spans="1:10" x14ac:dyDescent="0.3">
      <c r="A1786" t="str">
        <f>""</f>
        <v/>
      </c>
      <c r="F1786" t="s">
        <v>10</v>
      </c>
      <c r="G1786" t="str">
        <f>"655178"</f>
        <v>655178</v>
      </c>
      <c r="H1786" t="str">
        <f>"UNIT 3804"</f>
        <v>UNIT 3804</v>
      </c>
      <c r="I1786" s="2">
        <v>521.64</v>
      </c>
      <c r="J1786" t="str">
        <f>"UNIT 3804"</f>
        <v>UNIT 3804</v>
      </c>
    </row>
    <row r="1787" spans="1:10" x14ac:dyDescent="0.3">
      <c r="A1787" t="str">
        <f>""</f>
        <v/>
      </c>
      <c r="F1787" t="s">
        <v>10</v>
      </c>
      <c r="G1787" t="str">
        <f>"655179"</f>
        <v>655179</v>
      </c>
      <c r="H1787" t="str">
        <f>"INV 655179/ UNIT 0127"</f>
        <v>INV 655179/ UNIT 0127</v>
      </c>
      <c r="I1787" s="2">
        <v>130.41</v>
      </c>
      <c r="J1787" t="str">
        <f>"INV 655179/ UNIT 0127"</f>
        <v>INV 655179/ UNIT 0127</v>
      </c>
    </row>
    <row r="1788" spans="1:10" x14ac:dyDescent="0.3">
      <c r="A1788" t="str">
        <f>"002944"</f>
        <v>002944</v>
      </c>
      <c r="B1788" t="s">
        <v>498</v>
      </c>
      <c r="C1788">
        <v>71228</v>
      </c>
      <c r="D1788" s="2">
        <v>1165.29</v>
      </c>
      <c r="E1788" s="1">
        <v>42912</v>
      </c>
      <c r="F1788" t="s">
        <v>10</v>
      </c>
      <c r="G1788" t="str">
        <f>"644989"</f>
        <v>644989</v>
      </c>
      <c r="H1788" t="str">
        <f>"INV 644989/UNIT 1669"</f>
        <v>INV 644989/UNIT 1669</v>
      </c>
      <c r="I1788" s="2">
        <v>521.64</v>
      </c>
      <c r="J1788" t="str">
        <f>"INV 644989/UNIT 1669"</f>
        <v>INV 644989/UNIT 1669</v>
      </c>
    </row>
    <row r="1789" spans="1:10" x14ac:dyDescent="0.3">
      <c r="A1789" t="str">
        <f>""</f>
        <v/>
      </c>
      <c r="F1789" t="s">
        <v>10</v>
      </c>
      <c r="G1789" t="str">
        <f>"659940"</f>
        <v>659940</v>
      </c>
      <c r="H1789" t="str">
        <f>"INV 659940/UNIT 1631&amp;5350"</f>
        <v>INV 659940/UNIT 1631&amp;5350</v>
      </c>
      <c r="I1789" s="2">
        <v>643.65</v>
      </c>
      <c r="J1789" t="str">
        <f>"INV 659940/UNIT 5350"</f>
        <v>INV 659940/UNIT 5350</v>
      </c>
    </row>
    <row r="1790" spans="1:10" x14ac:dyDescent="0.3">
      <c r="A1790" t="str">
        <f>""</f>
        <v/>
      </c>
      <c r="G1790" t="str">
        <f>""</f>
        <v/>
      </c>
      <c r="H1790" t="str">
        <f>""</f>
        <v/>
      </c>
      <c r="J1790" t="str">
        <f>"INV 659940/UNIT 1631"</f>
        <v>INV 659940/UNIT 1631</v>
      </c>
    </row>
    <row r="1791" spans="1:10" x14ac:dyDescent="0.3">
      <c r="A1791" t="str">
        <f>"003883"</f>
        <v>003883</v>
      </c>
      <c r="B1791" t="s">
        <v>499</v>
      </c>
      <c r="C1791">
        <v>71044</v>
      </c>
      <c r="D1791" s="2">
        <v>400</v>
      </c>
      <c r="E1791" s="1">
        <v>42898</v>
      </c>
      <c r="F1791" t="s">
        <v>10</v>
      </c>
      <c r="G1791" t="str">
        <f>"201706052652"</f>
        <v>201706052652</v>
      </c>
      <c r="H1791" t="str">
        <f t="shared" ref="H1791:H1798" si="13">"FERAL HOGS"</f>
        <v>FERAL HOGS</v>
      </c>
      <c r="I1791" s="2">
        <v>95</v>
      </c>
      <c r="J1791" t="str">
        <f t="shared" ref="J1791:J1798" si="14">"FERAL HOGS"</f>
        <v>FERAL HOGS</v>
      </c>
    </row>
    <row r="1792" spans="1:10" x14ac:dyDescent="0.3">
      <c r="A1792" t="str">
        <f>""</f>
        <v/>
      </c>
      <c r="F1792" t="s">
        <v>10</v>
      </c>
      <c r="G1792" t="str">
        <f>"201706052653"</f>
        <v>201706052653</v>
      </c>
      <c r="H1792" t="str">
        <f t="shared" si="13"/>
        <v>FERAL HOGS</v>
      </c>
      <c r="I1792" s="2">
        <v>70</v>
      </c>
      <c r="J1792" t="str">
        <f t="shared" si="14"/>
        <v>FERAL HOGS</v>
      </c>
    </row>
    <row r="1793" spans="1:10" x14ac:dyDescent="0.3">
      <c r="A1793" t="str">
        <f>""</f>
        <v/>
      </c>
      <c r="F1793" t="s">
        <v>10</v>
      </c>
      <c r="G1793" t="str">
        <f>"201706052654"</f>
        <v>201706052654</v>
      </c>
      <c r="H1793" t="str">
        <f t="shared" si="13"/>
        <v>FERAL HOGS</v>
      </c>
      <c r="I1793" s="2">
        <v>35</v>
      </c>
      <c r="J1793" t="str">
        <f t="shared" si="14"/>
        <v>FERAL HOGS</v>
      </c>
    </row>
    <row r="1794" spans="1:10" x14ac:dyDescent="0.3">
      <c r="A1794" t="str">
        <f>""</f>
        <v/>
      </c>
      <c r="F1794" t="s">
        <v>10</v>
      </c>
      <c r="G1794" t="str">
        <f>"201706052655"</f>
        <v>201706052655</v>
      </c>
      <c r="H1794" t="str">
        <f t="shared" si="13"/>
        <v>FERAL HOGS</v>
      </c>
      <c r="I1794" s="2">
        <v>130</v>
      </c>
      <c r="J1794" t="str">
        <f t="shared" si="14"/>
        <v>FERAL HOGS</v>
      </c>
    </row>
    <row r="1795" spans="1:10" x14ac:dyDescent="0.3">
      <c r="A1795" t="str">
        <f>""</f>
        <v/>
      </c>
      <c r="F1795" t="s">
        <v>10</v>
      </c>
      <c r="G1795" t="str">
        <f>"201706073018"</f>
        <v>201706073018</v>
      </c>
      <c r="H1795" t="str">
        <f t="shared" si="13"/>
        <v>FERAL HOGS</v>
      </c>
      <c r="I1795" s="2">
        <v>15</v>
      </c>
      <c r="J1795" t="str">
        <f t="shared" si="14"/>
        <v>FERAL HOGS</v>
      </c>
    </row>
    <row r="1796" spans="1:10" x14ac:dyDescent="0.3">
      <c r="A1796" t="str">
        <f>""</f>
        <v/>
      </c>
      <c r="F1796" t="s">
        <v>10</v>
      </c>
      <c r="G1796" t="str">
        <f>"201706073019"</f>
        <v>201706073019</v>
      </c>
      <c r="H1796" t="str">
        <f t="shared" si="13"/>
        <v>FERAL HOGS</v>
      </c>
      <c r="I1796" s="2">
        <v>40</v>
      </c>
      <c r="J1796" t="str">
        <f t="shared" si="14"/>
        <v>FERAL HOGS</v>
      </c>
    </row>
    <row r="1797" spans="1:10" x14ac:dyDescent="0.3">
      <c r="A1797" t="str">
        <f>""</f>
        <v/>
      </c>
      <c r="F1797" t="s">
        <v>10</v>
      </c>
      <c r="G1797" t="str">
        <f>"201706073020"</f>
        <v>201706073020</v>
      </c>
      <c r="H1797" t="str">
        <f t="shared" si="13"/>
        <v>FERAL HOGS</v>
      </c>
      <c r="I1797" s="2">
        <v>5</v>
      </c>
      <c r="J1797" t="str">
        <f t="shared" si="14"/>
        <v>FERAL HOGS</v>
      </c>
    </row>
    <row r="1798" spans="1:10" x14ac:dyDescent="0.3">
      <c r="A1798" t="str">
        <f>""</f>
        <v/>
      </c>
      <c r="F1798" t="s">
        <v>10</v>
      </c>
      <c r="G1798" t="str">
        <f>"201706073021"</f>
        <v>201706073021</v>
      </c>
      <c r="H1798" t="str">
        <f t="shared" si="13"/>
        <v>FERAL HOGS</v>
      </c>
      <c r="I1798" s="2">
        <v>10</v>
      </c>
      <c r="J1798" t="str">
        <f t="shared" si="14"/>
        <v>FERAL HOGS</v>
      </c>
    </row>
    <row r="1799" spans="1:10" x14ac:dyDescent="0.3">
      <c r="A1799" t="str">
        <f>"003421"</f>
        <v>003421</v>
      </c>
      <c r="B1799" t="s">
        <v>500</v>
      </c>
      <c r="C1799">
        <v>71045</v>
      </c>
      <c r="D1799" s="2">
        <v>597</v>
      </c>
      <c r="E1799" s="1">
        <v>42898</v>
      </c>
      <c r="F1799" t="s">
        <v>10</v>
      </c>
      <c r="G1799" t="str">
        <f>"108931064"</f>
        <v>108931064</v>
      </c>
      <c r="H1799" t="str">
        <f>"VIDEO MONITOR"</f>
        <v>VIDEO MONITOR</v>
      </c>
      <c r="I1799" s="2">
        <v>597</v>
      </c>
      <c r="J1799" t="str">
        <f>"VIDEO MONITOR"</f>
        <v>VIDEO MONITOR</v>
      </c>
    </row>
    <row r="1800" spans="1:10" x14ac:dyDescent="0.3">
      <c r="A1800" t="str">
        <f>"005123"</f>
        <v>005123</v>
      </c>
      <c r="B1800" t="s">
        <v>501</v>
      </c>
      <c r="C1800">
        <v>71317</v>
      </c>
      <c r="D1800" s="2">
        <v>78147.73</v>
      </c>
      <c r="E1800" s="1">
        <v>42912</v>
      </c>
      <c r="F1800" t="s">
        <v>10</v>
      </c>
      <c r="G1800" t="str">
        <f>"7151223631"</f>
        <v>7151223631</v>
      </c>
      <c r="H1800" t="str">
        <f>"ACCT # 533569 / P3"</f>
        <v>ACCT # 533569 / P3</v>
      </c>
      <c r="I1800" s="2">
        <v>25780.799999999999</v>
      </c>
      <c r="J1800" t="str">
        <f>"ACCT # 533569 / P3"</f>
        <v>ACCT # 533569 / P3</v>
      </c>
    </row>
    <row r="1801" spans="1:10" x14ac:dyDescent="0.3">
      <c r="A1801" t="str">
        <f>""</f>
        <v/>
      </c>
      <c r="F1801" t="s">
        <v>10</v>
      </c>
      <c r="G1801" t="str">
        <f>"7151223719"</f>
        <v>7151223719</v>
      </c>
      <c r="H1801" t="str">
        <f>"ACCT # 533569 / P3"</f>
        <v>ACCT # 533569 / P3</v>
      </c>
      <c r="I1801" s="2">
        <v>20469.599999999999</v>
      </c>
      <c r="J1801" t="str">
        <f>"ACCT # 533569 / P3"</f>
        <v>ACCT # 533569 / P3</v>
      </c>
    </row>
    <row r="1802" spans="1:10" x14ac:dyDescent="0.3">
      <c r="A1802" t="str">
        <f>""</f>
        <v/>
      </c>
      <c r="F1802" t="s">
        <v>10</v>
      </c>
      <c r="G1802" t="str">
        <f>"7151223720"</f>
        <v>7151223720</v>
      </c>
      <c r="H1802" t="str">
        <f>"ACCT # 533569 / P3"</f>
        <v>ACCT # 533569 / P3</v>
      </c>
      <c r="I1802" s="2">
        <v>31897.33</v>
      </c>
      <c r="J1802" t="str">
        <f>"ACCT # 533569 / P3"</f>
        <v>ACCT # 533569 / P3</v>
      </c>
    </row>
    <row r="1803" spans="1:10" x14ac:dyDescent="0.3">
      <c r="A1803" t="str">
        <f>"TRIPLE"</f>
        <v>TRIPLE</v>
      </c>
      <c r="B1803" t="s">
        <v>502</v>
      </c>
      <c r="C1803">
        <v>71046</v>
      </c>
      <c r="D1803" s="2">
        <v>4105.9399999999996</v>
      </c>
      <c r="E1803" s="1">
        <v>42898</v>
      </c>
      <c r="F1803" t="s">
        <v>10</v>
      </c>
      <c r="G1803" t="str">
        <f>"0007667-IN"</f>
        <v>0007667-IN</v>
      </c>
      <c r="H1803" t="str">
        <f>"ACCT#0009087 PCT#4"</f>
        <v>ACCT#0009087 PCT#4</v>
      </c>
      <c r="I1803" s="2">
        <v>3930.78</v>
      </c>
      <c r="J1803" t="str">
        <f>"ACCT#0009087 PCT#4"</f>
        <v>ACCT#0009087 PCT#4</v>
      </c>
    </row>
    <row r="1804" spans="1:10" x14ac:dyDescent="0.3">
      <c r="A1804" t="str">
        <f>""</f>
        <v/>
      </c>
      <c r="F1804" t="s">
        <v>10</v>
      </c>
      <c r="G1804" t="str">
        <f>"0008351-IN"</f>
        <v>0008351-IN</v>
      </c>
      <c r="H1804" t="str">
        <f>"RED DIESELIN0008351-IN"</f>
        <v>RED DIESELIN0008351-IN</v>
      </c>
      <c r="I1804" s="2">
        <v>175.16</v>
      </c>
      <c r="J1804" t="str">
        <f>"RED DIESELIN0008351-IN"</f>
        <v>RED DIESELIN0008351-IN</v>
      </c>
    </row>
    <row r="1805" spans="1:10" x14ac:dyDescent="0.3">
      <c r="A1805" t="str">
        <f>"TRIPLE"</f>
        <v>TRIPLE</v>
      </c>
      <c r="B1805" t="s">
        <v>502</v>
      </c>
      <c r="C1805">
        <v>71318</v>
      </c>
      <c r="D1805" s="2">
        <v>16445.66</v>
      </c>
      <c r="E1805" s="1">
        <v>42912</v>
      </c>
      <c r="F1805" t="s">
        <v>10</v>
      </c>
      <c r="G1805" t="str">
        <f>"0008400-IN"</f>
        <v>0008400-IN</v>
      </c>
      <c r="H1805" t="str">
        <f>"CUST#0009084/DIESEL/PCT#1"</f>
        <v>CUST#0009084/DIESEL/PCT#1</v>
      </c>
      <c r="I1805" s="2">
        <v>4956.3599999999997</v>
      </c>
      <c r="J1805" t="str">
        <f>"CUST#0009084/DIESEL/PCT#1"</f>
        <v>CUST#0009084/DIESEL/PCT#1</v>
      </c>
    </row>
    <row r="1806" spans="1:10" x14ac:dyDescent="0.3">
      <c r="A1806" t="str">
        <f>""</f>
        <v/>
      </c>
      <c r="F1806" t="s">
        <v>10</v>
      </c>
      <c r="G1806" t="str">
        <f>"0009204-IN"</f>
        <v>0009204-IN</v>
      </c>
      <c r="H1806" t="str">
        <f>"CUST#0009087/DIESEL/PCT#4"</f>
        <v>CUST#0009087/DIESEL/PCT#4</v>
      </c>
      <c r="I1806" s="2">
        <v>3711.07</v>
      </c>
      <c r="J1806" t="str">
        <f>"CUST#0009087/DIESEL/PCT#4"</f>
        <v>CUST#0009087/DIESEL/PCT#4</v>
      </c>
    </row>
    <row r="1807" spans="1:10" x14ac:dyDescent="0.3">
      <c r="A1807" t="str">
        <f>""</f>
        <v/>
      </c>
      <c r="F1807" t="s">
        <v>10</v>
      </c>
      <c r="G1807" t="str">
        <f>"201706193138"</f>
        <v>201706193138</v>
      </c>
      <c r="H1807" t="str">
        <f>"ACCT#0009085/FUEL/PCT#2"</f>
        <v>ACCT#0009085/FUEL/PCT#2</v>
      </c>
      <c r="I1807" s="2">
        <v>7778.23</v>
      </c>
      <c r="J1807" t="str">
        <f>"ACCT#0009085/FUEL/PCT#2"</f>
        <v>ACCT#0009085/FUEL/PCT#2</v>
      </c>
    </row>
    <row r="1808" spans="1:10" x14ac:dyDescent="0.3">
      <c r="A1808" t="str">
        <f>"TRACTO"</f>
        <v>TRACTO</v>
      </c>
      <c r="B1808" t="s">
        <v>503</v>
      </c>
      <c r="C1808">
        <v>71047</v>
      </c>
      <c r="D1808" s="2">
        <v>1071.08</v>
      </c>
      <c r="E1808" s="1">
        <v>42898</v>
      </c>
      <c r="F1808" t="s">
        <v>10</v>
      </c>
      <c r="G1808" t="str">
        <f>"TSC CC  5/21/17"</f>
        <v>TSC CC  5/21/17</v>
      </c>
      <c r="H1808" t="str">
        <f>"Acct#603530120016098"</f>
        <v>Acct#603530120016098</v>
      </c>
      <c r="I1808" s="2">
        <v>1071.08</v>
      </c>
      <c r="J1808" t="str">
        <f>"Credit"</f>
        <v>Credit</v>
      </c>
    </row>
    <row r="1809" spans="1:10" x14ac:dyDescent="0.3">
      <c r="A1809" t="str">
        <f>""</f>
        <v/>
      </c>
      <c r="G1809" t="str">
        <f>""</f>
        <v/>
      </c>
      <c r="H1809" t="str">
        <f>""</f>
        <v/>
      </c>
      <c r="J1809" t="str">
        <f>"INV# 100503941"</f>
        <v>INV# 100503941</v>
      </c>
    </row>
    <row r="1810" spans="1:10" x14ac:dyDescent="0.3">
      <c r="A1810" t="str">
        <f>""</f>
        <v/>
      </c>
      <c r="G1810" t="str">
        <f>""</f>
        <v/>
      </c>
      <c r="H1810" t="str">
        <f>""</f>
        <v/>
      </c>
      <c r="J1810" t="str">
        <f>"INV# 300394962"</f>
        <v>INV# 300394962</v>
      </c>
    </row>
    <row r="1811" spans="1:10" x14ac:dyDescent="0.3">
      <c r="A1811" t="str">
        <f>""</f>
        <v/>
      </c>
      <c r="G1811" t="str">
        <f>""</f>
        <v/>
      </c>
      <c r="H1811" t="str">
        <f>""</f>
        <v/>
      </c>
      <c r="J1811" t="str">
        <f>"INV# 200407749"</f>
        <v>INV# 200407749</v>
      </c>
    </row>
    <row r="1812" spans="1:10" x14ac:dyDescent="0.3">
      <c r="A1812" t="str">
        <f>""</f>
        <v/>
      </c>
      <c r="G1812" t="str">
        <f>""</f>
        <v/>
      </c>
      <c r="H1812" t="str">
        <f>""</f>
        <v/>
      </c>
      <c r="J1812" t="str">
        <f>"INV# 200407749"</f>
        <v>INV# 200407749</v>
      </c>
    </row>
    <row r="1813" spans="1:10" x14ac:dyDescent="0.3">
      <c r="A1813" t="str">
        <f>""</f>
        <v/>
      </c>
      <c r="G1813" t="str">
        <f>""</f>
        <v/>
      </c>
      <c r="H1813" t="str">
        <f>""</f>
        <v/>
      </c>
      <c r="J1813" t="str">
        <f>"INV# 200405380"</f>
        <v>INV# 200405380</v>
      </c>
    </row>
    <row r="1814" spans="1:10" x14ac:dyDescent="0.3">
      <c r="A1814" t="str">
        <f>""</f>
        <v/>
      </c>
      <c r="G1814" t="str">
        <f>""</f>
        <v/>
      </c>
      <c r="H1814" t="str">
        <f>""</f>
        <v/>
      </c>
      <c r="J1814" t="str">
        <f>"INV# 100507365"</f>
        <v>INV# 100507365</v>
      </c>
    </row>
    <row r="1815" spans="1:10" x14ac:dyDescent="0.3">
      <c r="A1815" t="str">
        <f>""</f>
        <v/>
      </c>
      <c r="G1815" t="str">
        <f>""</f>
        <v/>
      </c>
      <c r="H1815" t="str">
        <f>""</f>
        <v/>
      </c>
      <c r="J1815" t="str">
        <f>"INV# 100502408"</f>
        <v>INV# 100502408</v>
      </c>
    </row>
    <row r="1816" spans="1:10" x14ac:dyDescent="0.3">
      <c r="A1816" t="str">
        <f>""</f>
        <v/>
      </c>
      <c r="G1816" t="str">
        <f>""</f>
        <v/>
      </c>
      <c r="H1816" t="str">
        <f>""</f>
        <v/>
      </c>
      <c r="J1816" t="str">
        <f>"INV# 200407767"</f>
        <v>INV# 200407767</v>
      </c>
    </row>
    <row r="1817" spans="1:10" x14ac:dyDescent="0.3">
      <c r="A1817" t="str">
        <f>""</f>
        <v/>
      </c>
      <c r="G1817" t="str">
        <f>""</f>
        <v/>
      </c>
      <c r="H1817" t="str">
        <f>""</f>
        <v/>
      </c>
      <c r="J1817" t="str">
        <f>"INV# 100504679"</f>
        <v>INV# 100504679</v>
      </c>
    </row>
    <row r="1818" spans="1:10" x14ac:dyDescent="0.3">
      <c r="A1818" t="str">
        <f>""</f>
        <v/>
      </c>
      <c r="G1818" t="str">
        <f>""</f>
        <v/>
      </c>
      <c r="H1818" t="str">
        <f>""</f>
        <v/>
      </c>
      <c r="J1818" t="str">
        <f>"INV# 100506293"</f>
        <v>INV# 100506293</v>
      </c>
    </row>
    <row r="1819" spans="1:10" x14ac:dyDescent="0.3">
      <c r="A1819" t="str">
        <f>"002940"</f>
        <v>002940</v>
      </c>
      <c r="B1819" t="s">
        <v>504</v>
      </c>
      <c r="C1819">
        <v>71319</v>
      </c>
      <c r="D1819" s="2">
        <v>610</v>
      </c>
      <c r="E1819" s="1">
        <v>42912</v>
      </c>
      <c r="F1819" t="s">
        <v>10</v>
      </c>
      <c r="G1819" t="str">
        <f>"4407"</f>
        <v>4407</v>
      </c>
      <c r="H1819" t="str">
        <f>"2017 SUMMMIT REGISTRATION"</f>
        <v>2017 SUMMMIT REGISTRATION</v>
      </c>
      <c r="I1819" s="2">
        <v>610</v>
      </c>
      <c r="J1819" t="str">
        <f>"2017 SUMMMIT REGISTRATION"</f>
        <v>2017 SUMMMIT REGISTRATION</v>
      </c>
    </row>
    <row r="1820" spans="1:10" x14ac:dyDescent="0.3">
      <c r="A1820" t="str">
        <f>"TULL"</f>
        <v>TULL</v>
      </c>
      <c r="B1820" t="s">
        <v>505</v>
      </c>
      <c r="C1820">
        <v>71048</v>
      </c>
      <c r="D1820" s="2">
        <v>1250</v>
      </c>
      <c r="E1820" s="1">
        <v>42898</v>
      </c>
      <c r="F1820" t="s">
        <v>10</v>
      </c>
      <c r="G1820" t="str">
        <f>"201706012548"</f>
        <v>201706012548</v>
      </c>
      <c r="H1820" t="str">
        <f>"15977/15978"</f>
        <v>15977/15978</v>
      </c>
      <c r="I1820" s="2">
        <v>600</v>
      </c>
      <c r="J1820" t="str">
        <f>"15977/15978"</f>
        <v>15977/15978</v>
      </c>
    </row>
    <row r="1821" spans="1:10" x14ac:dyDescent="0.3">
      <c r="A1821" t="str">
        <f>""</f>
        <v/>
      </c>
      <c r="F1821" t="s">
        <v>10</v>
      </c>
      <c r="G1821" t="str">
        <f>"201706012549"</f>
        <v>201706012549</v>
      </c>
      <c r="H1821" t="str">
        <f>"16-5-05759"</f>
        <v>16-5-05759</v>
      </c>
      <c r="I1821" s="2">
        <v>400</v>
      </c>
      <c r="J1821" t="str">
        <f>"16-5-05759"</f>
        <v>16-5-05759</v>
      </c>
    </row>
    <row r="1822" spans="1:10" x14ac:dyDescent="0.3">
      <c r="A1822" t="str">
        <f>""</f>
        <v/>
      </c>
      <c r="F1822" t="s">
        <v>10</v>
      </c>
      <c r="G1822" t="str">
        <f>"201706072881"</f>
        <v>201706072881</v>
      </c>
      <c r="H1822" t="str">
        <f>"1JP8716F"</f>
        <v>1JP8716F</v>
      </c>
      <c r="I1822" s="2">
        <v>250</v>
      </c>
      <c r="J1822" t="str">
        <f>"1JP8716F"</f>
        <v>1JP8716F</v>
      </c>
    </row>
    <row r="1823" spans="1:10" x14ac:dyDescent="0.3">
      <c r="A1823" t="str">
        <f>"TULL"</f>
        <v>TULL</v>
      </c>
      <c r="B1823" t="s">
        <v>505</v>
      </c>
      <c r="C1823">
        <v>71320</v>
      </c>
      <c r="D1823" s="2">
        <v>1650</v>
      </c>
      <c r="E1823" s="1">
        <v>42912</v>
      </c>
      <c r="F1823" t="s">
        <v>10</v>
      </c>
      <c r="G1823" t="str">
        <f>"201706143068"</f>
        <v>201706143068</v>
      </c>
      <c r="H1823" t="str">
        <f>"305308017A"</f>
        <v>305308017A</v>
      </c>
      <c r="I1823" s="2">
        <v>250</v>
      </c>
      <c r="J1823" t="str">
        <f>"305308017A"</f>
        <v>305308017A</v>
      </c>
    </row>
    <row r="1824" spans="1:10" x14ac:dyDescent="0.3">
      <c r="A1824" t="str">
        <f>""</f>
        <v/>
      </c>
      <c r="F1824" t="s">
        <v>10</v>
      </c>
      <c r="G1824" t="str">
        <f>"201706143069"</f>
        <v>201706143069</v>
      </c>
      <c r="H1824" t="str">
        <f>"18 714"</f>
        <v>18 714</v>
      </c>
      <c r="I1824" s="2">
        <v>400</v>
      </c>
      <c r="J1824" t="str">
        <f>"18 714"</f>
        <v>18 714</v>
      </c>
    </row>
    <row r="1825" spans="1:10" x14ac:dyDescent="0.3">
      <c r="A1825" t="str">
        <f>""</f>
        <v/>
      </c>
      <c r="F1825" t="s">
        <v>10</v>
      </c>
      <c r="G1825" t="str">
        <f>"201706143070"</f>
        <v>201706143070</v>
      </c>
      <c r="H1825" t="str">
        <f>"16 221"</f>
        <v>16 221</v>
      </c>
      <c r="I1825" s="2">
        <v>600</v>
      </c>
      <c r="J1825" t="str">
        <f>"16 221"</f>
        <v>16 221</v>
      </c>
    </row>
    <row r="1826" spans="1:10" x14ac:dyDescent="0.3">
      <c r="A1826" t="str">
        <f>""</f>
        <v/>
      </c>
      <c r="F1826" t="s">
        <v>10</v>
      </c>
      <c r="G1826" t="str">
        <f>"201706143071"</f>
        <v>201706143071</v>
      </c>
      <c r="H1826" t="str">
        <f>"14 324"</f>
        <v>14 324</v>
      </c>
      <c r="I1826" s="2">
        <v>400</v>
      </c>
      <c r="J1826" t="str">
        <f>"14 324"</f>
        <v>14 324</v>
      </c>
    </row>
    <row r="1827" spans="1:10" x14ac:dyDescent="0.3">
      <c r="A1827" t="str">
        <f>"000723"</f>
        <v>000723</v>
      </c>
      <c r="B1827" t="s">
        <v>506</v>
      </c>
      <c r="C1827">
        <v>71049</v>
      </c>
      <c r="D1827" s="2">
        <v>100</v>
      </c>
      <c r="E1827" s="1">
        <v>42898</v>
      </c>
      <c r="F1827" t="s">
        <v>10</v>
      </c>
      <c r="G1827" t="str">
        <f>"170612REMOTE"</f>
        <v>170612REMOTE</v>
      </c>
      <c r="H1827" t="str">
        <f>"Invoice# 170612Remote"</f>
        <v>Invoice# 170612Remote</v>
      </c>
      <c r="I1827" s="2">
        <v>100</v>
      </c>
      <c r="J1827" t="str">
        <f>"Bite Stick Course"</f>
        <v>Bite Stick Course</v>
      </c>
    </row>
    <row r="1828" spans="1:10" x14ac:dyDescent="0.3">
      <c r="A1828" t="str">
        <f>""</f>
        <v/>
      </c>
      <c r="G1828" t="str">
        <f>""</f>
        <v/>
      </c>
      <c r="H1828" t="str">
        <f>""</f>
        <v/>
      </c>
      <c r="J1828" t="str">
        <f>"Dangerous Dog Course"</f>
        <v>Dangerous Dog Course</v>
      </c>
    </row>
    <row r="1829" spans="1:10" x14ac:dyDescent="0.3">
      <c r="A1829" t="str">
        <f>""</f>
        <v/>
      </c>
      <c r="G1829" t="str">
        <f>""</f>
        <v/>
      </c>
      <c r="H1829" t="str">
        <f>""</f>
        <v/>
      </c>
      <c r="J1829" t="str">
        <f>"Early REg. Discount"</f>
        <v>Early REg. Discount</v>
      </c>
    </row>
    <row r="1830" spans="1:10" x14ac:dyDescent="0.3">
      <c r="A1830" t="str">
        <f>"001013"</f>
        <v>001013</v>
      </c>
      <c r="B1830" t="s">
        <v>507</v>
      </c>
      <c r="C1830">
        <v>71050</v>
      </c>
      <c r="D1830" s="2">
        <v>150</v>
      </c>
      <c r="E1830" s="1">
        <v>42898</v>
      </c>
      <c r="F1830" t="s">
        <v>10</v>
      </c>
      <c r="G1830" t="str">
        <f>"TRAINING/T.STALCUP"</f>
        <v>TRAINING/T.STALCUP</v>
      </c>
      <c r="H1830" t="str">
        <f>"TRAINING"</f>
        <v>TRAINING</v>
      </c>
      <c r="I1830" s="2">
        <v>150</v>
      </c>
      <c r="J1830" t="str">
        <f>"TRAINING"</f>
        <v>TRAINING</v>
      </c>
    </row>
    <row r="1831" spans="1:10" x14ac:dyDescent="0.3">
      <c r="A1831" t="str">
        <f>"004370"</f>
        <v>004370</v>
      </c>
      <c r="B1831" t="s">
        <v>508</v>
      </c>
      <c r="C1831">
        <v>71051</v>
      </c>
      <c r="D1831" s="2">
        <v>410</v>
      </c>
      <c r="E1831" s="1">
        <v>42898</v>
      </c>
      <c r="F1831" t="s">
        <v>10</v>
      </c>
      <c r="G1831" t="str">
        <f>"201706052656"</f>
        <v>201706052656</v>
      </c>
      <c r="H1831" t="str">
        <f>"FERAL HOGS"</f>
        <v>FERAL HOGS</v>
      </c>
      <c r="I1831" s="2">
        <v>195</v>
      </c>
      <c r="J1831" t="str">
        <f>"FERAL HOGS"</f>
        <v>FERAL HOGS</v>
      </c>
    </row>
    <row r="1832" spans="1:10" x14ac:dyDescent="0.3">
      <c r="A1832" t="str">
        <f>""</f>
        <v/>
      </c>
      <c r="F1832" t="s">
        <v>10</v>
      </c>
      <c r="G1832" t="str">
        <f>"201706073022"</f>
        <v>201706073022</v>
      </c>
      <c r="H1832" t="str">
        <f>"FERAL HOGS"</f>
        <v>FERAL HOGS</v>
      </c>
      <c r="I1832" s="2">
        <v>215</v>
      </c>
      <c r="J1832" t="str">
        <f>"FERAL HOGS"</f>
        <v>FERAL HOGS</v>
      </c>
    </row>
    <row r="1833" spans="1:10" x14ac:dyDescent="0.3">
      <c r="A1833" t="str">
        <f>"004323"</f>
        <v>004323</v>
      </c>
      <c r="B1833" t="s">
        <v>509</v>
      </c>
      <c r="C1833">
        <v>71052</v>
      </c>
      <c r="D1833" s="2">
        <v>50</v>
      </c>
      <c r="E1833" s="1">
        <v>42898</v>
      </c>
      <c r="F1833" t="s">
        <v>10</v>
      </c>
      <c r="G1833" t="str">
        <f>"201706073023"</f>
        <v>201706073023</v>
      </c>
      <c r="H1833" t="str">
        <f>"FERAL HOGS"</f>
        <v>FERAL HOGS</v>
      </c>
      <c r="I1833" s="2">
        <v>50</v>
      </c>
      <c r="J1833" t="str">
        <f>"FERAL HOGS"</f>
        <v>FERAL HOGS</v>
      </c>
    </row>
    <row r="1834" spans="1:10" x14ac:dyDescent="0.3">
      <c r="A1834" t="str">
        <f>"TYLER"</f>
        <v>TYLER</v>
      </c>
      <c r="B1834" t="s">
        <v>510</v>
      </c>
      <c r="C1834">
        <v>71053</v>
      </c>
      <c r="D1834" s="2">
        <v>10202.5</v>
      </c>
      <c r="E1834" s="1">
        <v>42898</v>
      </c>
      <c r="F1834" t="s">
        <v>10</v>
      </c>
      <c r="G1834" t="str">
        <f>"020-12452"</f>
        <v>020-12452</v>
      </c>
      <c r="H1834" t="str">
        <f>"CONTRACT/SOFTWARE"</f>
        <v>CONTRACT/SOFTWARE</v>
      </c>
      <c r="I1834" s="2">
        <v>8500</v>
      </c>
      <c r="J1834" t="str">
        <f>"CONTRACT/SOFTWARE"</f>
        <v>CONTRACT/SOFTWARE</v>
      </c>
    </row>
    <row r="1835" spans="1:10" x14ac:dyDescent="0.3">
      <c r="A1835" t="str">
        <f>""</f>
        <v/>
      </c>
      <c r="F1835" t="s">
        <v>10</v>
      </c>
      <c r="G1835" t="str">
        <f>"020-12543"</f>
        <v>020-12543</v>
      </c>
      <c r="H1835" t="str">
        <f>"PROJECT MGMT/ODYSSEY"</f>
        <v>PROJECT MGMT/ODYSSEY</v>
      </c>
      <c r="I1835" s="2">
        <v>170</v>
      </c>
      <c r="J1835" t="str">
        <f>"PROJECT MGMT/ODYSSEY"</f>
        <v>PROJECT MGMT/ODYSSEY</v>
      </c>
    </row>
    <row r="1836" spans="1:10" x14ac:dyDescent="0.3">
      <c r="A1836" t="str">
        <f>""</f>
        <v/>
      </c>
      <c r="F1836" t="s">
        <v>10</v>
      </c>
      <c r="G1836" t="str">
        <f>"020-13153"</f>
        <v>020-13153</v>
      </c>
      <c r="H1836" t="str">
        <f>"ODYSSEY APPEALS/SETUP CONFIG"</f>
        <v>ODYSSEY APPEALS/SETUP CONFIG</v>
      </c>
      <c r="I1836" s="2">
        <v>1007.5</v>
      </c>
      <c r="J1836" t="str">
        <f>"ODYSSEY APPEALS/SETUP CONFIG"</f>
        <v>ODYSSEY APPEALS/SETUP CONFIG</v>
      </c>
    </row>
    <row r="1837" spans="1:10" x14ac:dyDescent="0.3">
      <c r="A1837" t="str">
        <f>""</f>
        <v/>
      </c>
      <c r="F1837" t="s">
        <v>10</v>
      </c>
      <c r="G1837" t="str">
        <f>"020-14257"</f>
        <v>020-14257</v>
      </c>
      <c r="H1837" t="str">
        <f>"CUST#42161/ODYSSEY MAINT"</f>
        <v>CUST#42161/ODYSSEY MAINT</v>
      </c>
      <c r="I1837" s="2">
        <v>525</v>
      </c>
      <c r="J1837" t="str">
        <f>"CUST#42161/ODYSSEY MAINT"</f>
        <v>CUST#42161/ODYSSEY MAINT</v>
      </c>
    </row>
    <row r="1838" spans="1:10" x14ac:dyDescent="0.3">
      <c r="A1838" t="str">
        <f>"TYLER"</f>
        <v>TYLER</v>
      </c>
      <c r="B1838" t="s">
        <v>510</v>
      </c>
      <c r="C1838">
        <v>71321</v>
      </c>
      <c r="D1838" s="2">
        <v>37939.25</v>
      </c>
      <c r="E1838" s="1">
        <v>42912</v>
      </c>
      <c r="F1838" t="s">
        <v>10</v>
      </c>
      <c r="G1838" t="str">
        <f>"020-14256"</f>
        <v>020-14256</v>
      </c>
      <c r="H1838" t="str">
        <f>"CUST#42161-ORD#5648-6/1/2017"</f>
        <v>CUST#42161-ORD#5648-6/1/2017</v>
      </c>
      <c r="I1838" s="2">
        <v>33922.68</v>
      </c>
      <c r="J1838" t="str">
        <f>"CUST#42161-ORD#5648-6/1/2017"</f>
        <v>CUST#42161-ORD#5648-6/1/2017</v>
      </c>
    </row>
    <row r="1839" spans="1:10" x14ac:dyDescent="0.3">
      <c r="A1839" t="str">
        <f>""</f>
        <v/>
      </c>
      <c r="F1839" t="s">
        <v>10</v>
      </c>
      <c r="G1839" t="str">
        <f>"025-189751"</f>
        <v>025-189751</v>
      </c>
      <c r="H1839" t="str">
        <f>"CUST#42161/MAINTENANCE"</f>
        <v>CUST#42161/MAINTENANCE</v>
      </c>
      <c r="I1839" s="2">
        <v>716.57</v>
      </c>
      <c r="J1839" t="str">
        <f>"CUST#42161/MAINTENANCE"</f>
        <v>CUST#42161/MAINTENANCE</v>
      </c>
    </row>
    <row r="1840" spans="1:10" x14ac:dyDescent="0.3">
      <c r="A1840" t="str">
        <f>""</f>
        <v/>
      </c>
      <c r="G1840" t="str">
        <f>""</f>
        <v/>
      </c>
      <c r="H1840" t="str">
        <f>""</f>
        <v/>
      </c>
      <c r="J1840" t="str">
        <f>"CUST#42161/MAINTENANCE"</f>
        <v>CUST#42161/MAINTENANCE</v>
      </c>
    </row>
    <row r="1841" spans="1:10" x14ac:dyDescent="0.3">
      <c r="A1841" t="str">
        <f>""</f>
        <v/>
      </c>
      <c r="F1841" t="s">
        <v>10</v>
      </c>
      <c r="G1841" t="str">
        <f>"025-192714"</f>
        <v>025-192714</v>
      </c>
      <c r="H1841" t="str">
        <f>"CUST#42161/SHERIFF'S OFFICE"</f>
        <v>CUST#42161/SHERIFF'S OFFICE</v>
      </c>
      <c r="I1841" s="2">
        <v>3300</v>
      </c>
      <c r="J1841" t="str">
        <f>"CUST#42161/SHERIFF'S OFFICE"</f>
        <v>CUST#42161/SHERIFF'S OFFICE</v>
      </c>
    </row>
    <row r="1842" spans="1:10" x14ac:dyDescent="0.3">
      <c r="A1842" t="str">
        <f>""</f>
        <v/>
      </c>
      <c r="G1842" t="str">
        <f>""</f>
        <v/>
      </c>
      <c r="H1842" t="str">
        <f>""</f>
        <v/>
      </c>
      <c r="J1842" t="str">
        <f>"CUST#42161/SHERIFF'S OFFICE"</f>
        <v>CUST#42161/SHERIFF'S OFFICE</v>
      </c>
    </row>
    <row r="1843" spans="1:10" x14ac:dyDescent="0.3">
      <c r="A1843" t="str">
        <f>"004899"</f>
        <v>004899</v>
      </c>
      <c r="B1843" t="s">
        <v>511</v>
      </c>
      <c r="C1843">
        <v>71054</v>
      </c>
      <c r="D1843" s="2">
        <v>16912.5</v>
      </c>
      <c r="E1843" s="1">
        <v>42898</v>
      </c>
      <c r="F1843" t="s">
        <v>10</v>
      </c>
      <c r="G1843" t="str">
        <f>"201706052589"</f>
        <v>201706052589</v>
      </c>
      <c r="H1843" t="str">
        <f>"CAUSE# 15 934"</f>
        <v>CAUSE# 15 934</v>
      </c>
      <c r="I1843" s="2">
        <v>16912.5</v>
      </c>
      <c r="J1843" t="str">
        <f>"CAUSE# 15 934"</f>
        <v>CAUSE# 15 934</v>
      </c>
    </row>
    <row r="1844" spans="1:10" x14ac:dyDescent="0.3">
      <c r="A1844" t="str">
        <f>"000599"</f>
        <v>000599</v>
      </c>
      <c r="B1844" t="s">
        <v>512</v>
      </c>
      <c r="C1844">
        <v>71055</v>
      </c>
      <c r="D1844" s="2">
        <v>488.89</v>
      </c>
      <c r="E1844" s="1">
        <v>42898</v>
      </c>
      <c r="F1844" t="s">
        <v>10</v>
      </c>
      <c r="G1844" t="str">
        <f>"3184620"</f>
        <v>3184620</v>
      </c>
      <c r="H1844" t="str">
        <f>"INV 3184620"</f>
        <v>INV 3184620</v>
      </c>
      <c r="I1844" s="2">
        <v>488.89</v>
      </c>
      <c r="J1844" t="str">
        <f>"INV 3184620"</f>
        <v>INV 3184620</v>
      </c>
    </row>
    <row r="1845" spans="1:10" x14ac:dyDescent="0.3">
      <c r="A1845" t="str">
        <f>"000599"</f>
        <v>000599</v>
      </c>
      <c r="B1845" t="s">
        <v>512</v>
      </c>
      <c r="C1845">
        <v>71322</v>
      </c>
      <c r="D1845" s="2">
        <v>2182.34</v>
      </c>
      <c r="E1845" s="1">
        <v>42912</v>
      </c>
      <c r="F1845" t="s">
        <v>10</v>
      </c>
      <c r="G1845" t="str">
        <f>"87012208"</f>
        <v>87012208</v>
      </c>
      <c r="H1845" t="str">
        <f>"Inv# 87012208"</f>
        <v>Inv# 87012208</v>
      </c>
      <c r="I1845" s="2">
        <v>2182.34</v>
      </c>
      <c r="J1845" t="str">
        <f>"Item# H2721"</f>
        <v>Item# H2721</v>
      </c>
    </row>
    <row r="1846" spans="1:10" x14ac:dyDescent="0.3">
      <c r="A1846" t="str">
        <f>""</f>
        <v/>
      </c>
      <c r="G1846" t="str">
        <f>""</f>
        <v/>
      </c>
      <c r="H1846" t="str">
        <f>""</f>
        <v/>
      </c>
      <c r="J1846" t="str">
        <f>"Item# H-4898"</f>
        <v>Item# H-4898</v>
      </c>
    </row>
    <row r="1847" spans="1:10" x14ac:dyDescent="0.3">
      <c r="A1847" t="str">
        <f>""</f>
        <v/>
      </c>
      <c r="G1847" t="str">
        <f>""</f>
        <v/>
      </c>
      <c r="H1847" t="str">
        <f>""</f>
        <v/>
      </c>
      <c r="J1847" t="str">
        <f>"Item# S-10757NAT"</f>
        <v>Item# S-10757NAT</v>
      </c>
    </row>
    <row r="1848" spans="1:10" x14ac:dyDescent="0.3">
      <c r="A1848" t="str">
        <f>""</f>
        <v/>
      </c>
      <c r="G1848" t="str">
        <f>""</f>
        <v/>
      </c>
      <c r="H1848" t="str">
        <f>""</f>
        <v/>
      </c>
      <c r="J1848" t="str">
        <f>"Item# S-16914"</f>
        <v>Item# S-16914</v>
      </c>
    </row>
    <row r="1849" spans="1:10" x14ac:dyDescent="0.3">
      <c r="A1849" t="str">
        <f>""</f>
        <v/>
      </c>
      <c r="G1849" t="str">
        <f>""</f>
        <v/>
      </c>
      <c r="H1849" t="str">
        <f>""</f>
        <v/>
      </c>
      <c r="J1849" t="str">
        <f>"Item# S-9943W"</f>
        <v>Item# S-9943W</v>
      </c>
    </row>
    <row r="1850" spans="1:10" x14ac:dyDescent="0.3">
      <c r="A1850" t="str">
        <f>""</f>
        <v/>
      </c>
      <c r="G1850" t="str">
        <f>""</f>
        <v/>
      </c>
      <c r="H1850" t="str">
        <f>""</f>
        <v/>
      </c>
      <c r="J1850" t="str">
        <f>"Item# S-9942W"</f>
        <v>Item# S-9942W</v>
      </c>
    </row>
    <row r="1851" spans="1:10" x14ac:dyDescent="0.3">
      <c r="A1851" t="str">
        <f>""</f>
        <v/>
      </c>
      <c r="G1851" t="str">
        <f>""</f>
        <v/>
      </c>
      <c r="H1851" t="str">
        <f>""</f>
        <v/>
      </c>
      <c r="J1851" t="str">
        <f>"Item# H-750"</f>
        <v>Item# H-750</v>
      </c>
    </row>
    <row r="1852" spans="1:10" x14ac:dyDescent="0.3">
      <c r="A1852" t="str">
        <f>""</f>
        <v/>
      </c>
      <c r="G1852" t="str">
        <f>""</f>
        <v/>
      </c>
      <c r="H1852" t="str">
        <f>""</f>
        <v/>
      </c>
      <c r="J1852" t="str">
        <f>"SHIPPING"</f>
        <v>SHIPPING</v>
      </c>
    </row>
    <row r="1853" spans="1:10" x14ac:dyDescent="0.3">
      <c r="A1853" t="str">
        <f>"T5739"</f>
        <v>T5739</v>
      </c>
      <c r="B1853" t="s">
        <v>513</v>
      </c>
      <c r="C1853">
        <v>71323</v>
      </c>
      <c r="D1853" s="2">
        <v>1115.93</v>
      </c>
      <c r="E1853" s="1">
        <v>42912</v>
      </c>
      <c r="F1853" t="s">
        <v>10</v>
      </c>
      <c r="G1853" t="str">
        <f>"56791714-00"</f>
        <v>56791714-00</v>
      </c>
      <c r="H1853" t="str">
        <f>"INV56791714-00 AC PARTS"</f>
        <v>INV56791714-00 AC PARTS</v>
      </c>
      <c r="I1853" s="2">
        <v>791.93</v>
      </c>
      <c r="J1853" t="str">
        <f>"INV56791714-00 AC PARTS"</f>
        <v>INV56791714-00 AC PARTS</v>
      </c>
    </row>
    <row r="1854" spans="1:10" x14ac:dyDescent="0.3">
      <c r="A1854" t="str">
        <f>""</f>
        <v/>
      </c>
      <c r="F1854" t="s">
        <v>10</v>
      </c>
      <c r="G1854" t="str">
        <f>"57284566-00"</f>
        <v>57284566-00</v>
      </c>
      <c r="H1854" t="str">
        <f>"Repair in the tax office"</f>
        <v>Repair in the tax office</v>
      </c>
      <c r="I1854" s="2">
        <v>324</v>
      </c>
      <c r="J1854" t="str">
        <f>"RC50HPR"</f>
        <v>RC50HPR</v>
      </c>
    </row>
    <row r="1855" spans="1:10" x14ac:dyDescent="0.3">
      <c r="A1855" t="str">
        <f>""</f>
        <v/>
      </c>
      <c r="G1855" t="str">
        <f>""</f>
        <v/>
      </c>
      <c r="H1855" t="str">
        <f>""</f>
        <v/>
      </c>
      <c r="J1855" t="str">
        <f>"RC50HP"</f>
        <v>RC50HP</v>
      </c>
    </row>
    <row r="1856" spans="1:10" x14ac:dyDescent="0.3">
      <c r="A1856" t="str">
        <f>""</f>
        <v/>
      </c>
      <c r="G1856" t="str">
        <f>""</f>
        <v/>
      </c>
      <c r="H1856" t="str">
        <f>""</f>
        <v/>
      </c>
      <c r="J1856" t="str">
        <f>"RCFEE"</f>
        <v>RCFEE</v>
      </c>
    </row>
    <row r="1857" spans="1:10" x14ac:dyDescent="0.3">
      <c r="A1857" t="str">
        <f>""</f>
        <v/>
      </c>
      <c r="G1857" t="str">
        <f>""</f>
        <v/>
      </c>
      <c r="H1857" t="str">
        <f>""</f>
        <v/>
      </c>
      <c r="J1857" t="str">
        <f>"FLUKE902FC"</f>
        <v>FLUKE902FC</v>
      </c>
    </row>
    <row r="1858" spans="1:10" x14ac:dyDescent="0.3">
      <c r="A1858" t="str">
        <f>"T12006"</f>
        <v>T12006</v>
      </c>
      <c r="B1858" t="s">
        <v>514</v>
      </c>
      <c r="C1858">
        <v>71056</v>
      </c>
      <c r="D1858" s="2">
        <v>568.92999999999995</v>
      </c>
      <c r="E1858" s="1">
        <v>42898</v>
      </c>
      <c r="F1858" t="s">
        <v>10</v>
      </c>
      <c r="G1858" t="str">
        <f>"0008-05/31/2017"</f>
        <v>0008-05/31/2017</v>
      </c>
      <c r="H1858" t="str">
        <f>"BARNARD TIRE/BASTROP CO ENVIR"</f>
        <v>BARNARD TIRE/BASTROP CO ENVIR</v>
      </c>
      <c r="I1858" s="2">
        <v>82.95</v>
      </c>
      <c r="J1858" t="str">
        <f>"BARNARD TIRE/BASTROP CO ENVIR"</f>
        <v>BARNARD TIRE/BASTROP CO ENVIR</v>
      </c>
    </row>
    <row r="1859" spans="1:10" x14ac:dyDescent="0.3">
      <c r="A1859" t="str">
        <f>""</f>
        <v/>
      </c>
      <c r="F1859" t="s">
        <v>10</v>
      </c>
      <c r="G1859" t="str">
        <f>"0009-05/31/2017"</f>
        <v>0009-05/31/2017</v>
      </c>
      <c r="H1859" t="str">
        <f>"BARNARD TIRE/BASTROP CO PCT 1"</f>
        <v>BARNARD TIRE/BASTROP CO PCT 1</v>
      </c>
      <c r="I1859" s="2">
        <v>485.98</v>
      </c>
      <c r="J1859" t="str">
        <f>"BARNARD TIRE/BASTROP CO PCT 1"</f>
        <v>BARNARD TIRE/BASTROP CO PCT 1</v>
      </c>
    </row>
    <row r="1860" spans="1:10" x14ac:dyDescent="0.3">
      <c r="A1860" t="str">
        <f>"T12006"</f>
        <v>T12006</v>
      </c>
      <c r="B1860" t="s">
        <v>514</v>
      </c>
      <c r="C1860">
        <v>71324</v>
      </c>
      <c r="D1860" s="2">
        <v>731.99</v>
      </c>
      <c r="E1860" s="1">
        <v>42912</v>
      </c>
      <c r="F1860" t="s">
        <v>10</v>
      </c>
      <c r="G1860" t="str">
        <f>"0010 - 05312017"</f>
        <v>0010 - 05312017</v>
      </c>
      <c r="H1860" t="str">
        <f>"ACCT # 0010 - P2 - 05/31/2017"</f>
        <v>ACCT # 0010 - P2 - 05/31/2017</v>
      </c>
      <c r="I1860" s="2">
        <v>368.5</v>
      </c>
      <c r="J1860" t="str">
        <f>"ACCT # 0010 - P2 - 05/31/2017"</f>
        <v>ACCT # 0010 - P2 - 05/31/2017</v>
      </c>
    </row>
    <row r="1861" spans="1:10" x14ac:dyDescent="0.3">
      <c r="A1861" t="str">
        <f>""</f>
        <v/>
      </c>
      <c r="F1861" t="s">
        <v>10</v>
      </c>
      <c r="G1861" t="str">
        <f>"201706163134"</f>
        <v>201706163134</v>
      </c>
      <c r="H1861" t="str">
        <f>"BARNARD TIRE/PCT#3"</f>
        <v>BARNARD TIRE/PCT#3</v>
      </c>
      <c r="I1861" s="2">
        <v>183</v>
      </c>
      <c r="J1861" t="str">
        <f>"BARNARD TIRE/PCT#3"</f>
        <v>BARNARD TIRE/PCT#3</v>
      </c>
    </row>
    <row r="1862" spans="1:10" x14ac:dyDescent="0.3">
      <c r="A1862" t="str">
        <f>""</f>
        <v/>
      </c>
      <c r="F1862" t="s">
        <v>10</v>
      </c>
      <c r="G1862" t="str">
        <f>"340840"</f>
        <v>340840</v>
      </c>
      <c r="H1862" t="str">
        <f>"ACCT#1486/AUTO SERV/SIGN SHOP"</f>
        <v>ACCT#1486/AUTO SERV/SIGN SHOP</v>
      </c>
      <c r="I1862" s="2">
        <v>180.49</v>
      </c>
      <c r="J1862" t="str">
        <f>"ACCT#1486/AUTO SERV/SIGN SHOP"</f>
        <v>ACCT#1486/AUTO SERV/SIGN SHOP</v>
      </c>
    </row>
    <row r="1863" spans="1:10" x14ac:dyDescent="0.3">
      <c r="A1863" t="str">
        <f>"000775"</f>
        <v>000775</v>
      </c>
      <c r="B1863" t="s">
        <v>515</v>
      </c>
      <c r="C1863">
        <v>71325</v>
      </c>
      <c r="D1863" s="2">
        <v>113.68</v>
      </c>
      <c r="E1863" s="1">
        <v>42912</v>
      </c>
      <c r="F1863" t="s">
        <v>10</v>
      </c>
      <c r="G1863" t="str">
        <f>"000018VW63227"</f>
        <v>000018VW63227</v>
      </c>
      <c r="H1863" t="str">
        <f>"SHIPPER#18VW63/IT"</f>
        <v>SHIPPER#18VW63/IT</v>
      </c>
      <c r="I1863" s="2">
        <v>11.6</v>
      </c>
      <c r="J1863" t="str">
        <f>"SHIPPER#18VW63/IT"</f>
        <v>SHIPPER#18VW63/IT</v>
      </c>
    </row>
    <row r="1864" spans="1:10" x14ac:dyDescent="0.3">
      <c r="A1864" t="str">
        <f>""</f>
        <v/>
      </c>
      <c r="F1864" t="s">
        <v>10</v>
      </c>
      <c r="G1864" t="str">
        <f>"000018VW63237"</f>
        <v>000018VW63237</v>
      </c>
      <c r="H1864" t="str">
        <f>"Inv# 000018VW63237"</f>
        <v>Inv# 000018VW63237</v>
      </c>
      <c r="I1864" s="2">
        <v>102.08</v>
      </c>
      <c r="J1864" t="str">
        <f>"Headsets Direct"</f>
        <v>Headsets Direct</v>
      </c>
    </row>
    <row r="1865" spans="1:10" x14ac:dyDescent="0.3">
      <c r="A1865" t="str">
        <f>""</f>
        <v/>
      </c>
      <c r="G1865" t="str">
        <f>""</f>
        <v/>
      </c>
      <c r="H1865" t="str">
        <f>""</f>
        <v/>
      </c>
      <c r="J1865" t="str">
        <f>"Havis"</f>
        <v>Havis</v>
      </c>
    </row>
    <row r="1866" spans="1:10" x14ac:dyDescent="0.3">
      <c r="A1866" t="str">
        <f>""</f>
        <v/>
      </c>
      <c r="G1866" t="str">
        <f>""</f>
        <v/>
      </c>
      <c r="H1866" t="str">
        <f>""</f>
        <v/>
      </c>
      <c r="J1866" t="str">
        <f>"Motorola"</f>
        <v>Motorola</v>
      </c>
    </row>
    <row r="1867" spans="1:10" x14ac:dyDescent="0.3">
      <c r="A1867" t="str">
        <f>"004034"</f>
        <v>004034</v>
      </c>
      <c r="B1867" t="s">
        <v>516</v>
      </c>
      <c r="C1867">
        <v>71326</v>
      </c>
      <c r="D1867" s="2">
        <v>75</v>
      </c>
      <c r="E1867" s="1">
        <v>42912</v>
      </c>
      <c r="F1867" t="s">
        <v>10</v>
      </c>
      <c r="G1867" t="str">
        <f>"12444"</f>
        <v>12444</v>
      </c>
      <c r="H1867" t="str">
        <f>"SERVICE-3/24/17"</f>
        <v>SERVICE-3/24/17</v>
      </c>
      <c r="I1867" s="2">
        <v>75</v>
      </c>
      <c r="J1867" t="str">
        <f>"SERVICE-3/24/17"</f>
        <v>SERVICE-3/24/17</v>
      </c>
    </row>
    <row r="1868" spans="1:10" x14ac:dyDescent="0.3">
      <c r="A1868" t="str">
        <f>"001445"</f>
        <v>001445</v>
      </c>
      <c r="B1868" t="s">
        <v>517</v>
      </c>
      <c r="C1868">
        <v>71327</v>
      </c>
      <c r="D1868" s="2">
        <v>159.21</v>
      </c>
      <c r="E1868" s="1">
        <v>42912</v>
      </c>
      <c r="F1868" t="s">
        <v>10</v>
      </c>
      <c r="G1868" t="str">
        <f>"2003211"</f>
        <v>2003211</v>
      </c>
      <c r="H1868" t="str">
        <f>"REMOTE BIRTH ACCESS - QTY 87"</f>
        <v>REMOTE BIRTH ACCESS - QTY 87</v>
      </c>
      <c r="I1868" s="2">
        <v>159.21</v>
      </c>
      <c r="J1868" t="str">
        <f>"REMOTE BIRTH ACCESS"</f>
        <v>REMOTE BIRTH ACCESS</v>
      </c>
    </row>
    <row r="1869" spans="1:10" x14ac:dyDescent="0.3">
      <c r="A1869" t="str">
        <f>"VMC"</f>
        <v>VMC</v>
      </c>
      <c r="B1869" t="s">
        <v>518</v>
      </c>
      <c r="C1869">
        <v>71057</v>
      </c>
      <c r="D1869" s="2">
        <v>3363.29</v>
      </c>
      <c r="E1869" s="1">
        <v>42898</v>
      </c>
      <c r="F1869" t="s">
        <v>10</v>
      </c>
      <c r="G1869" t="str">
        <f>"61573714"</f>
        <v>61573714</v>
      </c>
      <c r="H1869" t="str">
        <f>"CUST #90285-209209/LRA PREMIX"</f>
        <v>CUST #90285-209209/LRA PREMIX</v>
      </c>
      <c r="I1869" s="2">
        <v>3363.29</v>
      </c>
      <c r="J1869" t="str">
        <f>"CUST #90285-209209/LRA PREMIX"</f>
        <v>CUST #90285-209209/LRA PREMIX</v>
      </c>
    </row>
    <row r="1870" spans="1:10" x14ac:dyDescent="0.3">
      <c r="A1870" t="str">
        <f>"VMC"</f>
        <v>VMC</v>
      </c>
      <c r="B1870" t="s">
        <v>518</v>
      </c>
      <c r="C1870">
        <v>71328</v>
      </c>
      <c r="D1870" s="2">
        <v>7033.92</v>
      </c>
      <c r="E1870" s="1">
        <v>42912</v>
      </c>
      <c r="F1870" t="s">
        <v>10</v>
      </c>
      <c r="G1870" t="str">
        <f>"61585692"</f>
        <v>61585692</v>
      </c>
      <c r="H1870" t="str">
        <f>"CUST#90285-209209/ORDER#7671"</f>
        <v>CUST#90285-209209/ORDER#7671</v>
      </c>
      <c r="I1870" s="2">
        <v>7033.92</v>
      </c>
      <c r="J1870" t="str">
        <f>"CUST#90285-209209/ORDER#7671"</f>
        <v>CUST#90285-209209/ORDER#7671</v>
      </c>
    </row>
    <row r="1871" spans="1:10" x14ac:dyDescent="0.3">
      <c r="A1871" t="str">
        <f>"005015"</f>
        <v>005015</v>
      </c>
      <c r="B1871" t="s">
        <v>519</v>
      </c>
      <c r="C1871">
        <v>71058</v>
      </c>
      <c r="D1871" s="2">
        <v>5</v>
      </c>
      <c r="E1871" s="1">
        <v>42898</v>
      </c>
      <c r="F1871" t="s">
        <v>10</v>
      </c>
      <c r="G1871" t="str">
        <f>"201706073024"</f>
        <v>201706073024</v>
      </c>
      <c r="H1871" t="str">
        <f>"FERAL HOGS"</f>
        <v>FERAL HOGS</v>
      </c>
      <c r="I1871" s="2">
        <v>5</v>
      </c>
      <c r="J1871" t="str">
        <f>"FERAL HOGS"</f>
        <v>FERAL HOGS</v>
      </c>
    </row>
    <row r="1872" spans="1:10" x14ac:dyDescent="0.3">
      <c r="A1872" t="str">
        <f>"004767"</f>
        <v>004767</v>
      </c>
      <c r="B1872" t="s">
        <v>520</v>
      </c>
      <c r="C1872">
        <v>71329</v>
      </c>
      <c r="D1872" s="2">
        <v>70.489999999999995</v>
      </c>
      <c r="E1872" s="1">
        <v>42912</v>
      </c>
      <c r="F1872" t="s">
        <v>10</v>
      </c>
      <c r="G1872" t="str">
        <f>"0517-DR14926"</f>
        <v>0517-DR14926</v>
      </c>
      <c r="H1872" t="str">
        <f>"CLIENT#CXD 14926/COBRA SVCS/HR"</f>
        <v>CLIENT#CXD 14926/COBRA SVCS/HR</v>
      </c>
      <c r="I1872" s="2">
        <v>70.489999999999995</v>
      </c>
      <c r="J1872" t="str">
        <f>"CLIENT#CXD 14926/COBRA SVCS/HR"</f>
        <v>CLIENT#CXD 14926/COBRA SVCS/HR</v>
      </c>
    </row>
    <row r="1873" spans="1:10" x14ac:dyDescent="0.3">
      <c r="A1873" t="str">
        <f>"003629"</f>
        <v>003629</v>
      </c>
      <c r="B1873" t="s">
        <v>521</v>
      </c>
      <c r="C1873">
        <v>0</v>
      </c>
      <c r="D1873" s="2">
        <v>2755.78</v>
      </c>
      <c r="E1873" s="1">
        <v>42912</v>
      </c>
      <c r="F1873" t="s">
        <v>10</v>
      </c>
      <c r="G1873" t="str">
        <f>"12363"</f>
        <v>12363</v>
      </c>
      <c r="H1873" t="str">
        <f>"PATCH N PAVE / P3"</f>
        <v>PATCH N PAVE / P3</v>
      </c>
      <c r="I1873" s="2">
        <v>202.5</v>
      </c>
      <c r="J1873" t="str">
        <f>"PATCH N PAVE / P3"</f>
        <v>PATCH N PAVE / P3</v>
      </c>
    </row>
    <row r="1874" spans="1:10" x14ac:dyDescent="0.3">
      <c r="A1874" t="str">
        <f>""</f>
        <v/>
      </c>
      <c r="F1874" t="s">
        <v>10</v>
      </c>
      <c r="G1874" t="str">
        <f>"12405"</f>
        <v>12405</v>
      </c>
      <c r="H1874" t="str">
        <f>"PCT#4/COLD MIX/FLOOD"</f>
        <v>PCT#4/COLD MIX/FLOOD</v>
      </c>
      <c r="I1874" s="2">
        <v>2553.2800000000002</v>
      </c>
      <c r="J1874" t="str">
        <f>"PCT#4/COLD MIX/FLOOD"</f>
        <v>PCT#4/COLD MIX/FLOOD</v>
      </c>
    </row>
    <row r="1875" spans="1:10" x14ac:dyDescent="0.3">
      <c r="A1875" t="str">
        <f>"WALMAR"</f>
        <v>WALMAR</v>
      </c>
      <c r="B1875" t="s">
        <v>522</v>
      </c>
      <c r="C1875">
        <v>71059</v>
      </c>
      <c r="D1875" s="2">
        <v>392.72</v>
      </c>
      <c r="E1875" s="1">
        <v>42898</v>
      </c>
      <c r="F1875" t="s">
        <v>10</v>
      </c>
      <c r="G1875" t="str">
        <f>"WM CC CHRGS-6/1/17"</f>
        <v>WM CC CHRGS-6/1/17</v>
      </c>
      <c r="H1875" t="str">
        <f>"Acct# 6032202005312476"</f>
        <v>Acct# 6032202005312476</v>
      </c>
      <c r="I1875" s="2">
        <v>392.72</v>
      </c>
      <c r="J1875" t="str">
        <f>"Inv# 009762"</f>
        <v>Inv# 009762</v>
      </c>
    </row>
    <row r="1876" spans="1:10" x14ac:dyDescent="0.3">
      <c r="A1876" t="str">
        <f>""</f>
        <v/>
      </c>
      <c r="G1876" t="str">
        <f>""</f>
        <v/>
      </c>
      <c r="H1876" t="str">
        <f>""</f>
        <v/>
      </c>
      <c r="J1876" t="str">
        <f>"Inv# 002479"</f>
        <v>Inv# 002479</v>
      </c>
    </row>
    <row r="1877" spans="1:10" x14ac:dyDescent="0.3">
      <c r="A1877" t="str">
        <f>""</f>
        <v/>
      </c>
      <c r="G1877" t="str">
        <f>""</f>
        <v/>
      </c>
      <c r="H1877" t="str">
        <f>""</f>
        <v/>
      </c>
      <c r="J1877" t="str">
        <f>"Inv# 007013"</f>
        <v>Inv# 007013</v>
      </c>
    </row>
    <row r="1878" spans="1:10" x14ac:dyDescent="0.3">
      <c r="A1878" t="str">
        <f>""</f>
        <v/>
      </c>
      <c r="G1878" t="str">
        <f>""</f>
        <v/>
      </c>
      <c r="H1878" t="str">
        <f>""</f>
        <v/>
      </c>
      <c r="J1878" t="str">
        <f>"Inv# 004143"</f>
        <v>Inv# 004143</v>
      </c>
    </row>
    <row r="1879" spans="1:10" x14ac:dyDescent="0.3">
      <c r="A1879" t="str">
        <f>""</f>
        <v/>
      </c>
      <c r="G1879" t="str">
        <f>""</f>
        <v/>
      </c>
      <c r="H1879" t="str">
        <f>""</f>
        <v/>
      </c>
      <c r="J1879" t="str">
        <f>"Inv# 004144"</f>
        <v>Inv# 004144</v>
      </c>
    </row>
    <row r="1880" spans="1:10" x14ac:dyDescent="0.3">
      <c r="A1880" t="str">
        <f>""</f>
        <v/>
      </c>
      <c r="G1880" t="str">
        <f>""</f>
        <v/>
      </c>
      <c r="H1880" t="str">
        <f>""</f>
        <v/>
      </c>
      <c r="J1880" t="str">
        <f>"Inv# 000034"</f>
        <v>Inv# 000034</v>
      </c>
    </row>
    <row r="1881" spans="1:10" x14ac:dyDescent="0.3">
      <c r="A1881" t="str">
        <f>""</f>
        <v/>
      </c>
      <c r="G1881" t="str">
        <f>""</f>
        <v/>
      </c>
      <c r="H1881" t="str">
        <f>""</f>
        <v/>
      </c>
      <c r="J1881" t="str">
        <f>"Inv# 006037"</f>
        <v>Inv# 006037</v>
      </c>
    </row>
    <row r="1882" spans="1:10" x14ac:dyDescent="0.3">
      <c r="A1882" t="str">
        <f>""</f>
        <v/>
      </c>
      <c r="G1882" t="str">
        <f>""</f>
        <v/>
      </c>
      <c r="H1882" t="str">
        <f>""</f>
        <v/>
      </c>
      <c r="J1882" t="str">
        <f>"Inv# 007693"</f>
        <v>Inv# 007693</v>
      </c>
    </row>
    <row r="1883" spans="1:10" x14ac:dyDescent="0.3">
      <c r="A1883" t="str">
        <f>""</f>
        <v/>
      </c>
      <c r="G1883" t="str">
        <f>""</f>
        <v/>
      </c>
      <c r="H1883" t="str">
        <f>""</f>
        <v/>
      </c>
      <c r="J1883" t="str">
        <f>"Inv# 000980"</f>
        <v>Inv# 000980</v>
      </c>
    </row>
    <row r="1884" spans="1:10" x14ac:dyDescent="0.3">
      <c r="A1884" t="str">
        <f>""</f>
        <v/>
      </c>
      <c r="G1884" t="str">
        <f>""</f>
        <v/>
      </c>
      <c r="H1884" t="str">
        <f>""</f>
        <v/>
      </c>
      <c r="J1884" t="str">
        <f>"Inv# 002201"</f>
        <v>Inv# 002201</v>
      </c>
    </row>
    <row r="1885" spans="1:10" x14ac:dyDescent="0.3">
      <c r="A1885" t="str">
        <f>""</f>
        <v/>
      </c>
      <c r="G1885" t="str">
        <f>""</f>
        <v/>
      </c>
      <c r="H1885" t="str">
        <f>""</f>
        <v/>
      </c>
      <c r="J1885" t="str">
        <f>"Inv# 001046"</f>
        <v>Inv# 001046</v>
      </c>
    </row>
    <row r="1886" spans="1:10" x14ac:dyDescent="0.3">
      <c r="A1886" t="str">
        <f>""</f>
        <v/>
      </c>
      <c r="G1886" t="str">
        <f>""</f>
        <v/>
      </c>
      <c r="H1886" t="str">
        <f>""</f>
        <v/>
      </c>
      <c r="J1886" t="str">
        <f>"Inv# 001046"</f>
        <v>Inv# 001046</v>
      </c>
    </row>
    <row r="1887" spans="1:10" x14ac:dyDescent="0.3">
      <c r="A1887" t="str">
        <f>""</f>
        <v/>
      </c>
      <c r="G1887" t="str">
        <f>""</f>
        <v/>
      </c>
      <c r="H1887" t="str">
        <f>""</f>
        <v/>
      </c>
      <c r="J1887" t="str">
        <f>"Inv# 001615"</f>
        <v>Inv# 001615</v>
      </c>
    </row>
    <row r="1888" spans="1:10" x14ac:dyDescent="0.3">
      <c r="A1888" t="str">
        <f>"004318"</f>
        <v>004318</v>
      </c>
      <c r="B1888" t="s">
        <v>523</v>
      </c>
      <c r="C1888">
        <v>71060</v>
      </c>
      <c r="D1888" s="2">
        <v>280</v>
      </c>
      <c r="E1888" s="1">
        <v>42898</v>
      </c>
      <c r="F1888" t="s">
        <v>10</v>
      </c>
      <c r="G1888" t="str">
        <f>"201706052657"</f>
        <v>201706052657</v>
      </c>
      <c r="H1888" t="str">
        <f>"FERAL HOGS"</f>
        <v>FERAL HOGS</v>
      </c>
      <c r="I1888" s="2">
        <v>280</v>
      </c>
      <c r="J1888" t="str">
        <f>"FERAL HOGS"</f>
        <v>FERAL HOGS</v>
      </c>
    </row>
    <row r="1889" spans="1:10" x14ac:dyDescent="0.3">
      <c r="A1889" t="str">
        <f>"T13139"</f>
        <v>T13139</v>
      </c>
      <c r="B1889" t="s">
        <v>524</v>
      </c>
      <c r="C1889">
        <v>71061</v>
      </c>
      <c r="D1889" s="2">
        <v>235450</v>
      </c>
      <c r="E1889" s="1">
        <v>42898</v>
      </c>
      <c r="F1889" t="s">
        <v>10</v>
      </c>
      <c r="G1889" t="str">
        <f>"4REINV0005794"</f>
        <v>4REINV0005794</v>
      </c>
      <c r="H1889" t="str">
        <f>"VIS-EXT-WIF-BUN"</f>
        <v>VIS-EXT-WIF-BUN</v>
      </c>
      <c r="I1889" s="2">
        <v>235450</v>
      </c>
      <c r="J1889" t="str">
        <f>"VIS-EXT-WIF-BUN"</f>
        <v>VIS-EXT-WIF-BUN</v>
      </c>
    </row>
    <row r="1890" spans="1:10" x14ac:dyDescent="0.3">
      <c r="A1890" t="str">
        <f>""</f>
        <v/>
      </c>
      <c r="G1890" t="str">
        <f>""</f>
        <v/>
      </c>
      <c r="H1890" t="str">
        <f>""</f>
        <v/>
      </c>
      <c r="J1890" t="str">
        <f>"VIS-CHG-BSE-KIT"</f>
        <v>VIS-CHG-BSE-KIT</v>
      </c>
    </row>
    <row r="1891" spans="1:10" x14ac:dyDescent="0.3">
      <c r="A1891" t="str">
        <f>""</f>
        <v/>
      </c>
      <c r="G1891" t="str">
        <f>""</f>
        <v/>
      </c>
      <c r="H1891" t="str">
        <f>""</f>
        <v/>
      </c>
      <c r="J1891" t="str">
        <f>"KEY-EL4-DEV-004"</f>
        <v>KEY-EL4-DEV-004</v>
      </c>
    </row>
    <row r="1892" spans="1:10" x14ac:dyDescent="0.3">
      <c r="A1892" t="str">
        <f>""</f>
        <v/>
      </c>
      <c r="G1892" t="str">
        <f>""</f>
        <v/>
      </c>
      <c r="H1892" t="str">
        <f>""</f>
        <v/>
      </c>
      <c r="J1892" t="str">
        <f>"KEY-EL4-DEV-001"</f>
        <v>KEY-EL4-DEV-001</v>
      </c>
    </row>
    <row r="1893" spans="1:10" x14ac:dyDescent="0.3">
      <c r="A1893" t="str">
        <f>""</f>
        <v/>
      </c>
      <c r="G1893" t="str">
        <f>""</f>
        <v/>
      </c>
      <c r="H1893" t="str">
        <f>""</f>
        <v/>
      </c>
      <c r="J1893" t="str">
        <f>"CAM-4RE-PAN-NHD"</f>
        <v>CAM-4RE-PAN-NHD</v>
      </c>
    </row>
    <row r="1894" spans="1:10" x14ac:dyDescent="0.3">
      <c r="A1894" t="str">
        <f>""</f>
        <v/>
      </c>
      <c r="G1894" t="str">
        <f>""</f>
        <v/>
      </c>
      <c r="H1894" t="str">
        <f>""</f>
        <v/>
      </c>
      <c r="J1894" t="str">
        <f>"4RE-WRL-KIT-101"</f>
        <v>4RE-WRL-KIT-101</v>
      </c>
    </row>
    <row r="1895" spans="1:10" x14ac:dyDescent="0.3">
      <c r="A1895" t="str">
        <f>""</f>
        <v/>
      </c>
      <c r="G1895" t="str">
        <f>""</f>
        <v/>
      </c>
      <c r="H1895" t="str">
        <f>""</f>
        <v/>
      </c>
      <c r="J1895" t="str">
        <f>"SVC-VID-REM-100"</f>
        <v>SVC-VID-REM-100</v>
      </c>
    </row>
    <row r="1896" spans="1:10" x14ac:dyDescent="0.3">
      <c r="A1896" t="str">
        <f>""</f>
        <v/>
      </c>
      <c r="G1896" t="str">
        <f>""</f>
        <v/>
      </c>
      <c r="H1896" t="str">
        <f>""</f>
        <v/>
      </c>
      <c r="J1896" t="str">
        <f>"SVC-4RE-INS-100"</f>
        <v>SVC-4RE-INS-100</v>
      </c>
    </row>
    <row r="1897" spans="1:10" x14ac:dyDescent="0.3">
      <c r="A1897" t="str">
        <f>""</f>
        <v/>
      </c>
      <c r="G1897" t="str">
        <f>""</f>
        <v/>
      </c>
      <c r="H1897" t="str">
        <f>""</f>
        <v/>
      </c>
      <c r="J1897" t="str">
        <f>"Freight"</f>
        <v>Freight</v>
      </c>
    </row>
    <row r="1898" spans="1:10" x14ac:dyDescent="0.3">
      <c r="A1898" t="str">
        <f>"T5726"</f>
        <v>T5726</v>
      </c>
      <c r="B1898" t="s">
        <v>525</v>
      </c>
      <c r="C1898">
        <v>71062</v>
      </c>
      <c r="D1898" s="2">
        <v>663</v>
      </c>
      <c r="E1898" s="1">
        <v>42898</v>
      </c>
      <c r="F1898" t="s">
        <v>10</v>
      </c>
      <c r="G1898" t="str">
        <f>"1022598"</f>
        <v>1022598</v>
      </c>
      <c r="H1898" t="str">
        <f>"RTU-11 MAINT INV1022598"</f>
        <v>RTU-11 MAINT INV1022598</v>
      </c>
      <c r="I1898" s="2">
        <v>663</v>
      </c>
      <c r="J1898" t="str">
        <f>"RTU-11 MAINT INV1022598"</f>
        <v>RTU-11 MAINT INV1022598</v>
      </c>
    </row>
    <row r="1899" spans="1:10" x14ac:dyDescent="0.3">
      <c r="A1899" t="str">
        <f>"004877"</f>
        <v>004877</v>
      </c>
      <c r="B1899" t="s">
        <v>526</v>
      </c>
      <c r="C1899">
        <v>71330</v>
      </c>
      <c r="D1899" s="2">
        <v>24390.51</v>
      </c>
      <c r="E1899" s="1">
        <v>42912</v>
      </c>
      <c r="F1899" t="s">
        <v>10</v>
      </c>
      <c r="G1899" t="str">
        <f>"1701727197"</f>
        <v>1701727197</v>
      </c>
      <c r="H1899" t="str">
        <f>"ACCT#5150-005129483/211 JACKSN"</f>
        <v>ACCT#5150-005129483/211 JACKSN</v>
      </c>
      <c r="I1899" s="2">
        <v>23270</v>
      </c>
      <c r="J1899" t="str">
        <f>"ACCT#5150-005129483/211 JACKSN"</f>
        <v>ACCT#5150-005129483/211 JACKSN</v>
      </c>
    </row>
    <row r="1900" spans="1:10" x14ac:dyDescent="0.3">
      <c r="A1900" t="str">
        <f>""</f>
        <v/>
      </c>
      <c r="F1900" t="s">
        <v>10</v>
      </c>
      <c r="G1900" t="str">
        <f>"1701727904"</f>
        <v>1701727904</v>
      </c>
      <c r="H1900" t="str">
        <f>"ACCT#5151-005117630/804 PECAN"</f>
        <v>ACCT#5151-005117630/804 PECAN</v>
      </c>
      <c r="I1900" s="2">
        <v>226.82</v>
      </c>
      <c r="J1900" t="str">
        <f>"ACCT#5151-005117630/804 PECAN"</f>
        <v>ACCT#5151-005117630/804 PECAN</v>
      </c>
    </row>
    <row r="1901" spans="1:10" x14ac:dyDescent="0.3">
      <c r="A1901" t="str">
        <f>""</f>
        <v/>
      </c>
      <c r="F1901" t="s">
        <v>10</v>
      </c>
      <c r="G1901" t="str">
        <f>"1701727905"</f>
        <v>1701727905</v>
      </c>
      <c r="H1901" t="str">
        <f>"ACCT#5151-005117766/104 LP 150"</f>
        <v>ACCT#5151-005117766/104 LP 150</v>
      </c>
      <c r="I1901" s="2">
        <v>104.64</v>
      </c>
      <c r="J1901" t="str">
        <f>"ACCT#5151-005117766/104 LP 150"</f>
        <v>ACCT#5151-005117766/104 LP 150</v>
      </c>
    </row>
    <row r="1902" spans="1:10" x14ac:dyDescent="0.3">
      <c r="A1902" t="str">
        <f>""</f>
        <v/>
      </c>
      <c r="F1902" t="s">
        <v>10</v>
      </c>
      <c r="G1902" t="str">
        <f>"1701727906"</f>
        <v>1701727906</v>
      </c>
      <c r="H1902" t="str">
        <f>"ACCT#5151-005117838/305 ESKEW"</f>
        <v>ACCT#5151-005117838/305 ESKEW</v>
      </c>
      <c r="I1902" s="2">
        <v>96.85</v>
      </c>
      <c r="J1902" t="str">
        <f>"ACCT#5151-005117838/305 ESKEW"</f>
        <v>ACCT#5151-005117838/305 ESKEW</v>
      </c>
    </row>
    <row r="1903" spans="1:10" x14ac:dyDescent="0.3">
      <c r="A1903" t="str">
        <f>""</f>
        <v/>
      </c>
      <c r="F1903" t="s">
        <v>10</v>
      </c>
      <c r="G1903" t="str">
        <f>"1701727908"</f>
        <v>1701727908</v>
      </c>
      <c r="H1903" t="str">
        <f>"ACCT#5151-005117882/DEV CENTER"</f>
        <v>ACCT#5151-005117882/DEV CENTER</v>
      </c>
      <c r="I1903" s="2">
        <v>130.78</v>
      </c>
      <c r="J1903" t="str">
        <f>"ACCT#5151-005117882/DEV CENTER"</f>
        <v>ACCT#5151-005117882/DEV CENTER</v>
      </c>
    </row>
    <row r="1904" spans="1:10" x14ac:dyDescent="0.3">
      <c r="A1904" t="str">
        <f>""</f>
        <v/>
      </c>
      <c r="F1904" t="s">
        <v>10</v>
      </c>
      <c r="G1904" t="str">
        <f>"1701727910"</f>
        <v>1701727910</v>
      </c>
      <c r="H1904" t="str">
        <f>"ACCT#5151-005118183/200 JACKSN"</f>
        <v>ACCT#5151-005118183/200 JACKSN</v>
      </c>
      <c r="I1904" s="2">
        <v>561.41999999999996</v>
      </c>
      <c r="J1904" t="str">
        <f>"ACCT#5151-005118183/200 JACKSN"</f>
        <v>ACCT#5151-005118183/200 JACKSN</v>
      </c>
    </row>
    <row r="1905" spans="1:10" x14ac:dyDescent="0.3">
      <c r="A1905" t="str">
        <f>"003479"</f>
        <v>003479</v>
      </c>
      <c r="B1905" t="s">
        <v>527</v>
      </c>
      <c r="C1905">
        <v>71331</v>
      </c>
      <c r="D1905" s="2">
        <v>2612.27</v>
      </c>
      <c r="E1905" s="1">
        <v>42912</v>
      </c>
      <c r="F1905" t="s">
        <v>10</v>
      </c>
      <c r="G1905" t="str">
        <f>"216716"</f>
        <v>216716</v>
      </c>
      <c r="H1905" t="str">
        <f>"BOOMLIFT &amp; DELIVERY"</f>
        <v>BOOMLIFT &amp; DELIVERY</v>
      </c>
      <c r="I1905" s="2">
        <v>2291.35</v>
      </c>
      <c r="J1905" t="str">
        <f>"BOOMLIFT &amp; DELIVERY"</f>
        <v>BOOMLIFT &amp; DELIVERY</v>
      </c>
    </row>
    <row r="1906" spans="1:10" x14ac:dyDescent="0.3">
      <c r="A1906" t="str">
        <f>""</f>
        <v/>
      </c>
      <c r="F1906" t="s">
        <v>10</v>
      </c>
      <c r="G1906" t="str">
        <f>"219491"</f>
        <v>219491</v>
      </c>
      <c r="H1906" t="str">
        <f>"AUGER ATTACHMENT"</f>
        <v>AUGER ATTACHMENT</v>
      </c>
      <c r="I1906" s="2">
        <v>320.92</v>
      </c>
      <c r="J1906" t="str">
        <f>"AUGER ATTACHMENT"</f>
        <v>AUGER ATTACHMENT</v>
      </c>
    </row>
    <row r="1907" spans="1:10" x14ac:dyDescent="0.3">
      <c r="A1907" t="str">
        <f>"LIN"</f>
        <v>LIN</v>
      </c>
      <c r="B1907" t="s">
        <v>528</v>
      </c>
      <c r="C1907">
        <v>0</v>
      </c>
      <c r="D1907" s="2">
        <v>12500</v>
      </c>
      <c r="E1907" s="1">
        <v>42912</v>
      </c>
      <c r="F1907" t="s">
        <v>10</v>
      </c>
      <c r="G1907" t="str">
        <f>"201706153100"</f>
        <v>201706153100</v>
      </c>
      <c r="H1907" t="str">
        <f>"MEDICAL CONTRACT"</f>
        <v>MEDICAL CONTRACT</v>
      </c>
      <c r="I1907" s="2">
        <v>12500</v>
      </c>
      <c r="J1907" t="str">
        <f>"MEDICAL CONTRACT"</f>
        <v>MEDICAL CONTRACT</v>
      </c>
    </row>
    <row r="1908" spans="1:10" x14ac:dyDescent="0.3">
      <c r="A1908" t="str">
        <f>"WPC"</f>
        <v>WPC</v>
      </c>
      <c r="B1908" t="s">
        <v>529</v>
      </c>
      <c r="C1908">
        <v>71332</v>
      </c>
      <c r="D1908" s="2">
        <v>396</v>
      </c>
      <c r="E1908" s="1">
        <v>42912</v>
      </c>
      <c r="F1908" t="s">
        <v>10</v>
      </c>
      <c r="G1908" t="str">
        <f>"836202210"</f>
        <v>836202210</v>
      </c>
      <c r="H1908" t="str">
        <f>"ACCT#1000648597/WEST INF CHRGS"</f>
        <v>ACCT#1000648597/WEST INF CHRGS</v>
      </c>
      <c r="I1908" s="2">
        <v>396</v>
      </c>
      <c r="J1908" t="str">
        <f>"ACCT#1000648597/WEST INF CHRGS"</f>
        <v>ACCT#1000648597/WEST INF CHRGS</v>
      </c>
    </row>
    <row r="1909" spans="1:10" x14ac:dyDescent="0.3">
      <c r="A1909" t="str">
        <f>"004074"</f>
        <v>004074</v>
      </c>
      <c r="B1909" t="s">
        <v>530</v>
      </c>
      <c r="C1909">
        <v>71333</v>
      </c>
      <c r="D1909" s="2">
        <v>6818.6</v>
      </c>
      <c r="E1909" s="1">
        <v>42912</v>
      </c>
      <c r="F1909" t="s">
        <v>10</v>
      </c>
      <c r="G1909" t="str">
        <f>"18370"</f>
        <v>18370</v>
      </c>
      <c r="H1909" t="str">
        <f>"PRESCRIPTIONS MAY SVC"</f>
        <v>PRESCRIPTIONS MAY SVC</v>
      </c>
      <c r="I1909" s="2">
        <v>6818.6</v>
      </c>
      <c r="J1909" t="str">
        <f>"PRESCRIPTIONS MAY SVC"</f>
        <v>PRESCRIPTIONS MAY SVC</v>
      </c>
    </row>
    <row r="1910" spans="1:10" x14ac:dyDescent="0.3">
      <c r="A1910" t="str">
        <f>"003836"</f>
        <v>003836</v>
      </c>
      <c r="B1910" t="s">
        <v>531</v>
      </c>
      <c r="C1910">
        <v>71063</v>
      </c>
      <c r="D1910" s="2">
        <v>2072</v>
      </c>
      <c r="E1910" s="1">
        <v>42898</v>
      </c>
      <c r="F1910" t="s">
        <v>10</v>
      </c>
      <c r="G1910" t="str">
        <f>"201706072874"</f>
        <v>201706072874</v>
      </c>
      <c r="H1910" t="str">
        <f>"INDIGENT HEALTH"</f>
        <v>INDIGENT HEALTH</v>
      </c>
      <c r="I1910" s="2">
        <v>2072</v>
      </c>
      <c r="J1910" t="str">
        <f>"INDIGENT HEALTH"</f>
        <v>INDIGENT HEALTH</v>
      </c>
    </row>
    <row r="1911" spans="1:10" x14ac:dyDescent="0.3">
      <c r="A1911" t="str">
        <f>"T2908"</f>
        <v>T2908</v>
      </c>
      <c r="B1911" t="s">
        <v>532</v>
      </c>
      <c r="C1911">
        <v>71064</v>
      </c>
      <c r="D1911" s="2">
        <v>530</v>
      </c>
      <c r="E1911" s="1">
        <v>42898</v>
      </c>
      <c r="F1911" t="s">
        <v>10</v>
      </c>
      <c r="G1911" t="str">
        <f>"1-158745"</f>
        <v>1-158745</v>
      </c>
      <c r="H1911" t="str">
        <f>"ACCT#1-11373 PCT#2"</f>
        <v>ACCT#1-11373 PCT#2</v>
      </c>
      <c r="I1911" s="2">
        <v>530</v>
      </c>
      <c r="J1911" t="str">
        <f>"ACCT#1-11373 PCT#2"</f>
        <v>ACCT#1-11373 PCT#2</v>
      </c>
    </row>
    <row r="1912" spans="1:10" x14ac:dyDescent="0.3">
      <c r="A1912" t="str">
        <f>"003821"</f>
        <v>003821</v>
      </c>
      <c r="B1912" t="s">
        <v>533</v>
      </c>
      <c r="C1912">
        <v>71065</v>
      </c>
      <c r="D1912" s="2">
        <v>65</v>
      </c>
      <c r="E1912" s="1">
        <v>42898</v>
      </c>
      <c r="F1912" t="s">
        <v>10</v>
      </c>
      <c r="G1912" t="str">
        <f>"201706073025"</f>
        <v>201706073025</v>
      </c>
      <c r="H1912" t="str">
        <f>"FERAL HOGS"</f>
        <v>FERAL HOGS</v>
      </c>
      <c r="I1912" s="2">
        <v>50</v>
      </c>
      <c r="J1912" t="str">
        <f>"FERAL HOGS"</f>
        <v>FERAL HOGS</v>
      </c>
    </row>
    <row r="1913" spans="1:10" x14ac:dyDescent="0.3">
      <c r="A1913" t="str">
        <f>""</f>
        <v/>
      </c>
      <c r="F1913" t="s">
        <v>10</v>
      </c>
      <c r="G1913" t="str">
        <f>"201706073026"</f>
        <v>201706073026</v>
      </c>
      <c r="H1913" t="str">
        <f>"FERAL HOGS"</f>
        <v>FERAL HOGS</v>
      </c>
      <c r="I1913" s="2">
        <v>15</v>
      </c>
      <c r="J1913" t="str">
        <f>"FERAL HOGS"</f>
        <v>FERAL HOGS</v>
      </c>
    </row>
    <row r="1914" spans="1:10" x14ac:dyDescent="0.3">
      <c r="A1914" t="str">
        <f>"002550"</f>
        <v>002550</v>
      </c>
      <c r="B1914" t="s">
        <v>534</v>
      </c>
      <c r="C1914">
        <v>71066</v>
      </c>
      <c r="D1914" s="2">
        <v>70</v>
      </c>
      <c r="E1914" s="1">
        <v>42898</v>
      </c>
      <c r="F1914" t="s">
        <v>10</v>
      </c>
      <c r="G1914" t="s">
        <v>74</v>
      </c>
      <c r="H1914" t="s">
        <v>75</v>
      </c>
      <c r="I1914" s="2" t="str">
        <f>"SERVICE-3/24/2017"</f>
        <v>SERVICE-3/24/2017</v>
      </c>
      <c r="J1914" t="str">
        <f>"995-4110"</f>
        <v>995-4110</v>
      </c>
    </row>
    <row r="1915" spans="1:10" x14ac:dyDescent="0.3">
      <c r="A1915" t="str">
        <f>"002552"</f>
        <v>002552</v>
      </c>
      <c r="B1915" t="s">
        <v>535</v>
      </c>
      <c r="C1915">
        <v>71110</v>
      </c>
      <c r="D1915" s="2">
        <v>140</v>
      </c>
      <c r="E1915" s="1">
        <v>42909</v>
      </c>
      <c r="F1915" t="s">
        <v>10</v>
      </c>
      <c r="G1915" t="str">
        <f>"201706233263"</f>
        <v>201706233263</v>
      </c>
      <c r="H1915" t="str">
        <f>"CAUSE #12370 / SERVICE"</f>
        <v>CAUSE #12370 / SERVICE</v>
      </c>
      <c r="I1915" s="2">
        <v>140</v>
      </c>
      <c r="J1915" t="str">
        <f>"CAUSE #12370 / SERVICE"</f>
        <v>CAUSE #12370 / SERVICE</v>
      </c>
    </row>
    <row r="1916" spans="1:10" x14ac:dyDescent="0.3">
      <c r="A1916" t="str">
        <f>"002445"</f>
        <v>002445</v>
      </c>
      <c r="B1916" t="s">
        <v>536</v>
      </c>
      <c r="C1916">
        <v>71067</v>
      </c>
      <c r="D1916" s="2">
        <v>70</v>
      </c>
      <c r="E1916" s="1">
        <v>42898</v>
      </c>
      <c r="F1916" t="s">
        <v>10</v>
      </c>
      <c r="G1916" t="str">
        <f>"12000"</f>
        <v>12000</v>
      </c>
      <c r="H1916" t="str">
        <f>"SERVICE 03/06/2017"</f>
        <v>SERVICE 03/06/2017</v>
      </c>
      <c r="I1916" s="2">
        <v>70</v>
      </c>
      <c r="J1916" t="str">
        <f>"SERVICE 03/06/2017"</f>
        <v>SERVICE 03/06/2017</v>
      </c>
    </row>
    <row r="1917" spans="1:10" x14ac:dyDescent="0.3">
      <c r="A1917" t="str">
        <f>"002351"</f>
        <v>002351</v>
      </c>
      <c r="B1917" t="s">
        <v>537</v>
      </c>
      <c r="C1917">
        <v>71068</v>
      </c>
      <c r="D1917" s="2">
        <v>140</v>
      </c>
      <c r="E1917" s="1">
        <v>42898</v>
      </c>
      <c r="F1917" t="s">
        <v>10</v>
      </c>
      <c r="G1917" t="str">
        <f>"12370"</f>
        <v>12370</v>
      </c>
      <c r="H1917" t="str">
        <f>"SERVICE-3/14/2017"</f>
        <v>SERVICE-3/14/2017</v>
      </c>
      <c r="I1917" s="2">
        <v>140</v>
      </c>
    </row>
    <row r="1918" spans="1:10" x14ac:dyDescent="0.3">
      <c r="A1918" t="str">
        <f>"002351"</f>
        <v>002351</v>
      </c>
      <c r="B1918" t="s">
        <v>537</v>
      </c>
      <c r="C1918">
        <v>71068</v>
      </c>
      <c r="D1918" s="2">
        <v>140</v>
      </c>
      <c r="E1918" s="1">
        <v>42909</v>
      </c>
      <c r="F1918" t="s">
        <v>246</v>
      </c>
      <c r="G1918" t="str">
        <f>"CHECK"</f>
        <v>CHECK</v>
      </c>
      <c r="H1918" t="str">
        <f>""</f>
        <v/>
      </c>
      <c r="I1918" s="2">
        <v>140</v>
      </c>
    </row>
    <row r="1919" spans="1:10" x14ac:dyDescent="0.3">
      <c r="A1919" t="str">
        <f>"003938"</f>
        <v>003938</v>
      </c>
      <c r="B1919" t="s">
        <v>538</v>
      </c>
      <c r="C1919">
        <v>71334</v>
      </c>
      <c r="D1919" s="2">
        <v>1000</v>
      </c>
      <c r="E1919" s="1">
        <v>42912</v>
      </c>
      <c r="F1919" t="s">
        <v>10</v>
      </c>
      <c r="G1919" t="str">
        <f>"483"</f>
        <v>483</v>
      </c>
      <c r="H1919" t="str">
        <f>"TAKE DOWN AND HAUL OFF TREE"</f>
        <v>TAKE DOWN AND HAUL OFF TREE</v>
      </c>
      <c r="I1919" s="2">
        <v>1000</v>
      </c>
      <c r="J1919" t="str">
        <f>"TAKE DOWN AND HAUL OFF TREE"</f>
        <v>TAKE DOWN AND HAUL OFF TREE</v>
      </c>
    </row>
    <row r="1920" spans="1:10" x14ac:dyDescent="0.3">
      <c r="A1920" t="str">
        <f>"004240"</f>
        <v>004240</v>
      </c>
      <c r="B1920" t="s">
        <v>539</v>
      </c>
      <c r="C1920">
        <v>71069</v>
      </c>
      <c r="D1920" s="2">
        <v>2960</v>
      </c>
      <c r="E1920" s="1">
        <v>42898</v>
      </c>
      <c r="F1920" t="s">
        <v>10</v>
      </c>
      <c r="G1920" t="str">
        <f>"1195"</f>
        <v>1195</v>
      </c>
      <c r="H1920" t="str">
        <f>"INSTALLATION OF GUARDRAILS"</f>
        <v>INSTALLATION OF GUARDRAILS</v>
      </c>
      <c r="I1920" s="2">
        <v>2960</v>
      </c>
      <c r="J1920" t="str">
        <f>"INSTALLATION OF GUARDRAILS"</f>
        <v>INSTALLATION OF GUARDRAILS</v>
      </c>
    </row>
    <row r="1921" spans="1:10" x14ac:dyDescent="0.3">
      <c r="A1921" t="str">
        <f>"XEROX"</f>
        <v>XEROX</v>
      </c>
      <c r="B1921" t="s">
        <v>540</v>
      </c>
      <c r="C1921">
        <v>71335</v>
      </c>
      <c r="D1921" s="2">
        <v>406.66</v>
      </c>
      <c r="E1921" s="1">
        <v>42912</v>
      </c>
      <c r="F1921" t="s">
        <v>10</v>
      </c>
      <c r="G1921" t="str">
        <f>"089492016"</f>
        <v>089492016</v>
      </c>
      <c r="H1921" t="str">
        <f>"CUST#662445931/TAX OFFICE"</f>
        <v>CUST#662445931/TAX OFFICE</v>
      </c>
      <c r="I1921" s="2">
        <v>154.06</v>
      </c>
      <c r="J1921" t="str">
        <f>"CUST#662445931/TAX OFFICE"</f>
        <v>CUST#662445931/TAX OFFICE</v>
      </c>
    </row>
    <row r="1922" spans="1:10" x14ac:dyDescent="0.3">
      <c r="A1922" t="str">
        <f>""</f>
        <v/>
      </c>
      <c r="F1922" t="s">
        <v>10</v>
      </c>
      <c r="G1922" t="str">
        <f>"089492017"</f>
        <v>089492017</v>
      </c>
      <c r="H1922" t="str">
        <f>"CUST#662445931/TAX OFFICE"</f>
        <v>CUST#662445931/TAX OFFICE</v>
      </c>
      <c r="I1922" s="2">
        <v>189.98</v>
      </c>
      <c r="J1922" t="str">
        <f>"CUST#662445931/TAX OFFICE"</f>
        <v>CUST#662445931/TAX OFFICE</v>
      </c>
    </row>
    <row r="1923" spans="1:10" x14ac:dyDescent="0.3">
      <c r="A1923" t="str">
        <f>""</f>
        <v/>
      </c>
      <c r="F1923" t="s">
        <v>10</v>
      </c>
      <c r="G1923" t="str">
        <f>"089492020"</f>
        <v>089492020</v>
      </c>
      <c r="H1923" t="str">
        <f>"CUST#723230843/SMITHVILLE TAX"</f>
        <v>CUST#723230843/SMITHVILLE TAX</v>
      </c>
      <c r="I1923" s="2">
        <v>62.62</v>
      </c>
      <c r="J1923" t="str">
        <f>"CUST#723230843/SMITHVILLE TAX"</f>
        <v>CUST#723230843/SMITHVILLE TAX</v>
      </c>
    </row>
    <row r="1924" spans="1:10" x14ac:dyDescent="0.3">
      <c r="A1924" t="str">
        <f>"002775"</f>
        <v>002775</v>
      </c>
      <c r="B1924" t="s">
        <v>541</v>
      </c>
      <c r="C1924">
        <v>71070</v>
      </c>
      <c r="D1924" s="2">
        <v>40</v>
      </c>
      <c r="E1924" s="1">
        <v>42898</v>
      </c>
      <c r="F1924" t="s">
        <v>10</v>
      </c>
      <c r="G1924" t="str">
        <f>"REF#337885"</f>
        <v>REF#337885</v>
      </c>
      <c r="H1924" t="str">
        <f>"YAHOO"</f>
        <v>YAHOO</v>
      </c>
      <c r="I1924" s="2">
        <v>40</v>
      </c>
      <c r="J1924" t="str">
        <f>""</f>
        <v/>
      </c>
    </row>
    <row r="1925" spans="1:10" x14ac:dyDescent="0.3">
      <c r="A1925" t="str">
        <f>"005101"</f>
        <v>005101</v>
      </c>
      <c r="B1925" t="s">
        <v>542</v>
      </c>
      <c r="C1925">
        <v>71071</v>
      </c>
      <c r="D1925" s="2">
        <v>15</v>
      </c>
      <c r="E1925" s="1">
        <v>42898</v>
      </c>
      <c r="F1925" t="s">
        <v>10</v>
      </c>
      <c r="G1925" t="str">
        <f>"201706052658"</f>
        <v>201706052658</v>
      </c>
      <c r="H1925" t="str">
        <f>"FERAL HOGS"</f>
        <v>FERAL HOGS</v>
      </c>
      <c r="I1925" s="2">
        <v>15</v>
      </c>
      <c r="J1925" t="str">
        <f>"FERAL HOGS"</f>
        <v>FERAL HOGS</v>
      </c>
    </row>
    <row r="1926" spans="1:10" x14ac:dyDescent="0.3">
      <c r="A1926" t="str">
        <f>"004928"</f>
        <v>004928</v>
      </c>
      <c r="B1926" t="s">
        <v>543</v>
      </c>
      <c r="C1926">
        <v>71072</v>
      </c>
      <c r="D1926" s="2">
        <v>507.14</v>
      </c>
      <c r="E1926" s="1">
        <v>42898</v>
      </c>
      <c r="F1926" t="s">
        <v>10</v>
      </c>
      <c r="G1926" t="str">
        <f>"INV3253480"</f>
        <v>INV3253480</v>
      </c>
      <c r="H1926" t="str">
        <f>"ZORO TOOLS INC"</f>
        <v>ZORO TOOLS INC</v>
      </c>
      <c r="I1926" s="2">
        <v>507.14</v>
      </c>
      <c r="J1926" t="str">
        <f>"ELECTRIC WTR HEATER"</f>
        <v>ELECTRIC WTR HEATER</v>
      </c>
    </row>
    <row r="1927" spans="1:10" x14ac:dyDescent="0.3">
      <c r="A1927" t="str">
        <f>"000598"</f>
        <v>000598</v>
      </c>
      <c r="B1927" t="s">
        <v>544</v>
      </c>
      <c r="C1927">
        <v>71073</v>
      </c>
      <c r="D1927" s="2">
        <v>15307.6</v>
      </c>
      <c r="E1927" s="1">
        <v>42898</v>
      </c>
      <c r="F1927" t="s">
        <v>10</v>
      </c>
      <c r="G1927" t="str">
        <f>"9725-001-92369"</f>
        <v>9725-001-92369</v>
      </c>
      <c r="H1927" t="str">
        <f t="shared" ref="H1927:H1938" si="15">"ACCT #9725-001/RECYCLED BASE"</f>
        <v>ACCT #9725-001/RECYCLED BASE</v>
      </c>
      <c r="I1927" s="2">
        <v>1981.02</v>
      </c>
      <c r="J1927" t="str">
        <f t="shared" ref="J1927:J1938" si="16">"ACCT #9725-001/RECYCLED BASE"</f>
        <v>ACCT #9725-001/RECYCLED BASE</v>
      </c>
    </row>
    <row r="1928" spans="1:10" x14ac:dyDescent="0.3">
      <c r="A1928" t="str">
        <f>""</f>
        <v/>
      </c>
      <c r="F1928" t="s">
        <v>10</v>
      </c>
      <c r="G1928" t="str">
        <f>"9725-001-92404"</f>
        <v>9725-001-92404</v>
      </c>
      <c r="H1928" t="str">
        <f t="shared" si="15"/>
        <v>ACCT #9725-001/RECYCLED BASE</v>
      </c>
      <c r="I1928" s="2">
        <v>979.73</v>
      </c>
      <c r="J1928" t="str">
        <f t="shared" si="16"/>
        <v>ACCT #9725-001/RECYCLED BASE</v>
      </c>
    </row>
    <row r="1929" spans="1:10" x14ac:dyDescent="0.3">
      <c r="A1929" t="str">
        <f>""</f>
        <v/>
      </c>
      <c r="F1929" t="s">
        <v>10</v>
      </c>
      <c r="G1929" t="str">
        <f>"9725-001-92430"</f>
        <v>9725-001-92430</v>
      </c>
      <c r="H1929" t="str">
        <f t="shared" si="15"/>
        <v>ACCT #9725-001/RECYCLED BASE</v>
      </c>
      <c r="I1929" s="2">
        <v>1013.04</v>
      </c>
      <c r="J1929" t="str">
        <f t="shared" si="16"/>
        <v>ACCT #9725-001/RECYCLED BASE</v>
      </c>
    </row>
    <row r="1930" spans="1:10" x14ac:dyDescent="0.3">
      <c r="A1930" t="str">
        <f>""</f>
        <v/>
      </c>
      <c r="F1930" t="s">
        <v>10</v>
      </c>
      <c r="G1930" t="str">
        <f>"9725-001-92456"</f>
        <v>9725-001-92456</v>
      </c>
      <c r="H1930" t="str">
        <f t="shared" si="15"/>
        <v>ACCT #9725-001/RECYCLED BASE</v>
      </c>
      <c r="I1930" s="2">
        <v>3178.97</v>
      </c>
      <c r="J1930" t="str">
        <f t="shared" si="16"/>
        <v>ACCT #9725-001/RECYCLED BASE</v>
      </c>
    </row>
    <row r="1931" spans="1:10" x14ac:dyDescent="0.3">
      <c r="A1931" t="str">
        <f>""</f>
        <v/>
      </c>
      <c r="F1931" t="s">
        <v>10</v>
      </c>
      <c r="G1931" t="str">
        <f>"9725-001-92489"</f>
        <v>9725-001-92489</v>
      </c>
      <c r="H1931" t="str">
        <f t="shared" si="15"/>
        <v>ACCT #9725-001/RECYCLED BASE</v>
      </c>
      <c r="I1931" s="2">
        <v>622.97</v>
      </c>
      <c r="J1931" t="str">
        <f t="shared" si="16"/>
        <v>ACCT #9725-001/RECYCLED BASE</v>
      </c>
    </row>
    <row r="1932" spans="1:10" x14ac:dyDescent="0.3">
      <c r="A1932" t="str">
        <f>""</f>
        <v/>
      </c>
      <c r="F1932" t="s">
        <v>10</v>
      </c>
      <c r="G1932" t="str">
        <f>"9725-001-92528"</f>
        <v>9725-001-92528</v>
      </c>
      <c r="H1932" t="str">
        <f t="shared" si="15"/>
        <v>ACCT #9725-001/RECYCLED BASE</v>
      </c>
      <c r="I1932" s="2">
        <v>2730.4</v>
      </c>
      <c r="J1932" t="str">
        <f t="shared" si="16"/>
        <v>ACCT #9725-001/RECYCLED BASE</v>
      </c>
    </row>
    <row r="1933" spans="1:10" x14ac:dyDescent="0.3">
      <c r="A1933" t="str">
        <f>""</f>
        <v/>
      </c>
      <c r="F1933" t="s">
        <v>10</v>
      </c>
      <c r="G1933" t="str">
        <f>"9725-001-92560"</f>
        <v>9725-001-92560</v>
      </c>
      <c r="H1933" t="str">
        <f t="shared" si="15"/>
        <v>ACCT #9725-001/RECYCLED BASE</v>
      </c>
      <c r="I1933" s="2">
        <v>395.68</v>
      </c>
      <c r="J1933" t="str">
        <f t="shared" si="16"/>
        <v>ACCT #9725-001/RECYCLED BASE</v>
      </c>
    </row>
    <row r="1934" spans="1:10" x14ac:dyDescent="0.3">
      <c r="A1934" t="str">
        <f>""</f>
        <v/>
      </c>
      <c r="F1934" t="s">
        <v>10</v>
      </c>
      <c r="G1934" t="str">
        <f>"9725-001-92586"</f>
        <v>9725-001-92586</v>
      </c>
      <c r="H1934" t="str">
        <f t="shared" si="15"/>
        <v>ACCT #9725-001/RECYCLED BASE</v>
      </c>
      <c r="I1934" s="2">
        <v>808.95</v>
      </c>
      <c r="J1934" t="str">
        <f t="shared" si="16"/>
        <v>ACCT #9725-001/RECYCLED BASE</v>
      </c>
    </row>
    <row r="1935" spans="1:10" x14ac:dyDescent="0.3">
      <c r="A1935" t="str">
        <f>""</f>
        <v/>
      </c>
      <c r="F1935" t="s">
        <v>10</v>
      </c>
      <c r="G1935" t="str">
        <f>"9725-001-92607"</f>
        <v>9725-001-92607</v>
      </c>
      <c r="H1935" t="str">
        <f t="shared" si="15"/>
        <v>ACCT #9725-001/RECYCLED BASE</v>
      </c>
      <c r="I1935" s="2">
        <v>1800.59</v>
      </c>
      <c r="J1935" t="str">
        <f t="shared" si="16"/>
        <v>ACCT #9725-001/RECYCLED BASE</v>
      </c>
    </row>
    <row r="1936" spans="1:10" x14ac:dyDescent="0.3">
      <c r="A1936" t="str">
        <f>""</f>
        <v/>
      </c>
      <c r="F1936" t="s">
        <v>10</v>
      </c>
      <c r="G1936" t="str">
        <f>"9725-001-92636"</f>
        <v>9725-001-92636</v>
      </c>
      <c r="H1936" t="str">
        <f t="shared" si="15"/>
        <v>ACCT #9725-001/RECYCLED BASE</v>
      </c>
      <c r="I1936" s="2">
        <v>617.62</v>
      </c>
      <c r="J1936" t="str">
        <f t="shared" si="16"/>
        <v>ACCT #9725-001/RECYCLED BASE</v>
      </c>
    </row>
    <row r="1937" spans="1:10" x14ac:dyDescent="0.3">
      <c r="A1937" t="str">
        <f>""</f>
        <v/>
      </c>
      <c r="F1937" t="s">
        <v>10</v>
      </c>
      <c r="G1937" t="str">
        <f>"9725-001-92660"</f>
        <v>9725-001-92660</v>
      </c>
      <c r="H1937" t="str">
        <f t="shared" si="15"/>
        <v>ACCT #9725-001/RECYCLED BASE</v>
      </c>
      <c r="I1937" s="2">
        <v>793.06</v>
      </c>
      <c r="J1937" t="str">
        <f t="shared" si="16"/>
        <v>ACCT #9725-001/RECYCLED BASE</v>
      </c>
    </row>
    <row r="1938" spans="1:10" x14ac:dyDescent="0.3">
      <c r="A1938" t="str">
        <f>""</f>
        <v/>
      </c>
      <c r="F1938" t="s">
        <v>10</v>
      </c>
      <c r="G1938" t="str">
        <f>"9725-001-92703"</f>
        <v>9725-001-92703</v>
      </c>
      <c r="H1938" t="str">
        <f t="shared" si="15"/>
        <v>ACCT #9725-001/RECYCLED BASE</v>
      </c>
      <c r="I1938" s="2">
        <v>385.57</v>
      </c>
      <c r="J1938" t="str">
        <f t="shared" si="16"/>
        <v>ACCT #9725-001/RECYCLED BASE</v>
      </c>
    </row>
    <row r="1939" spans="1:10" x14ac:dyDescent="0.3">
      <c r="A1939" t="str">
        <f>"000598"</f>
        <v>000598</v>
      </c>
      <c r="B1939" t="s">
        <v>544</v>
      </c>
      <c r="C1939">
        <v>71336</v>
      </c>
      <c r="D1939" s="2">
        <v>146813.91</v>
      </c>
      <c r="E1939" s="1">
        <v>42912</v>
      </c>
      <c r="F1939" t="s">
        <v>10</v>
      </c>
      <c r="G1939" t="str">
        <f>"9725-001-92725"</f>
        <v>9725-001-92725</v>
      </c>
      <c r="H1939" t="str">
        <f t="shared" ref="H1939:H1945" si="17">"ACCT#9725-001/REC BASE/PCT#2"</f>
        <v>ACCT#9725-001/REC BASE/PCT#2</v>
      </c>
      <c r="I1939" s="2">
        <v>15711.05</v>
      </c>
    </row>
    <row r="1940" spans="1:10" x14ac:dyDescent="0.3">
      <c r="A1940" t="str">
        <f>""</f>
        <v/>
      </c>
      <c r="F1940" t="s">
        <v>10</v>
      </c>
      <c r="G1940" t="str">
        <f>"9725-001-92753"</f>
        <v>9725-001-92753</v>
      </c>
      <c r="H1940" t="str">
        <f t="shared" si="17"/>
        <v>ACCT#9725-001/REC BASE/PCT#2</v>
      </c>
      <c r="I1940" s="2">
        <v>16555.34</v>
      </c>
    </row>
    <row r="1941" spans="1:10" x14ac:dyDescent="0.3">
      <c r="A1941" t="str">
        <f>""</f>
        <v/>
      </c>
      <c r="F1941" t="s">
        <v>10</v>
      </c>
      <c r="G1941" t="str">
        <f>"9725-001-92789"</f>
        <v>9725-001-92789</v>
      </c>
      <c r="H1941" t="str">
        <f t="shared" si="17"/>
        <v>ACCT#9725-001/REC BASE/PCT#2</v>
      </c>
      <c r="I1941" s="2">
        <v>16761.490000000002</v>
      </c>
    </row>
    <row r="1942" spans="1:10" x14ac:dyDescent="0.3">
      <c r="A1942" t="str">
        <f>""</f>
        <v/>
      </c>
      <c r="F1942" t="s">
        <v>10</v>
      </c>
      <c r="G1942" t="str">
        <f>"9725-001-92819"</f>
        <v>9725-001-92819</v>
      </c>
      <c r="H1942" t="str">
        <f t="shared" si="17"/>
        <v>ACCT#9725-001/REC BASE/PCT#2</v>
      </c>
      <c r="I1942" s="2">
        <v>17363.150000000001</v>
      </c>
    </row>
    <row r="1943" spans="1:10" x14ac:dyDescent="0.3">
      <c r="A1943" t="str">
        <f>""</f>
        <v/>
      </c>
      <c r="F1943" t="s">
        <v>10</v>
      </c>
      <c r="G1943" t="str">
        <f>"9725-001-92867"</f>
        <v>9725-001-92867</v>
      </c>
      <c r="H1943" t="str">
        <f t="shared" si="17"/>
        <v>ACCT#9725-001/REC BASE/PCT#2</v>
      </c>
      <c r="I1943" s="2">
        <v>17740.28</v>
      </c>
    </row>
    <row r="1944" spans="1:10" x14ac:dyDescent="0.3">
      <c r="A1944" t="str">
        <f>""</f>
        <v/>
      </c>
      <c r="F1944" t="s">
        <v>10</v>
      </c>
      <c r="G1944" t="str">
        <f>"9725-001-92896"</f>
        <v>9725-001-92896</v>
      </c>
      <c r="H1944" t="str">
        <f t="shared" si="17"/>
        <v>ACCT#9725-001/REC BASE/PCT#2</v>
      </c>
      <c r="I1944" s="2">
        <v>18140.419999999998</v>
      </c>
    </row>
    <row r="1945" spans="1:10" x14ac:dyDescent="0.3">
      <c r="A1945" t="str">
        <f>""</f>
        <v/>
      </c>
      <c r="F1945" t="s">
        <v>10</v>
      </c>
      <c r="G1945" t="str">
        <f>"9725-001-92930"</f>
        <v>9725-001-92930</v>
      </c>
      <c r="H1945" t="str">
        <f t="shared" si="17"/>
        <v>ACCT#9725-001/REC BASE/PCT#2</v>
      </c>
      <c r="I1945" s="2">
        <v>18789.240000000002</v>
      </c>
    </row>
    <row r="1946" spans="1:10" x14ac:dyDescent="0.3">
      <c r="A1946" t="str">
        <f>""</f>
        <v/>
      </c>
      <c r="F1946" t="s">
        <v>10</v>
      </c>
      <c r="G1946" t="str">
        <f>"9725-008-92991"</f>
        <v>9725-008-92991</v>
      </c>
      <c r="H1946" t="str">
        <f>"ACCT#9725-008/REC BASE/PCT#2"</f>
        <v>ACCT#9725-008/REC BASE/PCT#2</v>
      </c>
      <c r="I1946" s="2">
        <v>10098.719999999999</v>
      </c>
    </row>
    <row r="1947" spans="1:10" x14ac:dyDescent="0.3">
      <c r="A1947" t="str">
        <f>""</f>
        <v/>
      </c>
      <c r="F1947" t="s">
        <v>10</v>
      </c>
      <c r="G1947" t="str">
        <f>"9725-008-93022"</f>
        <v>9725-008-93022</v>
      </c>
      <c r="H1947" t="str">
        <f>"ACCT#9725-008/REC BASE/PCT#2"</f>
        <v>ACCT#9725-008/REC BASE/PCT#2</v>
      </c>
      <c r="I1947" s="2">
        <v>15654.22</v>
      </c>
    </row>
    <row r="1948" spans="1:10" x14ac:dyDescent="0.3">
      <c r="A1948" t="str">
        <f>"000598"</f>
        <v>000598</v>
      </c>
      <c r="B1948" t="s">
        <v>544</v>
      </c>
      <c r="C1948">
        <v>71336</v>
      </c>
      <c r="D1948" s="2">
        <v>146813.91</v>
      </c>
      <c r="E1948" s="1">
        <v>42912</v>
      </c>
      <c r="F1948" t="s">
        <v>246</v>
      </c>
      <c r="G1948" t="str">
        <f>"CHECK"</f>
        <v>CHECK</v>
      </c>
      <c r="H1948" t="str">
        <f>""</f>
        <v/>
      </c>
      <c r="I1948" s="2">
        <v>146813.91</v>
      </c>
    </row>
    <row r="1949" spans="1:10" x14ac:dyDescent="0.3">
      <c r="A1949" t="str">
        <f>"000598"</f>
        <v>000598</v>
      </c>
      <c r="B1949" t="s">
        <v>544</v>
      </c>
      <c r="C1949">
        <v>71351</v>
      </c>
      <c r="D1949" s="2">
        <v>18759.52</v>
      </c>
      <c r="E1949" s="1">
        <v>42912</v>
      </c>
      <c r="F1949" t="s">
        <v>10</v>
      </c>
      <c r="G1949" t="str">
        <f>"92725"</f>
        <v>92725</v>
      </c>
      <c r="H1949" t="str">
        <f>"ACCT #9725-001 / P2"</f>
        <v>ACCT #9725-001 / P2</v>
      </c>
      <c r="I1949" s="2">
        <v>403.46</v>
      </c>
      <c r="J1949" t="str">
        <f>"ACCT #9725-001 / P2"</f>
        <v>ACCT #9725-001 / P2</v>
      </c>
    </row>
    <row r="1950" spans="1:10" x14ac:dyDescent="0.3">
      <c r="A1950" t="str">
        <f>""</f>
        <v/>
      </c>
      <c r="F1950" t="s">
        <v>10</v>
      </c>
      <c r="G1950" t="str">
        <f>"92753"</f>
        <v>92753</v>
      </c>
      <c r="H1950" t="str">
        <f>"ACCT #92753 / P2"</f>
        <v>ACCT #92753 / P2</v>
      </c>
      <c r="I1950" s="2">
        <v>844.29</v>
      </c>
      <c r="J1950" t="str">
        <f>"ACCT #92753 / P2"</f>
        <v>ACCT #92753 / P2</v>
      </c>
    </row>
    <row r="1951" spans="1:10" x14ac:dyDescent="0.3">
      <c r="A1951" t="str">
        <f>""</f>
        <v/>
      </c>
      <c r="F1951" t="s">
        <v>10</v>
      </c>
      <c r="G1951" t="str">
        <f>"92789"</f>
        <v>92789</v>
      </c>
      <c r="H1951" t="str">
        <f>"ACCT# 9725-001 / P2"</f>
        <v>ACCT# 9725-001 / P2</v>
      </c>
      <c r="I1951" s="2">
        <v>206.15</v>
      </c>
      <c r="J1951" t="str">
        <f>"ACCT# 9725-001 / P2"</f>
        <v>ACCT# 9725-001 / P2</v>
      </c>
    </row>
    <row r="1952" spans="1:10" x14ac:dyDescent="0.3">
      <c r="A1952" t="str">
        <f>""</f>
        <v/>
      </c>
      <c r="F1952" t="s">
        <v>10</v>
      </c>
      <c r="G1952" t="str">
        <f>"92819"</f>
        <v>92819</v>
      </c>
      <c r="H1952" t="str">
        <f>"ACCT #9725-001 / P2"</f>
        <v>ACCT #9725-001 / P2</v>
      </c>
      <c r="I1952" s="2">
        <v>601.66</v>
      </c>
      <c r="J1952" t="str">
        <f>"ACCT #9725-001 / P2"</f>
        <v>ACCT #9725-001 / P2</v>
      </c>
    </row>
    <row r="1953" spans="1:10" x14ac:dyDescent="0.3">
      <c r="A1953" t="str">
        <f>""</f>
        <v/>
      </c>
      <c r="F1953" t="s">
        <v>10</v>
      </c>
      <c r="G1953" t="str">
        <f>"92867"</f>
        <v>92867</v>
      </c>
      <c r="H1953" t="str">
        <f>"ACCT #9725-001 / P2"</f>
        <v>ACCT #9725-001 / P2</v>
      </c>
      <c r="I1953" s="2">
        <v>377.13</v>
      </c>
      <c r="J1953" t="str">
        <f>"ACCT #9725-001 / P2"</f>
        <v>ACCT #9725-001 / P2</v>
      </c>
    </row>
    <row r="1954" spans="1:10" x14ac:dyDescent="0.3">
      <c r="A1954" t="str">
        <f>""</f>
        <v/>
      </c>
      <c r="F1954" t="s">
        <v>10</v>
      </c>
      <c r="G1954" t="str">
        <f>"92896"</f>
        <v>92896</v>
      </c>
      <c r="H1954" t="str">
        <f>"ACCT # 9725-001 / P2"</f>
        <v>ACCT # 9725-001 / P2</v>
      </c>
      <c r="I1954" s="2">
        <v>400.14</v>
      </c>
      <c r="J1954" t="str">
        <f>"ACCT # 9725-001 / P2"</f>
        <v>ACCT # 9725-001 / P2</v>
      </c>
    </row>
    <row r="1955" spans="1:10" x14ac:dyDescent="0.3">
      <c r="A1955" t="str">
        <f>""</f>
        <v/>
      </c>
      <c r="F1955" t="s">
        <v>10</v>
      </c>
      <c r="G1955" t="str">
        <f>"92930"</f>
        <v>92930</v>
      </c>
      <c r="H1955" t="str">
        <f>"ACCT # 9725-001 / P2"</f>
        <v>ACCT # 9725-001 / P2</v>
      </c>
      <c r="I1955" s="2">
        <v>648.82000000000005</v>
      </c>
      <c r="J1955" t="str">
        <f>"ACCT # 9725-001 / P2"</f>
        <v>ACCT # 9725-001 / P2</v>
      </c>
    </row>
    <row r="1956" spans="1:10" x14ac:dyDescent="0.3">
      <c r="A1956" t="str">
        <f>""</f>
        <v/>
      </c>
      <c r="F1956" t="s">
        <v>10</v>
      </c>
      <c r="G1956" t="str">
        <f>"92991"</f>
        <v>92991</v>
      </c>
      <c r="H1956" t="str">
        <f>"ACCT # 9725-008 / P2"</f>
        <v>ACCT # 9725-008 / P2</v>
      </c>
      <c r="I1956" s="2">
        <v>10098.719999999999</v>
      </c>
      <c r="J1956" t="str">
        <f>"ACCT # 9725-008 / P2"</f>
        <v>ACCT # 9725-008 / P2</v>
      </c>
    </row>
    <row r="1957" spans="1:10" x14ac:dyDescent="0.3">
      <c r="A1957" t="str">
        <f>""</f>
        <v/>
      </c>
      <c r="F1957" t="s">
        <v>10</v>
      </c>
      <c r="G1957" t="str">
        <f>"93022"</f>
        <v>93022</v>
      </c>
      <c r="H1957" t="str">
        <f>"ACCT # 9725-008 / P2"</f>
        <v>ACCT # 9725-008 / P2</v>
      </c>
      <c r="I1957" s="2">
        <v>5179.1499999999996</v>
      </c>
      <c r="J1957" t="str">
        <f>"ACCT # 9725-008 / P2"</f>
        <v>ACCT # 9725-008 / P2</v>
      </c>
    </row>
    <row r="1958" spans="1:10" x14ac:dyDescent="0.3">
      <c r="A1958" t="str">
        <f>"001018"</f>
        <v>001018</v>
      </c>
      <c r="B1958" t="s">
        <v>545</v>
      </c>
      <c r="C1958">
        <v>71074</v>
      </c>
      <c r="D1958" s="2">
        <v>310</v>
      </c>
      <c r="E1958" s="1">
        <v>42898</v>
      </c>
      <c r="F1958" t="s">
        <v>10</v>
      </c>
      <c r="G1958" t="str">
        <f>"201706062662"</f>
        <v>201706062662</v>
      </c>
      <c r="H1958" t="str">
        <f>"REPAIRS TO GOOSE NECK TRAILER"</f>
        <v>REPAIRS TO GOOSE NECK TRAILER</v>
      </c>
      <c r="I1958" s="2">
        <v>310</v>
      </c>
      <c r="J1958" t="str">
        <f>"REPAIRS TO GOOSE NECK TRAILER"</f>
        <v>REPAIRS TO GOOSE NECK TRAILER</v>
      </c>
    </row>
    <row r="1959" spans="1:10" x14ac:dyDescent="0.3">
      <c r="A1959" t="str">
        <f>"ALLIED"</f>
        <v>ALLIED</v>
      </c>
      <c r="B1959" t="s">
        <v>546</v>
      </c>
      <c r="C1959">
        <v>71075</v>
      </c>
      <c r="D1959" s="2">
        <v>621.48</v>
      </c>
      <c r="E1959" s="1">
        <v>42898</v>
      </c>
      <c r="F1959" t="s">
        <v>10</v>
      </c>
      <c r="G1959" t="str">
        <f>"31372816"</f>
        <v>31372816</v>
      </c>
      <c r="H1959" t="str">
        <f>"CUST ID #27615/SUPPLIES"</f>
        <v>CUST ID #27615/SUPPLIES</v>
      </c>
      <c r="I1959" s="2">
        <v>242.98</v>
      </c>
      <c r="J1959" t="str">
        <f>"CUST ID #27615/SUPPLIES"</f>
        <v>CUST ID #27615/SUPPLIES</v>
      </c>
    </row>
    <row r="1960" spans="1:10" x14ac:dyDescent="0.3">
      <c r="A1960" t="str">
        <f>""</f>
        <v/>
      </c>
      <c r="F1960" t="s">
        <v>10</v>
      </c>
      <c r="G1960" t="str">
        <f>"31412992"</f>
        <v>31412992</v>
      </c>
      <c r="H1960" t="str">
        <f>"CUST ID #27615/SUPPLIES"</f>
        <v>CUST ID #27615/SUPPLIES</v>
      </c>
      <c r="I1960" s="2">
        <v>378.5</v>
      </c>
      <c r="J1960" t="str">
        <f>"CUST ID #27615/SUPPLIES"</f>
        <v>CUST ID #27615/SUPPLIES</v>
      </c>
    </row>
    <row r="1961" spans="1:10" x14ac:dyDescent="0.3">
      <c r="A1961" t="str">
        <f>"AQUAB"</f>
        <v>AQUAB</v>
      </c>
      <c r="B1961" t="s">
        <v>41</v>
      </c>
      <c r="C1961">
        <v>71076</v>
      </c>
      <c r="D1961" s="2">
        <v>236.8</v>
      </c>
      <c r="E1961" s="1">
        <v>42898</v>
      </c>
      <c r="F1961" t="s">
        <v>10</v>
      </c>
      <c r="G1961" t="str">
        <f>"201706062777"</f>
        <v>201706062777</v>
      </c>
      <c r="H1961" t="str">
        <f>"ACCT#015397/BOOTCAMP"</f>
        <v>ACCT#015397/BOOTCAMP</v>
      </c>
      <c r="I1961" s="2">
        <v>48.84</v>
      </c>
    </row>
    <row r="1962" spans="1:10" x14ac:dyDescent="0.3">
      <c r="A1962" t="str">
        <f>""</f>
        <v/>
      </c>
      <c r="F1962" t="s">
        <v>10</v>
      </c>
      <c r="G1962" t="str">
        <f>"201706062778"</f>
        <v>201706062778</v>
      </c>
      <c r="H1962" t="str">
        <f>"ACCT#014877/OEM"</f>
        <v>ACCT#014877/OEM</v>
      </c>
      <c r="I1962" s="2">
        <v>50</v>
      </c>
    </row>
    <row r="1963" spans="1:10" x14ac:dyDescent="0.3">
      <c r="A1963" t="str">
        <f>""</f>
        <v/>
      </c>
      <c r="F1963" t="s">
        <v>10</v>
      </c>
      <c r="G1963" t="str">
        <f>"201706062779"</f>
        <v>201706062779</v>
      </c>
      <c r="H1963" t="str">
        <f>"CUST#1645/OEM"</f>
        <v>CUST#1645/OEM</v>
      </c>
      <c r="I1963" s="2">
        <v>137.96</v>
      </c>
    </row>
    <row r="1964" spans="1:10" x14ac:dyDescent="0.3">
      <c r="A1964" t="str">
        <f>"AQUAB"</f>
        <v>AQUAB</v>
      </c>
      <c r="B1964" t="s">
        <v>41</v>
      </c>
      <c r="C1964">
        <v>71076</v>
      </c>
      <c r="D1964" s="2">
        <v>236.8</v>
      </c>
      <c r="E1964" s="1">
        <v>42898</v>
      </c>
      <c r="F1964" t="s">
        <v>246</v>
      </c>
      <c r="G1964" t="str">
        <f>"CHECK"</f>
        <v>CHECK</v>
      </c>
      <c r="H1964" t="str">
        <f>""</f>
        <v/>
      </c>
      <c r="I1964" s="2">
        <v>236.8</v>
      </c>
    </row>
    <row r="1965" spans="1:10" x14ac:dyDescent="0.3">
      <c r="A1965" t="str">
        <f>"AQUAB"</f>
        <v>AQUAB</v>
      </c>
      <c r="B1965" t="s">
        <v>41</v>
      </c>
      <c r="C1965">
        <v>71092</v>
      </c>
      <c r="D1965" s="2">
        <v>98.84</v>
      </c>
      <c r="E1965" s="1">
        <v>42899</v>
      </c>
      <c r="F1965" t="s">
        <v>10</v>
      </c>
      <c r="G1965" t="str">
        <f>"201706133037"</f>
        <v>201706133037</v>
      </c>
      <c r="H1965" t="str">
        <f>"ACCT # 015397 - BOOT CAMP 0531"</f>
        <v>ACCT # 015397 - BOOT CAMP 0531</v>
      </c>
      <c r="I1965" s="2">
        <v>48.84</v>
      </c>
      <c r="J1965" t="str">
        <f>"ACCT # 015397 - BOOT CAMP 0531"</f>
        <v>ACCT # 015397 - BOOT CAMP 0531</v>
      </c>
    </row>
    <row r="1966" spans="1:10" x14ac:dyDescent="0.3">
      <c r="A1966" t="str">
        <f>""</f>
        <v/>
      </c>
      <c r="F1966" t="s">
        <v>10</v>
      </c>
      <c r="G1966" t="str">
        <f>"201706133038"</f>
        <v>201706133038</v>
      </c>
      <c r="H1966" t="str">
        <f>"ACCT # 014877 - OEM 0531"</f>
        <v>ACCT # 014877 - OEM 0531</v>
      </c>
      <c r="I1966" s="2">
        <v>50</v>
      </c>
      <c r="J1966" t="str">
        <f>"AQUA BEVERAGE COMPANY/OZARKA"</f>
        <v>AQUA BEVERAGE COMPANY/OZARKA</v>
      </c>
    </row>
    <row r="1967" spans="1:10" x14ac:dyDescent="0.3">
      <c r="A1967" t="str">
        <f>"B&amp;B"</f>
        <v>B&amp;B</v>
      </c>
      <c r="B1967" t="s">
        <v>54</v>
      </c>
      <c r="C1967">
        <v>71093</v>
      </c>
      <c r="D1967" s="2">
        <v>137.96</v>
      </c>
      <c r="E1967" s="1">
        <v>42899</v>
      </c>
      <c r="F1967" t="s">
        <v>10</v>
      </c>
      <c r="G1967" t="str">
        <f>"201706133039"</f>
        <v>201706133039</v>
      </c>
      <c r="H1967" t="str">
        <f>"CUST # 1645 / OEM 0531"</f>
        <v>CUST # 1645 / OEM 0531</v>
      </c>
      <c r="I1967" s="2">
        <v>137.96</v>
      </c>
      <c r="J1967" t="str">
        <f>"CUST # 1645 / OEM 0531"</f>
        <v>CUST # 1645 / OEM 0531</v>
      </c>
    </row>
    <row r="1968" spans="1:10" x14ac:dyDescent="0.3">
      <c r="A1968" t="str">
        <f>"T3799"</f>
        <v>T3799</v>
      </c>
      <c r="B1968" t="s">
        <v>84</v>
      </c>
      <c r="C1968">
        <v>71077</v>
      </c>
      <c r="D1968" s="2">
        <v>4395.91</v>
      </c>
      <c r="E1968" s="1">
        <v>42898</v>
      </c>
      <c r="F1968" t="s">
        <v>10</v>
      </c>
      <c r="G1968" t="str">
        <f>"154"</f>
        <v>154</v>
      </c>
      <c r="H1968" t="str">
        <f>"FUEL OEM"</f>
        <v>FUEL OEM</v>
      </c>
      <c r="I1968" s="2">
        <v>4395.91</v>
      </c>
      <c r="J1968" t="str">
        <f>"FUEL OEM"</f>
        <v>FUEL OEM</v>
      </c>
    </row>
    <row r="1969" spans="1:10" x14ac:dyDescent="0.3">
      <c r="A1969" t="str">
        <f>"000719"</f>
        <v>000719</v>
      </c>
      <c r="B1969" t="s">
        <v>86</v>
      </c>
      <c r="C1969">
        <v>71337</v>
      </c>
      <c r="D1969" s="2">
        <v>197.96</v>
      </c>
      <c r="E1969" s="1">
        <v>42912</v>
      </c>
      <c r="F1969" t="s">
        <v>10</v>
      </c>
      <c r="G1969" t="str">
        <f>"5207"</f>
        <v>5207</v>
      </c>
      <c r="H1969" t="str">
        <f>"REPAIRS/OEM"</f>
        <v>REPAIRS/OEM</v>
      </c>
      <c r="I1969" s="2">
        <v>197.96</v>
      </c>
      <c r="J1969" t="str">
        <f>"REPAIRS/OEM"</f>
        <v>REPAIRS/OEM</v>
      </c>
    </row>
    <row r="1970" spans="1:10" x14ac:dyDescent="0.3">
      <c r="A1970" t="str">
        <f>"BEC"</f>
        <v>BEC</v>
      </c>
      <c r="B1970" t="s">
        <v>104</v>
      </c>
      <c r="C1970">
        <v>71098</v>
      </c>
      <c r="D1970" s="2">
        <v>166.69</v>
      </c>
      <c r="E1970" s="1">
        <v>42906</v>
      </c>
      <c r="F1970" t="s">
        <v>10</v>
      </c>
      <c r="G1970" t="str">
        <f>"201706203173"</f>
        <v>201706203173</v>
      </c>
      <c r="H1970" t="str">
        <f>"ACCT #5000057374 - 06/05/2017"</f>
        <v>ACCT #5000057374 - 06/05/2017</v>
      </c>
      <c r="I1970" s="2">
        <v>166.69</v>
      </c>
      <c r="J1970" t="str">
        <f>"ACCT #5000057374 - 06/05/2017"</f>
        <v>ACCT #5000057374 - 06/05/2017</v>
      </c>
    </row>
    <row r="1971" spans="1:10" x14ac:dyDescent="0.3">
      <c r="A1971" t="str">
        <f>"002469"</f>
        <v>002469</v>
      </c>
      <c r="B1971" t="s">
        <v>547</v>
      </c>
      <c r="C1971">
        <v>71338</v>
      </c>
      <c r="D1971" s="2">
        <v>6048.68</v>
      </c>
      <c r="E1971" s="1">
        <v>42912</v>
      </c>
      <c r="F1971" t="s">
        <v>10</v>
      </c>
      <c r="G1971" t="str">
        <f>"15901-19"</f>
        <v>15901-19</v>
      </c>
      <c r="H1971" t="str">
        <f>"ESD#2/FIRE STATION #4"</f>
        <v>ESD#2/FIRE STATION #4</v>
      </c>
      <c r="I1971" s="2">
        <v>6048.68</v>
      </c>
      <c r="J1971" t="str">
        <f>"ESD#2/FIRE STATION #4"</f>
        <v>ESD#2/FIRE STATION #4</v>
      </c>
    </row>
    <row r="1972" spans="1:10" x14ac:dyDescent="0.3">
      <c r="A1972" t="str">
        <f>"CENTEX"</f>
        <v>CENTEX</v>
      </c>
      <c r="B1972" t="s">
        <v>119</v>
      </c>
      <c r="C1972">
        <v>71078</v>
      </c>
      <c r="D1972" s="2">
        <v>36361.5</v>
      </c>
      <c r="E1972" s="1">
        <v>42898</v>
      </c>
      <c r="F1972" t="s">
        <v>10</v>
      </c>
      <c r="G1972" t="str">
        <f>"30117505"</f>
        <v>30117505</v>
      </c>
      <c r="H1972" t="str">
        <f>"BASPCT2/MATERIALS"</f>
        <v>BASPCT2/MATERIALS</v>
      </c>
      <c r="I1972" s="2">
        <v>2556.54</v>
      </c>
      <c r="J1972" t="str">
        <f>"BASPCT2/MATERIALS"</f>
        <v>BASPCT2/MATERIALS</v>
      </c>
    </row>
    <row r="1973" spans="1:10" x14ac:dyDescent="0.3">
      <c r="A1973" t="str">
        <f>""</f>
        <v/>
      </c>
      <c r="F1973" t="s">
        <v>10</v>
      </c>
      <c r="G1973" t="str">
        <f>"30117535"</f>
        <v>30117535</v>
      </c>
      <c r="H1973" t="str">
        <f>"BASPCT2/MATERIALS"</f>
        <v>BASPCT2/MATERIALS</v>
      </c>
      <c r="I1973" s="2">
        <v>1965.18</v>
      </c>
      <c r="J1973" t="str">
        <f>"BASPCT2"</f>
        <v>BASPCT2</v>
      </c>
    </row>
    <row r="1974" spans="1:10" x14ac:dyDescent="0.3">
      <c r="A1974" t="str">
        <f>""</f>
        <v/>
      </c>
      <c r="F1974" t="s">
        <v>10</v>
      </c>
      <c r="G1974" t="str">
        <f>"30117568"</f>
        <v>30117568</v>
      </c>
      <c r="H1974" t="str">
        <f>"BASPCT2/MATERIALS"</f>
        <v>BASPCT2/MATERIALS</v>
      </c>
      <c r="I1974" s="2">
        <v>7095.9</v>
      </c>
      <c r="J1974" t="str">
        <f>"BASPCT2/MATERIALS"</f>
        <v>BASPCT2/MATERIALS</v>
      </c>
    </row>
    <row r="1975" spans="1:10" x14ac:dyDescent="0.3">
      <c r="A1975" t="str">
        <f>""</f>
        <v/>
      </c>
      <c r="F1975" t="s">
        <v>10</v>
      </c>
      <c r="G1975" t="str">
        <f>"30117597"</f>
        <v>30117597</v>
      </c>
      <c r="H1975" t="str">
        <f t="shared" ref="H1975:H1987" si="18">"CUST #BASPCT2/MATERIALS"</f>
        <v>CUST #BASPCT2/MATERIALS</v>
      </c>
      <c r="I1975" s="2">
        <v>3040.59</v>
      </c>
      <c r="J1975" t="str">
        <f t="shared" ref="J1975:J1987" si="19">"CUST #BASPCT2/MATERIALS"</f>
        <v>CUST #BASPCT2/MATERIALS</v>
      </c>
    </row>
    <row r="1976" spans="1:10" x14ac:dyDescent="0.3">
      <c r="A1976" t="str">
        <f>""</f>
        <v/>
      </c>
      <c r="F1976" t="s">
        <v>10</v>
      </c>
      <c r="G1976" t="str">
        <f>"30117627"</f>
        <v>30117627</v>
      </c>
      <c r="H1976" t="str">
        <f t="shared" si="18"/>
        <v>CUST #BASPCT2/MATERIALS</v>
      </c>
      <c r="I1976" s="2">
        <v>1563.66</v>
      </c>
      <c r="J1976" t="str">
        <f t="shared" si="19"/>
        <v>CUST #BASPCT2/MATERIALS</v>
      </c>
    </row>
    <row r="1977" spans="1:10" x14ac:dyDescent="0.3">
      <c r="A1977" t="str">
        <f>""</f>
        <v/>
      </c>
      <c r="F1977" t="s">
        <v>10</v>
      </c>
      <c r="G1977" t="str">
        <f>"30117656"</f>
        <v>30117656</v>
      </c>
      <c r="H1977" t="str">
        <f t="shared" si="18"/>
        <v>CUST #BASPCT2/MATERIALS</v>
      </c>
      <c r="I1977" s="2">
        <v>1486.8</v>
      </c>
      <c r="J1977" t="str">
        <f t="shared" si="19"/>
        <v>CUST #BASPCT2/MATERIALS</v>
      </c>
    </row>
    <row r="1978" spans="1:10" x14ac:dyDescent="0.3">
      <c r="A1978" t="str">
        <f>""</f>
        <v/>
      </c>
      <c r="F1978" t="s">
        <v>10</v>
      </c>
      <c r="G1978" t="str">
        <f>"30117689"</f>
        <v>30117689</v>
      </c>
      <c r="H1978" t="str">
        <f t="shared" si="18"/>
        <v>CUST #BASPCT2/MATERIALS</v>
      </c>
      <c r="I1978" s="2">
        <v>1514.73</v>
      </c>
      <c r="J1978" t="str">
        <f t="shared" si="19"/>
        <v>CUST #BASPCT2/MATERIALS</v>
      </c>
    </row>
    <row r="1979" spans="1:10" x14ac:dyDescent="0.3">
      <c r="A1979" t="str">
        <f>""</f>
        <v/>
      </c>
      <c r="F1979" t="s">
        <v>10</v>
      </c>
      <c r="G1979" t="str">
        <f>"30117784"</f>
        <v>30117784</v>
      </c>
      <c r="H1979" t="str">
        <f t="shared" si="18"/>
        <v>CUST #BASPCT2/MATERIALS</v>
      </c>
      <c r="I1979" s="2">
        <v>961.59</v>
      </c>
      <c r="J1979" t="str">
        <f t="shared" si="19"/>
        <v>CUST #BASPCT2/MATERIALS</v>
      </c>
    </row>
    <row r="1980" spans="1:10" x14ac:dyDescent="0.3">
      <c r="A1980" t="str">
        <f>""</f>
        <v/>
      </c>
      <c r="F1980" t="s">
        <v>10</v>
      </c>
      <c r="G1980" t="str">
        <f>"30117994"</f>
        <v>30117994</v>
      </c>
      <c r="H1980" t="str">
        <f t="shared" si="18"/>
        <v>CUST #BASPCT2/MATERIALS</v>
      </c>
      <c r="I1980" s="2">
        <v>1509.48</v>
      </c>
      <c r="J1980" t="str">
        <f t="shared" si="19"/>
        <v>CUST #BASPCT2/MATERIALS</v>
      </c>
    </row>
    <row r="1981" spans="1:10" x14ac:dyDescent="0.3">
      <c r="A1981" t="str">
        <f>""</f>
        <v/>
      </c>
      <c r="F1981" t="s">
        <v>10</v>
      </c>
      <c r="G1981" t="str">
        <f>"30118029"</f>
        <v>30118029</v>
      </c>
      <c r="H1981" t="str">
        <f t="shared" si="18"/>
        <v>CUST #BASPCT2/MATERIALS</v>
      </c>
      <c r="I1981" s="2">
        <v>3548.37</v>
      </c>
      <c r="J1981" t="str">
        <f t="shared" si="19"/>
        <v>CUST #BASPCT2/MATERIALS</v>
      </c>
    </row>
    <row r="1982" spans="1:10" x14ac:dyDescent="0.3">
      <c r="A1982" t="str">
        <f>""</f>
        <v/>
      </c>
      <c r="F1982" t="s">
        <v>10</v>
      </c>
      <c r="G1982" t="str">
        <f>"30118067"</f>
        <v>30118067</v>
      </c>
      <c r="H1982" t="str">
        <f t="shared" si="18"/>
        <v>CUST #BASPCT2/MATERIALS</v>
      </c>
      <c r="I1982" s="2">
        <v>526.26</v>
      </c>
      <c r="J1982" t="str">
        <f t="shared" si="19"/>
        <v>CUST #BASPCT2/MATERIALS</v>
      </c>
    </row>
    <row r="1983" spans="1:10" x14ac:dyDescent="0.3">
      <c r="A1983" t="str">
        <f>""</f>
        <v/>
      </c>
      <c r="F1983" t="s">
        <v>10</v>
      </c>
      <c r="G1983" t="str">
        <f>"30118099"</f>
        <v>30118099</v>
      </c>
      <c r="H1983" t="str">
        <f t="shared" si="18"/>
        <v>CUST #BASPCT2/MATERIALS</v>
      </c>
      <c r="I1983" s="2">
        <v>3103.59</v>
      </c>
      <c r="J1983" t="str">
        <f t="shared" si="19"/>
        <v>CUST #BASPCT2/MATERIALS</v>
      </c>
    </row>
    <row r="1984" spans="1:10" x14ac:dyDescent="0.3">
      <c r="A1984" t="str">
        <f>""</f>
        <v/>
      </c>
      <c r="F1984" t="s">
        <v>10</v>
      </c>
      <c r="G1984" t="str">
        <f>"30118128"</f>
        <v>30118128</v>
      </c>
      <c r="H1984" t="str">
        <f t="shared" si="18"/>
        <v>CUST #BASPCT2/MATERIALS</v>
      </c>
      <c r="I1984" s="2">
        <v>1470.21</v>
      </c>
      <c r="J1984" t="str">
        <f t="shared" si="19"/>
        <v>CUST #BASPCT2/MATERIALS</v>
      </c>
    </row>
    <row r="1985" spans="1:10" x14ac:dyDescent="0.3">
      <c r="A1985" t="str">
        <f>""</f>
        <v/>
      </c>
      <c r="F1985" t="s">
        <v>10</v>
      </c>
      <c r="G1985" t="str">
        <f>"30118165"</f>
        <v>30118165</v>
      </c>
      <c r="H1985" t="str">
        <f t="shared" si="18"/>
        <v>CUST #BASPCT2/MATERIALS</v>
      </c>
      <c r="I1985" s="2">
        <v>1991.85</v>
      </c>
      <c r="J1985" t="str">
        <f t="shared" si="19"/>
        <v>CUST #BASPCT2/MATERIALS</v>
      </c>
    </row>
    <row r="1986" spans="1:10" x14ac:dyDescent="0.3">
      <c r="A1986" t="str">
        <f>""</f>
        <v/>
      </c>
      <c r="F1986" t="s">
        <v>10</v>
      </c>
      <c r="G1986" t="str">
        <f>"30118208"</f>
        <v>30118208</v>
      </c>
      <c r="H1986" t="str">
        <f t="shared" si="18"/>
        <v>CUST #BASPCT2/MATERIALS</v>
      </c>
      <c r="I1986" s="2">
        <v>1020.81</v>
      </c>
      <c r="J1986" t="str">
        <f t="shared" si="19"/>
        <v>CUST #BASPCT2/MATERIALS</v>
      </c>
    </row>
    <row r="1987" spans="1:10" x14ac:dyDescent="0.3">
      <c r="A1987" t="str">
        <f>""</f>
        <v/>
      </c>
      <c r="F1987" t="s">
        <v>10</v>
      </c>
      <c r="G1987" t="str">
        <f>"30118235"</f>
        <v>30118235</v>
      </c>
      <c r="H1987" t="str">
        <f t="shared" si="18"/>
        <v>CUST #BASPCT2/MATERIALS</v>
      </c>
      <c r="I1987" s="2">
        <v>995.4</v>
      </c>
      <c r="J1987" t="str">
        <f t="shared" si="19"/>
        <v>CUST #BASPCT2/MATERIALS</v>
      </c>
    </row>
    <row r="1988" spans="1:10" x14ac:dyDescent="0.3">
      <c r="A1988" t="str">
        <f>""</f>
        <v/>
      </c>
      <c r="F1988" t="s">
        <v>10</v>
      </c>
      <c r="G1988" t="str">
        <f>"30118307"</f>
        <v>30118307</v>
      </c>
      <c r="H1988" t="str">
        <f>"BASPCT2/MATERIALS"</f>
        <v>BASPCT2/MATERIALS</v>
      </c>
      <c r="I1988" s="2">
        <v>2010.54</v>
      </c>
      <c r="J1988" t="str">
        <f>"BASPCT2/MATERIALS"</f>
        <v>BASPCT2/MATERIALS</v>
      </c>
    </row>
    <row r="1989" spans="1:10" x14ac:dyDescent="0.3">
      <c r="A1989" t="str">
        <f>"BCO"</f>
        <v>BCO</v>
      </c>
      <c r="B1989" t="s">
        <v>135</v>
      </c>
      <c r="C1989">
        <v>70691</v>
      </c>
      <c r="D1989" s="2">
        <v>325</v>
      </c>
      <c r="E1989" s="1">
        <v>42893</v>
      </c>
      <c r="F1989" t="s">
        <v>10</v>
      </c>
      <c r="G1989" t="str">
        <f>"201706072948"</f>
        <v>201706072948</v>
      </c>
      <c r="H1989" t="str">
        <f>"CONDITIONAL USE PERMIT"</f>
        <v>CONDITIONAL USE PERMIT</v>
      </c>
      <c r="I1989" s="2">
        <v>325</v>
      </c>
      <c r="J1989" t="str">
        <f>"CONDITIONAL USE PERMIT"</f>
        <v>CONDITIONAL USE PERMIT</v>
      </c>
    </row>
    <row r="1990" spans="1:10" x14ac:dyDescent="0.3">
      <c r="A1990" t="str">
        <f>"COB"</f>
        <v>COB</v>
      </c>
      <c r="B1990" t="s">
        <v>135</v>
      </c>
      <c r="C1990">
        <v>71079</v>
      </c>
      <c r="D1990" s="2">
        <v>62508.160000000003</v>
      </c>
      <c r="E1990" s="1">
        <v>42898</v>
      </c>
      <c r="F1990" t="s">
        <v>10</v>
      </c>
      <c r="G1990" t="str">
        <f>"BASTROP SHELTER"</f>
        <v>BASTROP SHELTER</v>
      </c>
      <c r="H1990" t="str">
        <f>"SHELTER/ACTIVITY CENTER"</f>
        <v>SHELTER/ACTIVITY CENTER</v>
      </c>
      <c r="I1990" s="2">
        <v>62508.160000000003</v>
      </c>
      <c r="J1990" t="str">
        <f>"SHELTER/ACTIVITY CENTER"</f>
        <v>SHELTER/ACTIVITY CENTER</v>
      </c>
    </row>
    <row r="1991" spans="1:10" x14ac:dyDescent="0.3">
      <c r="A1991" t="str">
        <f>"SCO"</f>
        <v>SCO</v>
      </c>
      <c r="B1991" t="s">
        <v>137</v>
      </c>
      <c r="C1991">
        <v>71080</v>
      </c>
      <c r="D1991" s="2">
        <v>120836.3</v>
      </c>
      <c r="E1991" s="1">
        <v>42898</v>
      </c>
      <c r="F1991" t="s">
        <v>10</v>
      </c>
      <c r="G1991" t="str">
        <f>"SMITHVILLE COM APP"</f>
        <v>SMITHVILLE COM APP</v>
      </c>
      <c r="H1991" t="str">
        <f>"SMITHVILLE COMMUNITY APP"</f>
        <v>SMITHVILLE COMMUNITY APP</v>
      </c>
      <c r="I1991" s="2">
        <v>120836.3</v>
      </c>
      <c r="J1991" t="str">
        <f>"SMITHVILLE COMMUNITY APP"</f>
        <v>SMITHVILLE COMMUNITY APP</v>
      </c>
    </row>
    <row r="1992" spans="1:10" x14ac:dyDescent="0.3">
      <c r="A1992" t="str">
        <f>"SCO"</f>
        <v>SCO</v>
      </c>
      <c r="B1992" t="s">
        <v>137</v>
      </c>
      <c r="C1992">
        <v>71339</v>
      </c>
      <c r="D1992" s="2">
        <v>67931.92</v>
      </c>
      <c r="E1992" s="1">
        <v>42912</v>
      </c>
      <c r="F1992" t="s">
        <v>10</v>
      </c>
      <c r="G1992" t="str">
        <f>"201706193147"</f>
        <v>201706193147</v>
      </c>
      <c r="H1992" t="str">
        <f>"PROJECT#CBG NO WFR 010001"</f>
        <v>PROJECT#CBG NO WFR 010001</v>
      </c>
      <c r="I1992" s="2">
        <v>67931.92</v>
      </c>
      <c r="J1992" t="str">
        <f>"PROJECT#CBG NO WFR 010001"</f>
        <v>PROJECT#CBG NO WFR 010001</v>
      </c>
    </row>
    <row r="1993" spans="1:10" x14ac:dyDescent="0.3">
      <c r="A1993" t="str">
        <f>"003723"</f>
        <v>003723</v>
      </c>
      <c r="B1993" t="s">
        <v>153</v>
      </c>
      <c r="C1993">
        <v>71081</v>
      </c>
      <c r="D1993" s="2">
        <v>1300</v>
      </c>
      <c r="E1993" s="1">
        <v>42898</v>
      </c>
      <c r="F1993" t="s">
        <v>10</v>
      </c>
      <c r="G1993" t="str">
        <f>"18851"</f>
        <v>18851</v>
      </c>
      <c r="H1993" t="str">
        <f>"MATERIALS/INV #18851"</f>
        <v>MATERIALS/INV #18851</v>
      </c>
      <c r="I1993" s="2">
        <v>300</v>
      </c>
      <c r="J1993" t="str">
        <f>"MATERIALS/INV #18851"</f>
        <v>MATERIALS/INV #18851</v>
      </c>
    </row>
    <row r="1994" spans="1:10" x14ac:dyDescent="0.3">
      <c r="A1994" t="str">
        <f>""</f>
        <v/>
      </c>
      <c r="F1994" t="s">
        <v>10</v>
      </c>
      <c r="G1994" t="str">
        <f>"18871"</f>
        <v>18871</v>
      </c>
      <c r="H1994" t="str">
        <f>"MATERIALS/INV #18871"</f>
        <v>MATERIALS/INV #18871</v>
      </c>
      <c r="I1994" s="2">
        <v>1000</v>
      </c>
      <c r="J1994" t="str">
        <f>"MATERIALS/INV #18871"</f>
        <v>MATERIALS/INV #18871</v>
      </c>
    </row>
    <row r="1995" spans="1:10" x14ac:dyDescent="0.3">
      <c r="A1995" t="str">
        <f>"DELL"</f>
        <v>DELL</v>
      </c>
      <c r="B1995" t="s">
        <v>171</v>
      </c>
      <c r="C1995">
        <v>71340</v>
      </c>
      <c r="D1995" s="2">
        <v>1157.26</v>
      </c>
      <c r="E1995" s="1">
        <v>42912</v>
      </c>
      <c r="F1995" t="s">
        <v>10</v>
      </c>
      <c r="G1995" t="str">
        <f>"10171591415"</f>
        <v>10171591415</v>
      </c>
      <c r="H1995" t="str">
        <f>"Inv# 10171591415"</f>
        <v>Inv# 10171591415</v>
      </c>
      <c r="I1995" s="2">
        <v>1157.26</v>
      </c>
      <c r="J1995" t="str">
        <f>"Inv# 10171591415"</f>
        <v>Inv# 10171591415</v>
      </c>
    </row>
    <row r="1996" spans="1:10" x14ac:dyDescent="0.3">
      <c r="A1996" t="str">
        <f>"000589"</f>
        <v>000589</v>
      </c>
      <c r="B1996" t="s">
        <v>199</v>
      </c>
      <c r="C1996">
        <v>71082</v>
      </c>
      <c r="D1996" s="2">
        <v>5828.25</v>
      </c>
      <c r="E1996" s="1">
        <v>42898</v>
      </c>
      <c r="F1996" t="s">
        <v>10</v>
      </c>
      <c r="G1996" t="str">
        <f>"9401632555"</f>
        <v>9401632555</v>
      </c>
      <c r="H1996" t="str">
        <f>"FREIGHT/BID#16BCP04E"</f>
        <v>FREIGHT/BID#16BCP04E</v>
      </c>
      <c r="I1996" s="2">
        <v>5788.25</v>
      </c>
      <c r="J1996" t="str">
        <f>"FREIGHT/BID#16BCP04E"</f>
        <v>FREIGHT/BID#16BCP04E</v>
      </c>
    </row>
    <row r="1997" spans="1:10" x14ac:dyDescent="0.3">
      <c r="A1997" t="str">
        <f>""</f>
        <v/>
      </c>
      <c r="F1997" t="s">
        <v>10</v>
      </c>
      <c r="G1997" t="str">
        <f>"9401642178"</f>
        <v>9401642178</v>
      </c>
      <c r="H1997" t="str">
        <f>"DEMURRAGE"</f>
        <v>DEMURRAGE</v>
      </c>
      <c r="I1997" s="2">
        <v>40</v>
      </c>
      <c r="J1997" t="str">
        <f>"DEMURRAGE"</f>
        <v>DEMURRAGE</v>
      </c>
    </row>
    <row r="1998" spans="1:10" x14ac:dyDescent="0.3">
      <c r="A1998" t="str">
        <f>"000589"</f>
        <v>000589</v>
      </c>
      <c r="B1998" t="s">
        <v>199</v>
      </c>
      <c r="C1998">
        <v>71341</v>
      </c>
      <c r="D1998" s="2">
        <v>7617.24</v>
      </c>
      <c r="E1998" s="1">
        <v>42912</v>
      </c>
      <c r="F1998" t="s">
        <v>10</v>
      </c>
      <c r="G1998" t="str">
        <f>"9401651964"</f>
        <v>9401651964</v>
      </c>
      <c r="H1998" t="str">
        <f>"CUST#912904/FREIGHT/PCT#2"</f>
        <v>CUST#912904/FREIGHT/PCT#2</v>
      </c>
      <c r="I1998" s="2">
        <v>7617.24</v>
      </c>
      <c r="J1998" t="str">
        <f>"CUST#912904/FREIGHT/PCT#2"</f>
        <v>CUST#912904/FREIGHT/PCT#2</v>
      </c>
    </row>
    <row r="1999" spans="1:10" x14ac:dyDescent="0.3">
      <c r="A1999" t="str">
        <f>"FNB"</f>
        <v>FNB</v>
      </c>
      <c r="B1999" t="s">
        <v>548</v>
      </c>
      <c r="C1999">
        <v>0</v>
      </c>
      <c r="D1999" s="2">
        <v>861462.5</v>
      </c>
      <c r="E1999" s="1">
        <v>42912</v>
      </c>
      <c r="F1999" t="s">
        <v>10</v>
      </c>
      <c r="G1999" t="str">
        <f>"201706153101"</f>
        <v>201706153101</v>
      </c>
      <c r="H1999" t="str">
        <f>"SERIES 2015/TAX REFUNDING BOND"</f>
        <v>SERIES 2015/TAX REFUNDING BOND</v>
      </c>
      <c r="I1999" s="2">
        <v>861462.5</v>
      </c>
      <c r="J1999" t="str">
        <f>"SERIES 2015/TAX REFUNDING BOND"</f>
        <v>SERIES 2015/TAX REFUNDING BOND</v>
      </c>
    </row>
    <row r="2000" spans="1:10" x14ac:dyDescent="0.3">
      <c r="A2000" t="str">
        <f>""</f>
        <v/>
      </c>
      <c r="G2000" t="str">
        <f>""</f>
        <v/>
      </c>
      <c r="H2000" t="str">
        <f>""</f>
        <v/>
      </c>
      <c r="J2000" t="str">
        <f>"SERIES 2015/TAX REFUNDING BOND"</f>
        <v>SERIES 2015/TAX REFUNDING BOND</v>
      </c>
    </row>
    <row r="2001" spans="1:10" x14ac:dyDescent="0.3">
      <c r="A2001" t="str">
        <f>"005119"</f>
        <v>005119</v>
      </c>
      <c r="B2001" t="s">
        <v>549</v>
      </c>
      <c r="C2001">
        <v>71342</v>
      </c>
      <c r="D2001" s="2">
        <v>16410.12</v>
      </c>
      <c r="E2001" s="1">
        <v>42912</v>
      </c>
      <c r="F2001" t="s">
        <v>10</v>
      </c>
      <c r="G2001" t="str">
        <f>"201705094"</f>
        <v>201705094</v>
      </c>
      <c r="H2001" t="str">
        <f>"Inv# 201705094"</f>
        <v>Inv# 201705094</v>
      </c>
      <c r="I2001" s="2">
        <v>16410.12</v>
      </c>
      <c r="J2001" t="str">
        <f>"Inv# 201705094"</f>
        <v>Inv# 201705094</v>
      </c>
    </row>
    <row r="2002" spans="1:10" x14ac:dyDescent="0.3">
      <c r="A2002" t="str">
        <f>"T13475"</f>
        <v>T13475</v>
      </c>
      <c r="B2002" t="s">
        <v>550</v>
      </c>
      <c r="C2002">
        <v>71343</v>
      </c>
      <c r="D2002" s="2">
        <v>3922.2</v>
      </c>
      <c r="E2002" s="1">
        <v>42912</v>
      </c>
      <c r="F2002" t="s">
        <v>10</v>
      </c>
      <c r="G2002" t="str">
        <f>"3272"</f>
        <v>3272</v>
      </c>
      <c r="H2002" t="str">
        <f>"HMGP APPLICATION/BCA FOR RFI#1"</f>
        <v>HMGP APPLICATION/BCA FOR RFI#1</v>
      </c>
      <c r="I2002" s="2">
        <v>3922.2</v>
      </c>
      <c r="J2002" t="str">
        <f>"HMGP APPLICATION/BCA FOR RFI#1"</f>
        <v>HMGP APPLICATION/BCA FOR RFI#1</v>
      </c>
    </row>
    <row r="2003" spans="1:10" x14ac:dyDescent="0.3">
      <c r="A2003" t="str">
        <f>"002312"</f>
        <v>002312</v>
      </c>
      <c r="B2003" t="s">
        <v>551</v>
      </c>
      <c r="C2003">
        <v>71083</v>
      </c>
      <c r="D2003" s="2">
        <v>17437.61</v>
      </c>
      <c r="E2003" s="1">
        <v>42898</v>
      </c>
      <c r="F2003" t="s">
        <v>10</v>
      </c>
      <c r="G2003" t="str">
        <f>"14053"</f>
        <v>14053</v>
      </c>
      <c r="H2003" t="str">
        <f>"RECYCLED BASE/PCT #2"</f>
        <v>RECYCLED BASE/PCT #2</v>
      </c>
      <c r="I2003" s="2">
        <v>2710.48</v>
      </c>
      <c r="J2003" t="str">
        <f>"RECYCLED BASE/PCT #2"</f>
        <v>RECYCLED BASE/PCT #2</v>
      </c>
    </row>
    <row r="2004" spans="1:10" x14ac:dyDescent="0.3">
      <c r="A2004" t="str">
        <f>""</f>
        <v/>
      </c>
      <c r="F2004" t="s">
        <v>10</v>
      </c>
      <c r="G2004" t="str">
        <f>"14096"</f>
        <v>14096</v>
      </c>
      <c r="H2004" t="str">
        <f>"RECYCLED BASE/PCT #2"</f>
        <v>RECYCLED BASE/PCT #2</v>
      </c>
      <c r="I2004" s="2">
        <v>667</v>
      </c>
      <c r="J2004" t="str">
        <f>"RECYCLED BASE/PCT #2"</f>
        <v>RECYCLED BASE/PCT #2</v>
      </c>
    </row>
    <row r="2005" spans="1:10" x14ac:dyDescent="0.3">
      <c r="A2005" t="str">
        <f>""</f>
        <v/>
      </c>
      <c r="F2005" t="s">
        <v>10</v>
      </c>
      <c r="G2005" t="str">
        <f>"14108"</f>
        <v>14108</v>
      </c>
      <c r="H2005" t="str">
        <f>"RECYCLED BASE/PCT #2"</f>
        <v>RECYCLED BASE/PCT #2</v>
      </c>
      <c r="I2005" s="2">
        <v>1905.22</v>
      </c>
      <c r="J2005" t="str">
        <f>"RECYCLED BASE/PCT #2"</f>
        <v>RECYCLED BASE/PCT #2</v>
      </c>
    </row>
    <row r="2006" spans="1:10" x14ac:dyDescent="0.3">
      <c r="A2006" t="str">
        <f>""</f>
        <v/>
      </c>
      <c r="F2006" t="s">
        <v>10</v>
      </c>
      <c r="G2006" t="str">
        <f>"14152"</f>
        <v>14152</v>
      </c>
      <c r="H2006" t="str">
        <f>"RECYCLED BASE/PCT #2"</f>
        <v>RECYCLED BASE/PCT #2</v>
      </c>
      <c r="I2006" s="2">
        <v>1195.95</v>
      </c>
      <c r="J2006" t="str">
        <f>"RECYCLED BASE/PCT #2"</f>
        <v>RECYCLED BASE/PCT #2</v>
      </c>
    </row>
    <row r="2007" spans="1:10" x14ac:dyDescent="0.3">
      <c r="A2007" t="str">
        <f>""</f>
        <v/>
      </c>
      <c r="F2007" t="s">
        <v>10</v>
      </c>
      <c r="G2007" t="str">
        <f>"14176"</f>
        <v>14176</v>
      </c>
      <c r="H2007" t="str">
        <f>"RECYCLED BASE PCT#2"</f>
        <v>RECYCLED BASE PCT#2</v>
      </c>
      <c r="I2007" s="2">
        <v>393.9</v>
      </c>
      <c r="J2007" t="str">
        <f>"RECYCLED BASE PCT#2"</f>
        <v>RECYCLED BASE PCT#2</v>
      </c>
    </row>
    <row r="2008" spans="1:10" x14ac:dyDescent="0.3">
      <c r="A2008" t="str">
        <f>""</f>
        <v/>
      </c>
      <c r="F2008" t="s">
        <v>10</v>
      </c>
      <c r="G2008" t="str">
        <f>"14177"</f>
        <v>14177</v>
      </c>
      <c r="H2008" t="str">
        <f>"RECYCLED BASE/PCT #2"</f>
        <v>RECYCLED BASE/PCT #2</v>
      </c>
      <c r="I2008" s="2">
        <v>1385.52</v>
      </c>
      <c r="J2008" t="str">
        <f>"RECYCLED BASE/PCT #2"</f>
        <v>RECYCLED BASE/PCT #2</v>
      </c>
    </row>
    <row r="2009" spans="1:10" x14ac:dyDescent="0.3">
      <c r="A2009" t="str">
        <f>""</f>
        <v/>
      </c>
      <c r="F2009" t="s">
        <v>10</v>
      </c>
      <c r="G2009" t="str">
        <f>"14216"</f>
        <v>14216</v>
      </c>
      <c r="H2009" t="str">
        <f>"RECYCLED BASE/PCT #2"</f>
        <v>RECYCLED BASE/PCT #2</v>
      </c>
      <c r="I2009" s="2">
        <v>1137.0999999999999</v>
      </c>
      <c r="J2009" t="str">
        <f>"RECYCLED BASE/PCT #2"</f>
        <v>RECYCLED BASE/PCT #2</v>
      </c>
    </row>
    <row r="2010" spans="1:10" x14ac:dyDescent="0.3">
      <c r="A2010" t="str">
        <f>""</f>
        <v/>
      </c>
      <c r="F2010" t="s">
        <v>10</v>
      </c>
      <c r="G2010" t="str">
        <f>"14250"</f>
        <v>14250</v>
      </c>
      <c r="H2010" t="str">
        <f>"RECYCLED BASE/PCT #2"</f>
        <v>RECYCLED BASE/PCT #2</v>
      </c>
      <c r="I2010" s="2">
        <v>3631.84</v>
      </c>
      <c r="J2010" t="str">
        <f>"RECYCLED BASE/PCT #2"</f>
        <v>RECYCLED BASE/PCT #2</v>
      </c>
    </row>
    <row r="2011" spans="1:10" x14ac:dyDescent="0.3">
      <c r="A2011" t="str">
        <f>""</f>
        <v/>
      </c>
      <c r="F2011" t="s">
        <v>10</v>
      </c>
      <c r="G2011" t="str">
        <f>"14291"</f>
        <v>14291</v>
      </c>
      <c r="H2011" t="str">
        <f>"RECYCLED BASE/PCT #2"</f>
        <v>RECYCLED BASE/PCT #2</v>
      </c>
      <c r="I2011" s="2">
        <v>1154.3</v>
      </c>
      <c r="J2011" t="str">
        <f>"RECYCLED BASE/PCT #2"</f>
        <v>RECYCLED BASE/PCT #2</v>
      </c>
    </row>
    <row r="2012" spans="1:10" x14ac:dyDescent="0.3">
      <c r="A2012" t="str">
        <f>""</f>
        <v/>
      </c>
      <c r="F2012" t="s">
        <v>10</v>
      </c>
      <c r="G2012" t="str">
        <f>"14324"</f>
        <v>14324</v>
      </c>
      <c r="H2012" t="str">
        <f>"RECYCLED BASE/PCT #2"</f>
        <v>RECYCLED BASE/PCT #2</v>
      </c>
      <c r="I2012" s="2">
        <v>3256.3</v>
      </c>
      <c r="J2012" t="str">
        <f>"RECYCLED BASE/PCT #2"</f>
        <v>RECYCLED BASE/PCT #2</v>
      </c>
    </row>
    <row r="2013" spans="1:10" x14ac:dyDescent="0.3">
      <c r="A2013" t="str">
        <f>"002312"</f>
        <v>002312</v>
      </c>
      <c r="B2013" t="s">
        <v>551</v>
      </c>
      <c r="C2013">
        <v>71344</v>
      </c>
      <c r="D2013" s="2">
        <v>3885.69</v>
      </c>
      <c r="E2013" s="1">
        <v>42912</v>
      </c>
      <c r="F2013" t="s">
        <v>10</v>
      </c>
      <c r="G2013" t="str">
        <f>"14351"</f>
        <v>14351</v>
      </c>
      <c r="H2013" t="str">
        <f>"RECYCLED BASE/PCT#2"</f>
        <v>RECYCLED BASE/PCT#2</v>
      </c>
      <c r="I2013" s="2">
        <v>2291.5500000000002</v>
      </c>
      <c r="J2013" t="str">
        <f>"RECYCLED BASE/PCT#2"</f>
        <v>RECYCLED BASE/PCT#2</v>
      </c>
    </row>
    <row r="2014" spans="1:10" x14ac:dyDescent="0.3">
      <c r="A2014" t="str">
        <f>""</f>
        <v/>
      </c>
      <c r="F2014" t="s">
        <v>10</v>
      </c>
      <c r="G2014" t="str">
        <f>"14379"</f>
        <v>14379</v>
      </c>
      <c r="H2014" t="str">
        <f>"HAULING EXP/PCT#2/TRUCK#SM7032"</f>
        <v>HAULING EXP/PCT#2/TRUCK#SM7032</v>
      </c>
      <c r="I2014" s="2">
        <v>187.84</v>
      </c>
      <c r="J2014" t="str">
        <f>"HAULING EXP/PCT#2"</f>
        <v>HAULING EXP/PCT#2</v>
      </c>
    </row>
    <row r="2015" spans="1:10" x14ac:dyDescent="0.3">
      <c r="A2015" t="str">
        <f>""</f>
        <v/>
      </c>
      <c r="F2015" t="s">
        <v>10</v>
      </c>
      <c r="G2015" t="str">
        <f>"14407"</f>
        <v>14407</v>
      </c>
      <c r="H2015" t="str">
        <f>"RECYCLED BASE/PCT#2"</f>
        <v>RECYCLED BASE/PCT#2</v>
      </c>
      <c r="I2015" s="2">
        <v>693.3</v>
      </c>
      <c r="J2015" t="str">
        <f>"RECYCLED BASE/PCT#2"</f>
        <v>RECYCLED BASE/PCT#2</v>
      </c>
    </row>
    <row r="2016" spans="1:10" x14ac:dyDescent="0.3">
      <c r="A2016" t="str">
        <f>""</f>
        <v/>
      </c>
      <c r="F2016" t="s">
        <v>10</v>
      </c>
      <c r="G2016" t="str">
        <f>"14408"</f>
        <v>14408</v>
      </c>
      <c r="H2016" t="str">
        <f>"RECYCLED BASE/PCT#2"</f>
        <v>RECYCLED BASE/PCT#2</v>
      </c>
      <c r="I2016" s="2">
        <v>713</v>
      </c>
      <c r="J2016" t="str">
        <f>"RECYCLED BASE/PCT#2"</f>
        <v>RECYCLED BASE/PCT#2</v>
      </c>
    </row>
    <row r="2017" spans="1:10" x14ac:dyDescent="0.3">
      <c r="A2017" t="str">
        <f>"004401"</f>
        <v>004401</v>
      </c>
      <c r="B2017" t="s">
        <v>552</v>
      </c>
      <c r="C2017">
        <v>71084</v>
      </c>
      <c r="D2017" s="2">
        <v>12234</v>
      </c>
      <c r="E2017" s="1">
        <v>42898</v>
      </c>
      <c r="F2017" t="s">
        <v>10</v>
      </c>
      <c r="G2017" t="str">
        <f>"4423612/4420216"</f>
        <v>4423612/4420216</v>
      </c>
      <c r="H2017" t="str">
        <f>"Mulching Head Teeth"</f>
        <v>Mulching Head Teeth</v>
      </c>
      <c r="I2017" s="2">
        <v>12234</v>
      </c>
      <c r="J2017" t="str">
        <f>"Mulching Head Teeth"</f>
        <v>Mulching Head Teeth</v>
      </c>
    </row>
    <row r="2018" spans="1:10" x14ac:dyDescent="0.3">
      <c r="A2018" t="str">
        <f>"004401"</f>
        <v>004401</v>
      </c>
      <c r="B2018" t="s">
        <v>552</v>
      </c>
      <c r="C2018">
        <v>71345</v>
      </c>
      <c r="D2018" s="2">
        <v>12611.98</v>
      </c>
      <c r="E2018" s="1">
        <v>42912</v>
      </c>
      <c r="F2018" t="s">
        <v>10</v>
      </c>
      <c r="G2018" t="str">
        <f>"A028526"</f>
        <v>A028526</v>
      </c>
      <c r="H2018" t="str">
        <f>"Skid SteerRepairsJST01328"</f>
        <v>Skid SteerRepairsJST01328</v>
      </c>
      <c r="I2018" s="2">
        <v>12611.98</v>
      </c>
      <c r="J2018" t="str">
        <f>"Wash Machine"</f>
        <v>Wash Machine</v>
      </c>
    </row>
    <row r="2019" spans="1:10" x14ac:dyDescent="0.3">
      <c r="A2019" t="str">
        <f>""</f>
        <v/>
      </c>
      <c r="G2019" t="str">
        <f>""</f>
        <v/>
      </c>
      <c r="H2019" t="str">
        <f>""</f>
        <v/>
      </c>
      <c r="J2019" t="str">
        <f>"Inspect Machine"</f>
        <v>Inspect Machine</v>
      </c>
    </row>
    <row r="2020" spans="1:10" x14ac:dyDescent="0.3">
      <c r="A2020" t="str">
        <f>""</f>
        <v/>
      </c>
      <c r="G2020" t="str">
        <f>""</f>
        <v/>
      </c>
      <c r="H2020" t="str">
        <f>""</f>
        <v/>
      </c>
      <c r="J2020" t="str">
        <f>"Rmve&amp; Inst. Engine"</f>
        <v>Rmve&amp; Inst. Engine</v>
      </c>
    </row>
    <row r="2021" spans="1:10" x14ac:dyDescent="0.3">
      <c r="A2021" t="str">
        <f>""</f>
        <v/>
      </c>
      <c r="G2021" t="str">
        <f>""</f>
        <v/>
      </c>
      <c r="H2021" t="str">
        <f>""</f>
        <v/>
      </c>
      <c r="J2021" t="str">
        <f>"replace fuel tank"</f>
        <v>replace fuel tank</v>
      </c>
    </row>
    <row r="2022" spans="1:10" x14ac:dyDescent="0.3">
      <c r="A2022" t="str">
        <f>""</f>
        <v/>
      </c>
      <c r="G2022" t="str">
        <f>""</f>
        <v/>
      </c>
      <c r="H2022" t="str">
        <f>""</f>
        <v/>
      </c>
      <c r="J2022" t="str">
        <f>"Rep. Wiring Harness"</f>
        <v>Rep. Wiring Harness</v>
      </c>
    </row>
    <row r="2023" spans="1:10" x14ac:dyDescent="0.3">
      <c r="A2023" t="str">
        <f>""</f>
        <v/>
      </c>
      <c r="G2023" t="str">
        <f>""</f>
        <v/>
      </c>
      <c r="H2023" t="str">
        <f>""</f>
        <v/>
      </c>
      <c r="J2023" t="str">
        <f>"Environment Fee"</f>
        <v>Environment Fee</v>
      </c>
    </row>
    <row r="2024" spans="1:10" x14ac:dyDescent="0.3">
      <c r="A2024" t="str">
        <f>""</f>
        <v/>
      </c>
      <c r="G2024" t="str">
        <f>""</f>
        <v/>
      </c>
      <c r="H2024" t="str">
        <f>""</f>
        <v/>
      </c>
      <c r="J2024" t="str">
        <f>"Supplies Charge"</f>
        <v>Supplies Charge</v>
      </c>
    </row>
    <row r="2025" spans="1:10" x14ac:dyDescent="0.3">
      <c r="A2025" t="str">
        <f>"004879"</f>
        <v>004879</v>
      </c>
      <c r="B2025" t="s">
        <v>553</v>
      </c>
      <c r="C2025">
        <v>71346</v>
      </c>
      <c r="D2025" s="2">
        <v>61726.6</v>
      </c>
      <c r="E2025" s="1">
        <v>42912</v>
      </c>
      <c r="F2025" t="s">
        <v>10</v>
      </c>
      <c r="G2025" t="str">
        <f>"201706193142"</f>
        <v>201706193142</v>
      </c>
      <c r="H2025" t="str">
        <f>"CUST#255120/PCT#2/2016 MAINT"</f>
        <v>CUST#255120/PCT#2/2016 MAINT</v>
      </c>
      <c r="I2025" s="2">
        <v>61726.6</v>
      </c>
      <c r="J2025" t="str">
        <f>"CUST#255120/PCT#2/2016 MAINT"</f>
        <v>CUST#255120/PCT#2/2016 MAINT</v>
      </c>
    </row>
    <row r="2026" spans="1:10" x14ac:dyDescent="0.3">
      <c r="A2026" t="str">
        <f>"000877"</f>
        <v>000877</v>
      </c>
      <c r="B2026" t="s">
        <v>382</v>
      </c>
      <c r="C2026">
        <v>71085</v>
      </c>
      <c r="D2026" s="2">
        <v>120</v>
      </c>
      <c r="E2026" s="1">
        <v>42898</v>
      </c>
      <c r="F2026" t="s">
        <v>10</v>
      </c>
      <c r="G2026" t="str">
        <f>"282631-4"</f>
        <v>282631-4</v>
      </c>
      <c r="H2026" t="str">
        <f>"CUST#BASCOU/DRUG TESTING/OEM"</f>
        <v>CUST#BASCOU/DRUG TESTING/OEM</v>
      </c>
      <c r="I2026" s="2">
        <v>120</v>
      </c>
      <c r="J2026" t="str">
        <f>"CUST#BASCOU/DRUG TESTING"</f>
        <v>CUST#BASCOU/DRUG TESTING</v>
      </c>
    </row>
    <row r="2027" spans="1:10" x14ac:dyDescent="0.3">
      <c r="A2027" t="str">
        <f>"004766"</f>
        <v>004766</v>
      </c>
      <c r="B2027" t="s">
        <v>554</v>
      </c>
      <c r="C2027">
        <v>71347</v>
      </c>
      <c r="D2027" s="2">
        <v>4575</v>
      </c>
      <c r="E2027" s="1">
        <v>42912</v>
      </c>
      <c r="F2027" t="s">
        <v>10</v>
      </c>
      <c r="G2027" t="str">
        <f>"201706203180"</f>
        <v>201706203180</v>
      </c>
      <c r="H2027" t="str">
        <f>"ASPHALT CUTTING/PCT#2"</f>
        <v>ASPHALT CUTTING/PCT#2</v>
      </c>
      <c r="I2027" s="2">
        <v>4575</v>
      </c>
      <c r="J2027" t="str">
        <f>"ASPHALT CUTTING/PCT#2"</f>
        <v>ASPHALT CUTTING/PCT#2</v>
      </c>
    </row>
    <row r="2028" spans="1:10" x14ac:dyDescent="0.3">
      <c r="A2028" t="str">
        <f>"000374"</f>
        <v>000374</v>
      </c>
      <c r="B2028" t="s">
        <v>419</v>
      </c>
      <c r="C2028">
        <v>71086</v>
      </c>
      <c r="D2028" s="2">
        <v>28.99</v>
      </c>
      <c r="E2028" s="1">
        <v>42898</v>
      </c>
      <c r="F2028" t="s">
        <v>10</v>
      </c>
      <c r="G2028" t="str">
        <f>"1018098"</f>
        <v>1018098</v>
      </c>
      <c r="H2028" t="str">
        <f>"NOVA NATURAL HAND TOWELS"</f>
        <v>NOVA NATURAL HAND TOWELS</v>
      </c>
      <c r="I2028" s="2">
        <v>28.99</v>
      </c>
      <c r="J2028" t="str">
        <f>"NOVA NATURAL HAND TOWELS"</f>
        <v>NOVA NATURAL HAND TOWELS</v>
      </c>
    </row>
    <row r="2029" spans="1:10" x14ac:dyDescent="0.3">
      <c r="A2029" t="str">
        <f>"004539"</f>
        <v>004539</v>
      </c>
      <c r="B2029" t="s">
        <v>555</v>
      </c>
      <c r="C2029">
        <v>71087</v>
      </c>
      <c r="D2029" s="2">
        <v>484823.68</v>
      </c>
      <c r="E2029" s="1">
        <v>42898</v>
      </c>
      <c r="F2029" t="s">
        <v>10</v>
      </c>
      <c r="G2029" t="str">
        <f>"160305-8"</f>
        <v>160305-8</v>
      </c>
      <c r="H2029" t="str">
        <f>"PROJECT#160305"</f>
        <v>PROJECT#160305</v>
      </c>
      <c r="I2029" s="2">
        <v>484823.68</v>
      </c>
      <c r="J2029" t="str">
        <f>"PROJECT#160305"</f>
        <v>PROJECT#160305</v>
      </c>
    </row>
    <row r="2030" spans="1:10" x14ac:dyDescent="0.3">
      <c r="A2030" t="str">
        <f>"T6855"</f>
        <v>T6855</v>
      </c>
      <c r="B2030" t="s">
        <v>556</v>
      </c>
      <c r="C2030">
        <v>71348</v>
      </c>
      <c r="D2030" s="2">
        <v>5506.47</v>
      </c>
      <c r="E2030" s="1">
        <v>42912</v>
      </c>
      <c r="F2030" t="s">
        <v>10</v>
      </c>
      <c r="G2030" t="str">
        <f>"0652444-IN"</f>
        <v>0652444-IN</v>
      </c>
      <c r="H2030" t="str">
        <f>"#01-0112917/FUEL/PCT#2"</f>
        <v>#01-0112917/FUEL/PCT#2</v>
      </c>
      <c r="I2030" s="2">
        <v>2834.79</v>
      </c>
      <c r="J2030" t="str">
        <f>"#01-0112917/FUEL/PCT#2"</f>
        <v>#01-0112917/FUEL/PCT#2</v>
      </c>
    </row>
    <row r="2031" spans="1:10" x14ac:dyDescent="0.3">
      <c r="A2031" t="str">
        <f>""</f>
        <v/>
      </c>
      <c r="F2031" t="s">
        <v>10</v>
      </c>
      <c r="G2031" t="str">
        <f>"0653684-IN"</f>
        <v>0653684-IN</v>
      </c>
      <c r="H2031" t="str">
        <f>"#01-0112917/FUEL/PCT#2"</f>
        <v>#01-0112917/FUEL/PCT#2</v>
      </c>
      <c r="I2031" s="2">
        <v>2671.68</v>
      </c>
      <c r="J2031" t="str">
        <f>"#01-0112917/FUEL/PCT#2"</f>
        <v>#01-0112917/FUEL/PCT#2</v>
      </c>
    </row>
    <row r="2032" spans="1:10" x14ac:dyDescent="0.3">
      <c r="A2032" t="str">
        <f>"TAC1"</f>
        <v>TAC1</v>
      </c>
      <c r="B2032" t="s">
        <v>475</v>
      </c>
      <c r="C2032">
        <v>71088</v>
      </c>
      <c r="D2032" s="2">
        <v>140.72</v>
      </c>
      <c r="E2032" s="1">
        <v>42898</v>
      </c>
      <c r="F2032" t="s">
        <v>10</v>
      </c>
      <c r="G2032" t="str">
        <f>"16857-WC-7"</f>
        <v>16857-WC-7</v>
      </c>
      <c r="H2032" t="str">
        <f>"2017 3RD QTR WRKRS COMP"</f>
        <v>2017 3RD QTR WRKRS COMP</v>
      </c>
      <c r="I2032" s="2">
        <v>49.63</v>
      </c>
      <c r="J2032" t="str">
        <f>"2017 3RD QTR WRKRS COMP"</f>
        <v>2017 3RD QTR WRKRS COMP</v>
      </c>
    </row>
    <row r="2033" spans="1:10" x14ac:dyDescent="0.3">
      <c r="A2033" t="str">
        <f>""</f>
        <v/>
      </c>
      <c r="F2033" t="s">
        <v>10</v>
      </c>
      <c r="G2033" t="str">
        <f>"16857-WC3-6"</f>
        <v>16857-WC3-6</v>
      </c>
      <c r="H2033" t="str">
        <f>"2017 3RD QTR WRKRS COMP"</f>
        <v>2017 3RD QTR WRKRS COMP</v>
      </c>
      <c r="I2033" s="2">
        <v>91.09</v>
      </c>
      <c r="J2033" t="str">
        <f>"2017 3RD QTR WRKRS COMP"</f>
        <v>2017 3RD QTR WRKRS COMP</v>
      </c>
    </row>
    <row r="2034" spans="1:10" x14ac:dyDescent="0.3">
      <c r="A2034" t="str">
        <f>"TCSC"</f>
        <v>TCSC</v>
      </c>
      <c r="B2034" t="s">
        <v>479</v>
      </c>
      <c r="C2034">
        <v>71353</v>
      </c>
      <c r="D2034" s="2">
        <v>3598.61</v>
      </c>
      <c r="E2034" s="1">
        <v>42914</v>
      </c>
      <c r="F2034" t="s">
        <v>10</v>
      </c>
      <c r="G2034" t="str">
        <f>"25959"</f>
        <v>25959</v>
      </c>
      <c r="H2034" t="str">
        <f>"CUST # 1574 - P4"</f>
        <v>CUST # 1574 - P4</v>
      </c>
      <c r="I2034" s="2">
        <v>1660.36</v>
      </c>
      <c r="J2034" t="str">
        <f>"TEXAS CRUSHED STONE CO."</f>
        <v>TEXAS CRUSHED STONE CO.</v>
      </c>
    </row>
    <row r="2035" spans="1:10" x14ac:dyDescent="0.3">
      <c r="A2035" t="str">
        <f>""</f>
        <v/>
      </c>
      <c r="F2035" t="s">
        <v>10</v>
      </c>
      <c r="G2035" t="str">
        <f>"26166"</f>
        <v>26166</v>
      </c>
      <c r="H2035" t="str">
        <f>"CUST # 1574 - P4"</f>
        <v>CUST # 1574 - P4</v>
      </c>
      <c r="I2035" s="2">
        <v>1122.04</v>
      </c>
      <c r="J2035" t="str">
        <f>"CUST # 1574 - P4"</f>
        <v>CUST # 1574 - P4</v>
      </c>
    </row>
    <row r="2036" spans="1:10" x14ac:dyDescent="0.3">
      <c r="A2036" t="str">
        <f>""</f>
        <v/>
      </c>
      <c r="F2036" t="s">
        <v>10</v>
      </c>
      <c r="G2036" t="str">
        <f>"26353"</f>
        <v>26353</v>
      </c>
      <c r="H2036" t="str">
        <f>"CUST #1574 - P4"</f>
        <v>CUST #1574 - P4</v>
      </c>
      <c r="I2036" s="2">
        <v>816.21</v>
      </c>
      <c r="J2036" t="str">
        <f>"TEXAS CRUSHED STONE CO."</f>
        <v>TEXAS CRUSHED STONE CO.</v>
      </c>
    </row>
    <row r="2037" spans="1:10" x14ac:dyDescent="0.3">
      <c r="A2037" t="str">
        <f>"003484"</f>
        <v>003484</v>
      </c>
      <c r="B2037" t="s">
        <v>483</v>
      </c>
      <c r="C2037">
        <v>71089</v>
      </c>
      <c r="D2037" s="2">
        <v>13637.65</v>
      </c>
      <c r="E2037" s="1">
        <v>42898</v>
      </c>
      <c r="F2037" t="s">
        <v>10</v>
      </c>
      <c r="G2037" t="str">
        <f>"90001120"</f>
        <v>90001120</v>
      </c>
      <c r="H2037" t="str">
        <f>"GRANT EXP/GRANT#8000002395"</f>
        <v>GRANT EXP/GRANT#8000002395</v>
      </c>
      <c r="I2037" s="2">
        <v>13637.65</v>
      </c>
      <c r="J2037" t="str">
        <f>"GRANT EXP/GRANT#8000002395"</f>
        <v>GRANT EXP/GRANT#8000002395</v>
      </c>
    </row>
    <row r="2038" spans="1:10" x14ac:dyDescent="0.3">
      <c r="A2038" t="str">
        <f>"T14022"</f>
        <v>T14022</v>
      </c>
      <c r="B2038" t="s">
        <v>557</v>
      </c>
      <c r="C2038">
        <v>0</v>
      </c>
      <c r="D2038" s="2">
        <v>1000</v>
      </c>
      <c r="E2038" s="1">
        <v>42912</v>
      </c>
      <c r="F2038" t="s">
        <v>10</v>
      </c>
      <c r="G2038" t="str">
        <f>"252-2022031"</f>
        <v>252-2022031</v>
      </c>
      <c r="H2038" t="str">
        <f>"ACCT#BASTROP13/SERIES 2013"</f>
        <v>ACCT#BASTROP13/SERIES 2013</v>
      </c>
      <c r="I2038" s="2">
        <v>500</v>
      </c>
      <c r="J2038" t="str">
        <f>"ACCT#BASTROP13/SERIES 2013"</f>
        <v>ACCT#BASTROP13/SERIES 2013</v>
      </c>
    </row>
    <row r="2039" spans="1:10" x14ac:dyDescent="0.3">
      <c r="A2039" t="str">
        <f>""</f>
        <v/>
      </c>
      <c r="F2039" t="s">
        <v>10</v>
      </c>
      <c r="G2039" t="str">
        <f>"252-2022538"</f>
        <v>252-2022538</v>
      </c>
      <c r="H2039" t="str">
        <f>"ACCT#BASTROP12/SERIES 2012"</f>
        <v>ACCT#BASTROP12/SERIES 2012</v>
      </c>
      <c r="I2039" s="2">
        <v>500</v>
      </c>
      <c r="J2039" t="str">
        <f>"ACCT#BASTROP12/SERIES 2012"</f>
        <v>ACCT#BASTROP12/SERIES 2012</v>
      </c>
    </row>
    <row r="2040" spans="1:10" x14ac:dyDescent="0.3">
      <c r="A2040" t="str">
        <f>"004199"</f>
        <v>004199</v>
      </c>
      <c r="B2040" t="s">
        <v>558</v>
      </c>
      <c r="C2040">
        <v>71090</v>
      </c>
      <c r="D2040" s="2">
        <v>1200</v>
      </c>
      <c r="E2040" s="1">
        <v>42898</v>
      </c>
      <c r="F2040" t="s">
        <v>10</v>
      </c>
      <c r="G2040" t="str">
        <f>"1705311420"</f>
        <v>1705311420</v>
      </c>
      <c r="H2040" t="str">
        <f>"OLD PINEY TRAIL RIGHT OF WAY"</f>
        <v>OLD PINEY TRAIL RIGHT OF WAY</v>
      </c>
      <c r="I2040" s="2">
        <v>1200</v>
      </c>
      <c r="J2040" t="str">
        <f>"OLD PINEY TRAIL RIGHT OF WAY"</f>
        <v>OLD PINEY TRAIL RIGHT OF WAY</v>
      </c>
    </row>
    <row r="2041" spans="1:10" x14ac:dyDescent="0.3">
      <c r="A2041" t="str">
        <f>"005133"</f>
        <v>005133</v>
      </c>
      <c r="B2041" t="s">
        <v>559</v>
      </c>
      <c r="C2041">
        <v>71355</v>
      </c>
      <c r="D2041" s="2">
        <v>10013</v>
      </c>
      <c r="E2041" s="1">
        <v>42915</v>
      </c>
      <c r="F2041" t="s">
        <v>10</v>
      </c>
      <c r="G2041" t="str">
        <f>"201706293306"</f>
        <v>201706293306</v>
      </c>
      <c r="H2041" t="str">
        <f>"RIGHT-OF WAY SQUIRREL RUN"</f>
        <v>RIGHT-OF WAY SQUIRREL RUN</v>
      </c>
      <c r="I2041" s="2">
        <v>10013</v>
      </c>
      <c r="J2041" t="str">
        <f>"RIGHT-OF WAY SQUIRREL RUN"</f>
        <v>RIGHT-OF WAY SQUIRREL RUN</v>
      </c>
    </row>
    <row r="2042" spans="1:10" x14ac:dyDescent="0.3">
      <c r="A2042" t="str">
        <f>"003132"</f>
        <v>003132</v>
      </c>
      <c r="B2042" t="s">
        <v>560</v>
      </c>
      <c r="C2042">
        <v>71091</v>
      </c>
      <c r="D2042" s="2">
        <v>18000</v>
      </c>
      <c r="E2042" s="1">
        <v>42898</v>
      </c>
      <c r="F2042" t="s">
        <v>10</v>
      </c>
      <c r="G2042" t="str">
        <f>"BC06012017"</f>
        <v>BC06012017</v>
      </c>
      <c r="H2042" t="str">
        <f>"CONTRACT #BC16-016"</f>
        <v>CONTRACT #BC16-016</v>
      </c>
      <c r="I2042" s="2">
        <v>18000</v>
      </c>
      <c r="J2042" t="str">
        <f>"CONTRACT #BC16-016"</f>
        <v>CONTRACT #BC16-016</v>
      </c>
    </row>
    <row r="2043" spans="1:10" x14ac:dyDescent="0.3">
      <c r="A2043" t="str">
        <f>"TRIPLE"</f>
        <v>TRIPLE</v>
      </c>
      <c r="B2043" t="s">
        <v>502</v>
      </c>
      <c r="C2043">
        <v>71349</v>
      </c>
      <c r="D2043" s="2">
        <v>8159.44</v>
      </c>
      <c r="E2043" s="1">
        <v>42912</v>
      </c>
      <c r="F2043" t="s">
        <v>10</v>
      </c>
      <c r="G2043" t="str">
        <f>"201706193143"</f>
        <v>201706193143</v>
      </c>
      <c r="H2043" t="str">
        <f>"ACCT#0009089/FUEL/PCT#2"</f>
        <v>ACCT#0009089/FUEL/PCT#2</v>
      </c>
      <c r="I2043" s="2">
        <v>8159.44</v>
      </c>
      <c r="J2043" t="str">
        <f>"ACCT#0009089/FUEL/PCT#2"</f>
        <v>ACCT#0009089/FUEL/PCT#2</v>
      </c>
    </row>
    <row r="2044" spans="1:10" x14ac:dyDescent="0.3">
      <c r="A2044" t="str">
        <f>"T10851"</f>
        <v>T10851</v>
      </c>
      <c r="B2044" t="s">
        <v>561</v>
      </c>
      <c r="C2044">
        <v>71350</v>
      </c>
      <c r="D2044" s="2">
        <v>134.44</v>
      </c>
      <c r="E2044" s="1">
        <v>42912</v>
      </c>
      <c r="F2044" t="s">
        <v>10</v>
      </c>
      <c r="G2044" t="str">
        <f>"A09878"</f>
        <v>A09878</v>
      </c>
      <c r="H2044" t="str">
        <f>"CUST#04900/PARTS"</f>
        <v>CUST#04900/PARTS</v>
      </c>
      <c r="I2044" s="2">
        <v>134.44</v>
      </c>
      <c r="J2044" t="str">
        <f>"CUST#04900/PARTS"</f>
        <v>CUST#04900/PARTS</v>
      </c>
    </row>
    <row r="2045" spans="1:10" x14ac:dyDescent="0.3">
      <c r="A2045" t="str">
        <f>"T2393"</f>
        <v>T2393</v>
      </c>
      <c r="B2045" t="s">
        <v>562</v>
      </c>
      <c r="C2045">
        <v>0</v>
      </c>
      <c r="D2045" s="2">
        <v>150</v>
      </c>
      <c r="E2045" s="1">
        <v>42912</v>
      </c>
      <c r="F2045" t="s">
        <v>10</v>
      </c>
      <c r="G2045" t="str">
        <f>"1446913"</f>
        <v>1446913</v>
      </c>
      <c r="H2045" t="str">
        <f>"ACCT#BAST509LTR/SER.2009"</f>
        <v>ACCT#BAST509LTR/SER.2009</v>
      </c>
      <c r="I2045" s="2">
        <v>150</v>
      </c>
      <c r="J2045" t="str">
        <f>"ACCT#BAST509LTR/SER.2009"</f>
        <v>ACCT#BAST509LTR/SER.2009</v>
      </c>
    </row>
    <row r="2046" spans="1:10" x14ac:dyDescent="0.3">
      <c r="A2046" t="str">
        <f>"ALLSTA"</f>
        <v>ALLSTA</v>
      </c>
      <c r="B2046" t="s">
        <v>563</v>
      </c>
      <c r="C2046">
        <v>0</v>
      </c>
      <c r="D2046" s="2">
        <v>10533.5</v>
      </c>
      <c r="E2046" s="1">
        <v>42912</v>
      </c>
      <c r="F2046" t="s">
        <v>10</v>
      </c>
      <c r="G2046" t="str">
        <f>"AS 201705312317"</f>
        <v>AS 201705312317</v>
      </c>
      <c r="H2046" t="str">
        <f t="shared" ref="H2046:H2059" si="20">"ALLSTATE"</f>
        <v>ALLSTATE</v>
      </c>
      <c r="I2046" s="2">
        <v>1168.79</v>
      </c>
      <c r="J2046" t="str">
        <f t="shared" ref="J2046:J2059" si="21">"ALLSTATE"</f>
        <v>ALLSTATE</v>
      </c>
    </row>
    <row r="2047" spans="1:10" x14ac:dyDescent="0.3">
      <c r="A2047" t="str">
        <f>""</f>
        <v/>
      </c>
      <c r="F2047" t="s">
        <v>10</v>
      </c>
      <c r="G2047" t="str">
        <f>"AS 201705312318"</f>
        <v>AS 201705312318</v>
      </c>
      <c r="H2047" t="str">
        <f t="shared" si="20"/>
        <v>ALLSTATE</v>
      </c>
      <c r="I2047" s="2">
        <v>36.14</v>
      </c>
      <c r="J2047" t="str">
        <f t="shared" si="21"/>
        <v>ALLSTATE</v>
      </c>
    </row>
    <row r="2048" spans="1:10" x14ac:dyDescent="0.3">
      <c r="A2048" t="str">
        <f>""</f>
        <v/>
      </c>
      <c r="F2048" t="s">
        <v>10</v>
      </c>
      <c r="G2048" t="str">
        <f>"AS 201706143096"</f>
        <v>AS 201706143096</v>
      </c>
      <c r="H2048" t="str">
        <f t="shared" si="20"/>
        <v>ALLSTATE</v>
      </c>
      <c r="I2048" s="2">
        <v>1168.79</v>
      </c>
      <c r="J2048" t="str">
        <f t="shared" si="21"/>
        <v>ALLSTATE</v>
      </c>
    </row>
    <row r="2049" spans="1:10" x14ac:dyDescent="0.3">
      <c r="A2049" t="str">
        <f>""</f>
        <v/>
      </c>
      <c r="F2049" t="s">
        <v>10</v>
      </c>
      <c r="G2049" t="str">
        <f>"AS 201706143098"</f>
        <v>AS 201706143098</v>
      </c>
      <c r="H2049" t="str">
        <f t="shared" si="20"/>
        <v>ALLSTATE</v>
      </c>
      <c r="I2049" s="2">
        <v>36.14</v>
      </c>
      <c r="J2049" t="str">
        <f t="shared" si="21"/>
        <v>ALLSTATE</v>
      </c>
    </row>
    <row r="2050" spans="1:10" x14ac:dyDescent="0.3">
      <c r="A2050" t="str">
        <f>""</f>
        <v/>
      </c>
      <c r="F2050" t="s">
        <v>10</v>
      </c>
      <c r="G2050" t="str">
        <f>"ASD201705312317"</f>
        <v>ASD201705312317</v>
      </c>
      <c r="H2050" t="str">
        <f t="shared" si="20"/>
        <v>ALLSTATE</v>
      </c>
      <c r="I2050" s="2">
        <v>411.36</v>
      </c>
      <c r="J2050" t="str">
        <f t="shared" si="21"/>
        <v>ALLSTATE</v>
      </c>
    </row>
    <row r="2051" spans="1:10" x14ac:dyDescent="0.3">
      <c r="A2051" t="str">
        <f>""</f>
        <v/>
      </c>
      <c r="F2051" t="s">
        <v>10</v>
      </c>
      <c r="G2051" t="str">
        <f>"ASD201706143096"</f>
        <v>ASD201706143096</v>
      </c>
      <c r="H2051" t="str">
        <f t="shared" si="20"/>
        <v>ALLSTATE</v>
      </c>
      <c r="I2051" s="2">
        <v>411.36</v>
      </c>
      <c r="J2051" t="str">
        <f t="shared" si="21"/>
        <v>ALLSTATE</v>
      </c>
    </row>
    <row r="2052" spans="1:10" x14ac:dyDescent="0.3">
      <c r="A2052" t="str">
        <f>""</f>
        <v/>
      </c>
      <c r="F2052" t="s">
        <v>10</v>
      </c>
      <c r="G2052" t="str">
        <f>"ASI201705312317"</f>
        <v>ASI201705312317</v>
      </c>
      <c r="H2052" t="str">
        <f t="shared" si="20"/>
        <v>ALLSTATE</v>
      </c>
      <c r="I2052" s="2">
        <v>1330.04</v>
      </c>
      <c r="J2052" t="str">
        <f t="shared" si="21"/>
        <v>ALLSTATE</v>
      </c>
    </row>
    <row r="2053" spans="1:10" x14ac:dyDescent="0.3">
      <c r="A2053" t="str">
        <f>""</f>
        <v/>
      </c>
      <c r="F2053" t="s">
        <v>10</v>
      </c>
      <c r="G2053" t="str">
        <f>"ASI201705312318"</f>
        <v>ASI201705312318</v>
      </c>
      <c r="H2053" t="str">
        <f t="shared" si="20"/>
        <v>ALLSTATE</v>
      </c>
      <c r="I2053" s="2">
        <v>100.63</v>
      </c>
      <c r="J2053" t="str">
        <f t="shared" si="21"/>
        <v>ALLSTATE</v>
      </c>
    </row>
    <row r="2054" spans="1:10" x14ac:dyDescent="0.3">
      <c r="A2054" t="str">
        <f>""</f>
        <v/>
      </c>
      <c r="F2054" t="s">
        <v>10</v>
      </c>
      <c r="G2054" t="str">
        <f>"ASI201706143096"</f>
        <v>ASI201706143096</v>
      </c>
      <c r="H2054" t="str">
        <f t="shared" si="20"/>
        <v>ALLSTATE</v>
      </c>
      <c r="I2054" s="2">
        <v>1330.04</v>
      </c>
      <c r="J2054" t="str">
        <f t="shared" si="21"/>
        <v>ALLSTATE</v>
      </c>
    </row>
    <row r="2055" spans="1:10" x14ac:dyDescent="0.3">
      <c r="A2055" t="str">
        <f>""</f>
        <v/>
      </c>
      <c r="F2055" t="s">
        <v>10</v>
      </c>
      <c r="G2055" t="str">
        <f>"ASI201706143098"</f>
        <v>ASI201706143098</v>
      </c>
      <c r="H2055" t="str">
        <f t="shared" si="20"/>
        <v>ALLSTATE</v>
      </c>
      <c r="I2055" s="2">
        <v>100.63</v>
      </c>
      <c r="J2055" t="str">
        <f t="shared" si="21"/>
        <v>ALLSTATE</v>
      </c>
    </row>
    <row r="2056" spans="1:10" x14ac:dyDescent="0.3">
      <c r="A2056" t="str">
        <f>""</f>
        <v/>
      </c>
      <c r="F2056" t="s">
        <v>10</v>
      </c>
      <c r="G2056" t="str">
        <f>"AST201705312317"</f>
        <v>AST201705312317</v>
      </c>
      <c r="H2056" t="str">
        <f t="shared" si="20"/>
        <v>ALLSTATE</v>
      </c>
      <c r="I2056" s="2">
        <v>2100.3200000000002</v>
      </c>
      <c r="J2056" t="str">
        <f t="shared" si="21"/>
        <v>ALLSTATE</v>
      </c>
    </row>
    <row r="2057" spans="1:10" x14ac:dyDescent="0.3">
      <c r="A2057" t="str">
        <f>""</f>
        <v/>
      </c>
      <c r="F2057" t="s">
        <v>10</v>
      </c>
      <c r="G2057" t="str">
        <f>"AST201705312318"</f>
        <v>AST201705312318</v>
      </c>
      <c r="H2057" t="str">
        <f t="shared" si="20"/>
        <v>ALLSTATE</v>
      </c>
      <c r="I2057" s="2">
        <v>119.47</v>
      </c>
      <c r="J2057" t="str">
        <f t="shared" si="21"/>
        <v>ALLSTATE</v>
      </c>
    </row>
    <row r="2058" spans="1:10" x14ac:dyDescent="0.3">
      <c r="A2058" t="str">
        <f>""</f>
        <v/>
      </c>
      <c r="F2058" t="s">
        <v>10</v>
      </c>
      <c r="G2058" t="str">
        <f>"AST201706143096"</f>
        <v>AST201706143096</v>
      </c>
      <c r="H2058" t="str">
        <f t="shared" si="20"/>
        <v>ALLSTATE</v>
      </c>
      <c r="I2058" s="2">
        <v>2100.3200000000002</v>
      </c>
      <c r="J2058" t="str">
        <f t="shared" si="21"/>
        <v>ALLSTATE</v>
      </c>
    </row>
    <row r="2059" spans="1:10" x14ac:dyDescent="0.3">
      <c r="A2059" t="str">
        <f>""</f>
        <v/>
      </c>
      <c r="F2059" t="s">
        <v>10</v>
      </c>
      <c r="G2059" t="str">
        <f>"AST201706143098"</f>
        <v>AST201706143098</v>
      </c>
      <c r="H2059" t="str">
        <f t="shared" si="20"/>
        <v>ALLSTATE</v>
      </c>
      <c r="I2059" s="2">
        <v>119.47</v>
      </c>
      <c r="J2059" t="str">
        <f t="shared" si="21"/>
        <v>ALLSTATE</v>
      </c>
    </row>
    <row r="2060" spans="1:10" x14ac:dyDescent="0.3">
      <c r="A2060" t="str">
        <f>"002234"</f>
        <v>002234</v>
      </c>
      <c r="B2060" t="s">
        <v>564</v>
      </c>
      <c r="C2060">
        <v>0</v>
      </c>
      <c r="D2060" s="2">
        <v>1584</v>
      </c>
      <c r="E2060" s="1">
        <v>42912</v>
      </c>
      <c r="F2060" t="s">
        <v>10</v>
      </c>
      <c r="G2060" t="str">
        <f>"BAS201705312317"</f>
        <v>BAS201705312317</v>
      </c>
      <c r="H2060" t="str">
        <f>"B.A.S.E."</f>
        <v>B.A.S.E.</v>
      </c>
      <c r="I2060" s="2">
        <v>792</v>
      </c>
      <c r="J2060" t="str">
        <f>"B.A.S.E."</f>
        <v>B.A.S.E.</v>
      </c>
    </row>
    <row r="2061" spans="1:10" x14ac:dyDescent="0.3">
      <c r="A2061" t="str">
        <f>""</f>
        <v/>
      </c>
      <c r="F2061" t="s">
        <v>10</v>
      </c>
      <c r="G2061" t="str">
        <f>"BAS201706143096"</f>
        <v>BAS201706143096</v>
      </c>
      <c r="H2061" t="str">
        <f>"B.A.S.E."</f>
        <v>B.A.S.E.</v>
      </c>
      <c r="I2061" s="2">
        <v>792</v>
      </c>
      <c r="J2061" t="str">
        <f>"B.A.S.E."</f>
        <v>B.A.S.E.</v>
      </c>
    </row>
    <row r="2062" spans="1:10" x14ac:dyDescent="0.3">
      <c r="A2062" t="str">
        <f>"T12180"</f>
        <v>T12180</v>
      </c>
      <c r="B2062" t="s">
        <v>565</v>
      </c>
      <c r="C2062">
        <v>0</v>
      </c>
      <c r="D2062" s="2">
        <v>3347.12</v>
      </c>
      <c r="E2062" s="1">
        <v>42888</v>
      </c>
      <c r="F2062" t="s">
        <v>10</v>
      </c>
      <c r="G2062" t="str">
        <f>"DDP201705312319"</f>
        <v>DDP201705312319</v>
      </c>
      <c r="H2062" t="str">
        <f>"AP - TEXAS DISCOUNT DENTAL"</f>
        <v>AP - TEXAS DISCOUNT DENTAL</v>
      </c>
      <c r="I2062" s="2">
        <v>6.53</v>
      </c>
      <c r="J2062" t="str">
        <f>"AP - TEXAS DISCOUNT DENTAL"</f>
        <v>AP - TEXAS DISCOUNT DENTAL</v>
      </c>
    </row>
    <row r="2063" spans="1:10" x14ac:dyDescent="0.3">
      <c r="A2063" t="str">
        <f>""</f>
        <v/>
      </c>
      <c r="F2063" t="s">
        <v>10</v>
      </c>
      <c r="G2063" t="str">
        <f>"DHM201705312319"</f>
        <v>DHM201705312319</v>
      </c>
      <c r="H2063" t="str">
        <f>"AP - DENTAL HMO"</f>
        <v>AP - DENTAL HMO</v>
      </c>
      <c r="I2063" s="2">
        <v>35.49</v>
      </c>
      <c r="J2063" t="str">
        <f>"AP - DENTAL HMO"</f>
        <v>AP - DENTAL HMO</v>
      </c>
    </row>
    <row r="2064" spans="1:10" x14ac:dyDescent="0.3">
      <c r="A2064" t="str">
        <f>""</f>
        <v/>
      </c>
      <c r="F2064" t="s">
        <v>10</v>
      </c>
      <c r="G2064" t="str">
        <f>"DTX201705312319"</f>
        <v>DTX201705312319</v>
      </c>
      <c r="H2064" t="str">
        <f>"AP - TEXAS DENTAL"</f>
        <v>AP - TEXAS DENTAL</v>
      </c>
      <c r="I2064" s="2">
        <v>390.47</v>
      </c>
      <c r="J2064" t="str">
        <f>"AP - TEXAS DENTAL"</f>
        <v>AP - TEXAS DENTAL</v>
      </c>
    </row>
    <row r="2065" spans="1:10" x14ac:dyDescent="0.3">
      <c r="A2065" t="str">
        <f>""</f>
        <v/>
      </c>
      <c r="F2065" t="s">
        <v>10</v>
      </c>
      <c r="G2065" t="str">
        <f>"FD 201705312319"</f>
        <v>FD 201705312319</v>
      </c>
      <c r="H2065" t="str">
        <f>"AP - FT DEARBORN PRE-TAX"</f>
        <v>AP - FT DEARBORN PRE-TAX</v>
      </c>
      <c r="I2065" s="2">
        <v>206.34</v>
      </c>
      <c r="J2065" t="str">
        <f>"AP - FT DEARBORN PRE-TAX"</f>
        <v>AP - FT DEARBORN PRE-TAX</v>
      </c>
    </row>
    <row r="2066" spans="1:10" x14ac:dyDescent="0.3">
      <c r="A2066" t="str">
        <f>""</f>
        <v/>
      </c>
      <c r="F2066" t="s">
        <v>10</v>
      </c>
      <c r="G2066" t="str">
        <f>"FDT201705312319"</f>
        <v>FDT201705312319</v>
      </c>
      <c r="H2066" t="str">
        <f>"AP - FT DEARBORN AFTER TAX"</f>
        <v>AP - FT DEARBORN AFTER TAX</v>
      </c>
      <c r="I2066" s="2">
        <v>87.75</v>
      </c>
      <c r="J2066" t="str">
        <f>"AP - FT DEARBORN AFTER TAX"</f>
        <v>AP - FT DEARBORN AFTER TAX</v>
      </c>
    </row>
    <row r="2067" spans="1:10" x14ac:dyDescent="0.3">
      <c r="A2067" t="str">
        <f>""</f>
        <v/>
      </c>
      <c r="F2067" t="s">
        <v>10</v>
      </c>
      <c r="G2067" t="str">
        <f>"FLX201705312319"</f>
        <v>FLX201705312319</v>
      </c>
      <c r="H2067" t="str">
        <f>"AP - TEX FLEX"</f>
        <v>AP - TEX FLEX</v>
      </c>
      <c r="I2067" s="2">
        <v>364</v>
      </c>
      <c r="J2067" t="str">
        <f>"AP - TEX FLEX"</f>
        <v>AP - TEX FLEX</v>
      </c>
    </row>
    <row r="2068" spans="1:10" x14ac:dyDescent="0.3">
      <c r="A2068" t="str">
        <f>""</f>
        <v/>
      </c>
      <c r="F2068" t="s">
        <v>10</v>
      </c>
      <c r="G2068" t="str">
        <f>"MHS201705312319"</f>
        <v>MHS201705312319</v>
      </c>
      <c r="H2068" t="str">
        <f>"AP - HEALTH SELECT MEDICAL"</f>
        <v>AP - HEALTH SELECT MEDICAL</v>
      </c>
      <c r="I2068" s="2">
        <v>1951.32</v>
      </c>
      <c r="J2068" t="str">
        <f>"AP - HEALTH SELECT MEDICAL"</f>
        <v>AP - HEALTH SELECT MEDICAL</v>
      </c>
    </row>
    <row r="2069" spans="1:10" x14ac:dyDescent="0.3">
      <c r="A2069" t="str">
        <f>""</f>
        <v/>
      </c>
      <c r="F2069" t="s">
        <v>10</v>
      </c>
      <c r="G2069" t="str">
        <f>"MSW201705312319"</f>
        <v>MSW201705312319</v>
      </c>
      <c r="H2069" t="str">
        <f>"AP - SCOTT &amp; WHITE MEDICAL"</f>
        <v>AP - SCOTT &amp; WHITE MEDICAL</v>
      </c>
      <c r="I2069" s="2">
        <v>291.82</v>
      </c>
      <c r="J2069" t="str">
        <f>"AP - SCOTT &amp; WHITE MEDICAL"</f>
        <v>AP - SCOTT &amp; WHITE MEDICAL</v>
      </c>
    </row>
    <row r="2070" spans="1:10" x14ac:dyDescent="0.3">
      <c r="A2070" t="str">
        <f>""</f>
        <v/>
      </c>
      <c r="F2070" t="s">
        <v>10</v>
      </c>
      <c r="G2070" t="str">
        <f>"SPE201705312319"</f>
        <v>SPE201705312319</v>
      </c>
      <c r="H2070" t="str">
        <f>"AP - STATE VISION"</f>
        <v>AP - STATE VISION</v>
      </c>
      <c r="I2070" s="2">
        <v>13.4</v>
      </c>
      <c r="J2070" t="str">
        <f>"AP - STATE VISION"</f>
        <v>AP - STATE VISION</v>
      </c>
    </row>
    <row r="2071" spans="1:10" x14ac:dyDescent="0.3">
      <c r="A2071" t="str">
        <f>"T12180"</f>
        <v>T12180</v>
      </c>
      <c r="B2071" t="s">
        <v>565</v>
      </c>
      <c r="C2071">
        <v>0</v>
      </c>
      <c r="D2071" s="2">
        <v>3347.12</v>
      </c>
      <c r="E2071" s="1">
        <v>42902</v>
      </c>
      <c r="F2071" t="s">
        <v>10</v>
      </c>
      <c r="G2071" t="str">
        <f>"DDP201706143099"</f>
        <v>DDP201706143099</v>
      </c>
      <c r="H2071" t="str">
        <f>"AP - TEXAS DISCOUNT DENTAL"</f>
        <v>AP - TEXAS DISCOUNT DENTAL</v>
      </c>
      <c r="I2071" s="2">
        <v>6.53</v>
      </c>
      <c r="J2071" t="str">
        <f>"AP - TEXAS DISCOUNT DENTAL"</f>
        <v>AP - TEXAS DISCOUNT DENTAL</v>
      </c>
    </row>
    <row r="2072" spans="1:10" x14ac:dyDescent="0.3">
      <c r="A2072" t="str">
        <f>""</f>
        <v/>
      </c>
      <c r="F2072" t="s">
        <v>10</v>
      </c>
      <c r="G2072" t="str">
        <f>"DHM201706143099"</f>
        <v>DHM201706143099</v>
      </c>
      <c r="H2072" t="str">
        <f>"AP - DENTAL HMO"</f>
        <v>AP - DENTAL HMO</v>
      </c>
      <c r="I2072" s="2">
        <v>35.49</v>
      </c>
      <c r="J2072" t="str">
        <f>"AP - DENTAL HMO"</f>
        <v>AP - DENTAL HMO</v>
      </c>
    </row>
    <row r="2073" spans="1:10" x14ac:dyDescent="0.3">
      <c r="A2073" t="str">
        <f>""</f>
        <v/>
      </c>
      <c r="F2073" t="s">
        <v>10</v>
      </c>
      <c r="G2073" t="str">
        <f>"DTX201706143099"</f>
        <v>DTX201706143099</v>
      </c>
      <c r="H2073" t="str">
        <f>"AP - TEXAS DENTAL"</f>
        <v>AP - TEXAS DENTAL</v>
      </c>
      <c r="I2073" s="2">
        <v>390.47</v>
      </c>
      <c r="J2073" t="str">
        <f>"AP - TEXAS DENTAL"</f>
        <v>AP - TEXAS DENTAL</v>
      </c>
    </row>
    <row r="2074" spans="1:10" x14ac:dyDescent="0.3">
      <c r="A2074" t="str">
        <f>""</f>
        <v/>
      </c>
      <c r="F2074" t="s">
        <v>10</v>
      </c>
      <c r="G2074" t="str">
        <f>"FD 201706143099"</f>
        <v>FD 201706143099</v>
      </c>
      <c r="H2074" t="str">
        <f>"AP - FT DEARBORN PRE-TAX"</f>
        <v>AP - FT DEARBORN PRE-TAX</v>
      </c>
      <c r="I2074" s="2">
        <v>206.34</v>
      </c>
      <c r="J2074" t="str">
        <f>"AP - FT DEARBORN PRE-TAX"</f>
        <v>AP - FT DEARBORN PRE-TAX</v>
      </c>
    </row>
    <row r="2075" spans="1:10" x14ac:dyDescent="0.3">
      <c r="A2075" t="str">
        <f>""</f>
        <v/>
      </c>
      <c r="F2075" t="s">
        <v>10</v>
      </c>
      <c r="G2075" t="str">
        <f>"FDT201706143099"</f>
        <v>FDT201706143099</v>
      </c>
      <c r="H2075" t="str">
        <f>"AP - FT DEARBORN AFTER TAX"</f>
        <v>AP - FT DEARBORN AFTER TAX</v>
      </c>
      <c r="I2075" s="2">
        <v>87.75</v>
      </c>
      <c r="J2075" t="str">
        <f>"AP - FT DEARBORN AFTER TAX"</f>
        <v>AP - FT DEARBORN AFTER TAX</v>
      </c>
    </row>
    <row r="2076" spans="1:10" x14ac:dyDescent="0.3">
      <c r="A2076" t="str">
        <f>""</f>
        <v/>
      </c>
      <c r="F2076" t="s">
        <v>10</v>
      </c>
      <c r="G2076" t="str">
        <f>"FLX201706143099"</f>
        <v>FLX201706143099</v>
      </c>
      <c r="H2076" t="str">
        <f>"AP - TEX FLEX"</f>
        <v>AP - TEX FLEX</v>
      </c>
      <c r="I2076" s="2">
        <v>364</v>
      </c>
      <c r="J2076" t="str">
        <f>"AP - TEX FLEX"</f>
        <v>AP - TEX FLEX</v>
      </c>
    </row>
    <row r="2077" spans="1:10" x14ac:dyDescent="0.3">
      <c r="A2077" t="str">
        <f>""</f>
        <v/>
      </c>
      <c r="F2077" t="s">
        <v>10</v>
      </c>
      <c r="G2077" t="str">
        <f>"MHS201706143099"</f>
        <v>MHS201706143099</v>
      </c>
      <c r="H2077" t="str">
        <f>"AP - HEALTH SELECT MEDICAL"</f>
        <v>AP - HEALTH SELECT MEDICAL</v>
      </c>
      <c r="I2077" s="2">
        <v>1951.32</v>
      </c>
      <c r="J2077" t="str">
        <f>"AP - HEALTH SELECT MEDICAL"</f>
        <v>AP - HEALTH SELECT MEDICAL</v>
      </c>
    </row>
    <row r="2078" spans="1:10" x14ac:dyDescent="0.3">
      <c r="A2078" t="str">
        <f>""</f>
        <v/>
      </c>
      <c r="F2078" t="s">
        <v>10</v>
      </c>
      <c r="G2078" t="str">
        <f>"MSW201706143099"</f>
        <v>MSW201706143099</v>
      </c>
      <c r="H2078" t="str">
        <f>"AP - SCOTT &amp; WHITE MEDICAL"</f>
        <v>AP - SCOTT &amp; WHITE MEDICAL</v>
      </c>
      <c r="I2078" s="2">
        <v>291.82</v>
      </c>
      <c r="J2078" t="str">
        <f>"AP - SCOTT &amp; WHITE MEDICAL"</f>
        <v>AP - SCOTT &amp; WHITE MEDICAL</v>
      </c>
    </row>
    <row r="2079" spans="1:10" x14ac:dyDescent="0.3">
      <c r="A2079" t="str">
        <f>""</f>
        <v/>
      </c>
      <c r="F2079" t="s">
        <v>10</v>
      </c>
      <c r="G2079" t="str">
        <f>"SPE201706143099"</f>
        <v>SPE201706143099</v>
      </c>
      <c r="H2079" t="str">
        <f>"AP - STATE VISION"</f>
        <v>AP - STATE VISION</v>
      </c>
      <c r="I2079" s="2">
        <v>13.4</v>
      </c>
      <c r="J2079" t="str">
        <f>"AP - STATE VISION"</f>
        <v>AP - STATE VISION</v>
      </c>
    </row>
    <row r="2080" spans="1:10" x14ac:dyDescent="0.3">
      <c r="A2080" t="str">
        <f>"COLONI"</f>
        <v>COLONI</v>
      </c>
      <c r="B2080" t="s">
        <v>566</v>
      </c>
      <c r="C2080">
        <v>0</v>
      </c>
      <c r="D2080" s="2">
        <v>4865.92</v>
      </c>
      <c r="E2080" s="1">
        <v>42912</v>
      </c>
      <c r="F2080" t="s">
        <v>10</v>
      </c>
      <c r="G2080" t="str">
        <f>"CL 201705312317"</f>
        <v>CL 201705312317</v>
      </c>
      <c r="H2080" t="str">
        <f t="shared" ref="H2080:H2099" si="22">"COLONIAL"</f>
        <v>COLONIAL</v>
      </c>
      <c r="I2080" s="2">
        <v>753.97</v>
      </c>
      <c r="J2080" t="str">
        <f t="shared" ref="J2080:J2099" si="23">"COLONIAL"</f>
        <v>COLONIAL</v>
      </c>
    </row>
    <row r="2081" spans="1:10" x14ac:dyDescent="0.3">
      <c r="A2081" t="str">
        <f>""</f>
        <v/>
      </c>
      <c r="F2081" t="s">
        <v>10</v>
      </c>
      <c r="G2081" t="str">
        <f>"CL 201705312318"</f>
        <v>CL 201705312318</v>
      </c>
      <c r="H2081" t="str">
        <f t="shared" si="22"/>
        <v>COLONIAL</v>
      </c>
      <c r="I2081" s="2">
        <v>14.49</v>
      </c>
      <c r="J2081" t="str">
        <f t="shared" si="23"/>
        <v>COLONIAL</v>
      </c>
    </row>
    <row r="2082" spans="1:10" x14ac:dyDescent="0.3">
      <c r="A2082" t="str">
        <f>""</f>
        <v/>
      </c>
      <c r="F2082" t="s">
        <v>10</v>
      </c>
      <c r="G2082" t="str">
        <f>"CL 201706143096"</f>
        <v>CL 201706143096</v>
      </c>
      <c r="H2082" t="str">
        <f t="shared" si="22"/>
        <v>COLONIAL</v>
      </c>
      <c r="I2082" s="2">
        <v>753.97</v>
      </c>
      <c r="J2082" t="str">
        <f t="shared" si="23"/>
        <v>COLONIAL</v>
      </c>
    </row>
    <row r="2083" spans="1:10" x14ac:dyDescent="0.3">
      <c r="A2083" t="str">
        <f>""</f>
        <v/>
      </c>
      <c r="F2083" t="s">
        <v>10</v>
      </c>
      <c r="G2083" t="str">
        <f>"CL 201706143098"</f>
        <v>CL 201706143098</v>
      </c>
      <c r="H2083" t="str">
        <f t="shared" si="22"/>
        <v>COLONIAL</v>
      </c>
      <c r="I2083" s="2">
        <v>14.49</v>
      </c>
      <c r="J2083" t="str">
        <f t="shared" si="23"/>
        <v>COLONIAL</v>
      </c>
    </row>
    <row r="2084" spans="1:10" x14ac:dyDescent="0.3">
      <c r="A2084" t="str">
        <f>""</f>
        <v/>
      </c>
      <c r="F2084" t="s">
        <v>10</v>
      </c>
      <c r="G2084" t="str">
        <f>"CLC201705312317"</f>
        <v>CLC201705312317</v>
      </c>
      <c r="H2084" t="str">
        <f t="shared" si="22"/>
        <v>COLONIAL</v>
      </c>
      <c r="I2084" s="2">
        <v>100.6</v>
      </c>
      <c r="J2084" t="str">
        <f t="shared" si="23"/>
        <v>COLONIAL</v>
      </c>
    </row>
    <row r="2085" spans="1:10" x14ac:dyDescent="0.3">
      <c r="A2085" t="str">
        <f>""</f>
        <v/>
      </c>
      <c r="F2085" t="s">
        <v>10</v>
      </c>
      <c r="G2085" t="str">
        <f>"CLC201706143096"</f>
        <v>CLC201706143096</v>
      </c>
      <c r="H2085" t="str">
        <f t="shared" si="22"/>
        <v>COLONIAL</v>
      </c>
      <c r="I2085" s="2">
        <v>100.6</v>
      </c>
      <c r="J2085" t="str">
        <f t="shared" si="23"/>
        <v>COLONIAL</v>
      </c>
    </row>
    <row r="2086" spans="1:10" x14ac:dyDescent="0.3">
      <c r="A2086" t="str">
        <f>""</f>
        <v/>
      </c>
      <c r="F2086" t="s">
        <v>10</v>
      </c>
      <c r="G2086" t="str">
        <f>"CLI201705312317"</f>
        <v>CLI201705312317</v>
      </c>
      <c r="H2086" t="str">
        <f t="shared" si="22"/>
        <v>COLONIAL</v>
      </c>
      <c r="I2086" s="2">
        <v>491.71</v>
      </c>
      <c r="J2086" t="str">
        <f t="shared" si="23"/>
        <v>COLONIAL</v>
      </c>
    </row>
    <row r="2087" spans="1:10" x14ac:dyDescent="0.3">
      <c r="A2087" t="str">
        <f>""</f>
        <v/>
      </c>
      <c r="F2087" t="s">
        <v>10</v>
      </c>
      <c r="G2087" t="str">
        <f>"CLI201706143096"</f>
        <v>CLI201706143096</v>
      </c>
      <c r="H2087" t="str">
        <f t="shared" si="22"/>
        <v>COLONIAL</v>
      </c>
      <c r="I2087" s="2">
        <v>491.71</v>
      </c>
      <c r="J2087" t="str">
        <f t="shared" si="23"/>
        <v>COLONIAL</v>
      </c>
    </row>
    <row r="2088" spans="1:10" x14ac:dyDescent="0.3">
      <c r="A2088" t="str">
        <f>""</f>
        <v/>
      </c>
      <c r="F2088" t="s">
        <v>10</v>
      </c>
      <c r="G2088" t="str">
        <f>"CLK201705312317"</f>
        <v>CLK201705312317</v>
      </c>
      <c r="H2088" t="str">
        <f t="shared" si="22"/>
        <v>COLONIAL</v>
      </c>
      <c r="I2088" s="2">
        <v>27.09</v>
      </c>
      <c r="J2088" t="str">
        <f t="shared" si="23"/>
        <v>COLONIAL</v>
      </c>
    </row>
    <row r="2089" spans="1:10" x14ac:dyDescent="0.3">
      <c r="A2089" t="str">
        <f>""</f>
        <v/>
      </c>
      <c r="F2089" t="s">
        <v>10</v>
      </c>
      <c r="G2089" t="str">
        <f>"CLK201706143096"</f>
        <v>CLK201706143096</v>
      </c>
      <c r="H2089" t="str">
        <f t="shared" si="22"/>
        <v>COLONIAL</v>
      </c>
      <c r="I2089" s="2">
        <v>27.09</v>
      </c>
      <c r="J2089" t="str">
        <f t="shared" si="23"/>
        <v>COLONIAL</v>
      </c>
    </row>
    <row r="2090" spans="1:10" x14ac:dyDescent="0.3">
      <c r="A2090" t="str">
        <f>""</f>
        <v/>
      </c>
      <c r="F2090" t="s">
        <v>10</v>
      </c>
      <c r="G2090" t="str">
        <f>"CLS201705312317"</f>
        <v>CLS201705312317</v>
      </c>
      <c r="H2090" t="str">
        <f t="shared" si="22"/>
        <v>COLONIAL</v>
      </c>
      <c r="I2090" s="2">
        <v>340.22</v>
      </c>
      <c r="J2090" t="str">
        <f t="shared" si="23"/>
        <v>COLONIAL</v>
      </c>
    </row>
    <row r="2091" spans="1:10" x14ac:dyDescent="0.3">
      <c r="A2091" t="str">
        <f>""</f>
        <v/>
      </c>
      <c r="F2091" t="s">
        <v>10</v>
      </c>
      <c r="G2091" t="str">
        <f>"CLS201705312318"</f>
        <v>CLS201705312318</v>
      </c>
      <c r="H2091" t="str">
        <f t="shared" si="22"/>
        <v>COLONIAL</v>
      </c>
      <c r="I2091" s="2">
        <v>22.47</v>
      </c>
      <c r="J2091" t="str">
        <f t="shared" si="23"/>
        <v>COLONIAL</v>
      </c>
    </row>
    <row r="2092" spans="1:10" x14ac:dyDescent="0.3">
      <c r="A2092" t="str">
        <f>""</f>
        <v/>
      </c>
      <c r="F2092" t="s">
        <v>10</v>
      </c>
      <c r="G2092" t="str">
        <f>"CLS201706143096"</f>
        <v>CLS201706143096</v>
      </c>
      <c r="H2092" t="str">
        <f t="shared" si="22"/>
        <v>COLONIAL</v>
      </c>
      <c r="I2092" s="2">
        <v>340.22</v>
      </c>
      <c r="J2092" t="str">
        <f t="shared" si="23"/>
        <v>COLONIAL</v>
      </c>
    </row>
    <row r="2093" spans="1:10" x14ac:dyDescent="0.3">
      <c r="A2093" t="str">
        <f>""</f>
        <v/>
      </c>
      <c r="F2093" t="s">
        <v>10</v>
      </c>
      <c r="G2093" t="str">
        <f>"CLS201706143098"</f>
        <v>CLS201706143098</v>
      </c>
      <c r="H2093" t="str">
        <f t="shared" si="22"/>
        <v>COLONIAL</v>
      </c>
      <c r="I2093" s="2">
        <v>22.47</v>
      </c>
      <c r="J2093" t="str">
        <f t="shared" si="23"/>
        <v>COLONIAL</v>
      </c>
    </row>
    <row r="2094" spans="1:10" x14ac:dyDescent="0.3">
      <c r="A2094" t="str">
        <f>""</f>
        <v/>
      </c>
      <c r="F2094" t="s">
        <v>10</v>
      </c>
      <c r="G2094" t="str">
        <f>"CLT201705312317"</f>
        <v>CLT201705312317</v>
      </c>
      <c r="H2094" t="str">
        <f t="shared" si="22"/>
        <v>COLONIAL</v>
      </c>
      <c r="I2094" s="2">
        <v>402.75</v>
      </c>
      <c r="J2094" t="str">
        <f t="shared" si="23"/>
        <v>COLONIAL</v>
      </c>
    </row>
    <row r="2095" spans="1:10" x14ac:dyDescent="0.3">
      <c r="A2095" t="str">
        <f>""</f>
        <v/>
      </c>
      <c r="F2095" t="s">
        <v>10</v>
      </c>
      <c r="G2095" t="str">
        <f>"CLT201706143096"</f>
        <v>CLT201706143096</v>
      </c>
      <c r="H2095" t="str">
        <f t="shared" si="22"/>
        <v>COLONIAL</v>
      </c>
      <c r="I2095" s="2">
        <v>402.75</v>
      </c>
      <c r="J2095" t="str">
        <f t="shared" si="23"/>
        <v>COLONIAL</v>
      </c>
    </row>
    <row r="2096" spans="1:10" x14ac:dyDescent="0.3">
      <c r="A2096" t="str">
        <f>""</f>
        <v/>
      </c>
      <c r="F2096" t="s">
        <v>10</v>
      </c>
      <c r="G2096" t="str">
        <f>"CLU201705312317"</f>
        <v>CLU201705312317</v>
      </c>
      <c r="H2096" t="str">
        <f t="shared" si="22"/>
        <v>COLONIAL</v>
      </c>
      <c r="I2096" s="2">
        <v>236.1</v>
      </c>
      <c r="J2096" t="str">
        <f t="shared" si="23"/>
        <v>COLONIAL</v>
      </c>
    </row>
    <row r="2097" spans="1:10" x14ac:dyDescent="0.3">
      <c r="A2097" t="str">
        <f>""</f>
        <v/>
      </c>
      <c r="F2097" t="s">
        <v>10</v>
      </c>
      <c r="G2097" t="str">
        <f>"CLU201706143096"</f>
        <v>CLU201706143096</v>
      </c>
      <c r="H2097" t="str">
        <f t="shared" si="22"/>
        <v>COLONIAL</v>
      </c>
      <c r="I2097" s="2">
        <v>236.1</v>
      </c>
      <c r="J2097" t="str">
        <f t="shared" si="23"/>
        <v>COLONIAL</v>
      </c>
    </row>
    <row r="2098" spans="1:10" x14ac:dyDescent="0.3">
      <c r="A2098" t="str">
        <f>""</f>
        <v/>
      </c>
      <c r="F2098" t="s">
        <v>10</v>
      </c>
      <c r="G2098" t="str">
        <f>"CLW201705312317"</f>
        <v>CLW201705312317</v>
      </c>
      <c r="H2098" t="str">
        <f t="shared" si="22"/>
        <v>COLONIAL</v>
      </c>
      <c r="I2098" s="2">
        <v>43.56</v>
      </c>
      <c r="J2098" t="str">
        <f t="shared" si="23"/>
        <v>COLONIAL</v>
      </c>
    </row>
    <row r="2099" spans="1:10" x14ac:dyDescent="0.3">
      <c r="A2099" t="str">
        <f>""</f>
        <v/>
      </c>
      <c r="F2099" t="s">
        <v>10</v>
      </c>
      <c r="G2099" t="str">
        <f>"CLW201706143096"</f>
        <v>CLW201706143096</v>
      </c>
      <c r="H2099" t="str">
        <f t="shared" si="22"/>
        <v>COLONIAL</v>
      </c>
      <c r="I2099" s="2">
        <v>43.56</v>
      </c>
      <c r="J2099" t="str">
        <f t="shared" si="23"/>
        <v>COLONIAL</v>
      </c>
    </row>
    <row r="2100" spans="1:10" x14ac:dyDescent="0.3">
      <c r="A2100" t="str">
        <f>"T14390"</f>
        <v>T14390</v>
      </c>
      <c r="B2100" t="s">
        <v>567</v>
      </c>
      <c r="C2100">
        <v>0</v>
      </c>
      <c r="D2100" s="2">
        <v>7174.34</v>
      </c>
      <c r="E2100" s="1">
        <v>42888</v>
      </c>
      <c r="F2100" t="s">
        <v>10</v>
      </c>
      <c r="G2100" t="str">
        <f>"CPI201705312317"</f>
        <v>CPI201705312317</v>
      </c>
      <c r="H2100" t="str">
        <f>"DEFERRED COMP 457B PAYABLE"</f>
        <v>DEFERRED COMP 457B PAYABLE</v>
      </c>
      <c r="I2100" s="2">
        <v>7066.84</v>
      </c>
      <c r="J2100" t="str">
        <f>"DEFERRED COMP 457B PAYABLE"</f>
        <v>DEFERRED COMP 457B PAYABLE</v>
      </c>
    </row>
    <row r="2101" spans="1:10" x14ac:dyDescent="0.3">
      <c r="A2101" t="str">
        <f>""</f>
        <v/>
      </c>
      <c r="F2101" t="s">
        <v>10</v>
      </c>
      <c r="G2101" t="str">
        <f>"CPI201705312318"</f>
        <v>CPI201705312318</v>
      </c>
      <c r="H2101" t="str">
        <f>"DEFERRED COMP 457B PAYABLE"</f>
        <v>DEFERRED COMP 457B PAYABLE</v>
      </c>
      <c r="I2101" s="2">
        <v>107.5</v>
      </c>
      <c r="J2101" t="str">
        <f>"DEFERRED COMP 457B PAYABLE"</f>
        <v>DEFERRED COMP 457B PAYABLE</v>
      </c>
    </row>
    <row r="2102" spans="1:10" x14ac:dyDescent="0.3">
      <c r="A2102" t="str">
        <f>"T14390"</f>
        <v>T14390</v>
      </c>
      <c r="B2102" t="s">
        <v>567</v>
      </c>
      <c r="C2102">
        <v>0</v>
      </c>
      <c r="D2102" s="2">
        <v>7174.34</v>
      </c>
      <c r="E2102" s="1">
        <v>42902</v>
      </c>
      <c r="F2102" t="s">
        <v>10</v>
      </c>
      <c r="G2102" t="str">
        <f>"CPI201706143096"</f>
        <v>CPI201706143096</v>
      </c>
      <c r="H2102" t="str">
        <f>"DEFERRED COMP 457B PAYABLE"</f>
        <v>DEFERRED COMP 457B PAYABLE</v>
      </c>
      <c r="I2102" s="2">
        <v>7066.84</v>
      </c>
      <c r="J2102" t="str">
        <f>"DEFERRED COMP 457B PAYABLE"</f>
        <v>DEFERRED COMP 457B PAYABLE</v>
      </c>
    </row>
    <row r="2103" spans="1:10" x14ac:dyDescent="0.3">
      <c r="A2103" t="str">
        <f>""</f>
        <v/>
      </c>
      <c r="F2103" t="s">
        <v>10</v>
      </c>
      <c r="G2103" t="str">
        <f>"CPI201706143098"</f>
        <v>CPI201706143098</v>
      </c>
      <c r="H2103" t="str">
        <f>"DEFERRED COMP 457B PAYABLE"</f>
        <v>DEFERRED COMP 457B PAYABLE</v>
      </c>
      <c r="I2103" s="2">
        <v>107.5</v>
      </c>
      <c r="J2103" t="str">
        <f>"DEFERRED COMP 457B PAYABLE"</f>
        <v>DEFERRED COMP 457B PAYABLE</v>
      </c>
    </row>
    <row r="2104" spans="1:10" x14ac:dyDescent="0.3">
      <c r="A2104" t="str">
        <f>"T10761"</f>
        <v>T10761</v>
      </c>
      <c r="B2104" t="s">
        <v>568</v>
      </c>
      <c r="C2104">
        <v>45634</v>
      </c>
      <c r="D2104" s="2">
        <v>1345.62</v>
      </c>
      <c r="E2104" s="1">
        <v>42888</v>
      </c>
      <c r="F2104" t="s">
        <v>10</v>
      </c>
      <c r="G2104" t="str">
        <f>"B13201705312317"</f>
        <v>B13201705312317</v>
      </c>
      <c r="H2104" t="str">
        <f>"Rosa Warren 15-10357-TMD"</f>
        <v>Rosa Warren 15-10357-TMD</v>
      </c>
      <c r="I2104" s="2">
        <v>853.85</v>
      </c>
      <c r="J2104" t="str">
        <f>"Rosa Warren 15-10357-TMD"</f>
        <v>Rosa Warren 15-10357-TMD</v>
      </c>
    </row>
    <row r="2105" spans="1:10" x14ac:dyDescent="0.3">
      <c r="A2105" t="str">
        <f>""</f>
        <v/>
      </c>
      <c r="F2105" t="s">
        <v>10</v>
      </c>
      <c r="G2105" t="str">
        <f>"BJL201705312317"</f>
        <v>BJL201705312317</v>
      </c>
      <c r="H2105" t="str">
        <f>"Julian Luna 14-10230-TMD"</f>
        <v>Julian Luna 14-10230-TMD</v>
      </c>
      <c r="I2105" s="2">
        <v>491.77</v>
      </c>
      <c r="J2105" t="str">
        <f>"Julian Luna 14-10230-TMD"</f>
        <v>Julian Luna 14-10230-TMD</v>
      </c>
    </row>
    <row r="2106" spans="1:10" x14ac:dyDescent="0.3">
      <c r="A2106" t="str">
        <f>"T10761"</f>
        <v>T10761</v>
      </c>
      <c r="B2106" t="s">
        <v>568</v>
      </c>
      <c r="C2106">
        <v>45661</v>
      </c>
      <c r="D2106" s="2">
        <v>1345.62</v>
      </c>
      <c r="E2106" s="1">
        <v>42902</v>
      </c>
      <c r="F2106" t="s">
        <v>10</v>
      </c>
      <c r="G2106" t="str">
        <f>"B13201706143096"</f>
        <v>B13201706143096</v>
      </c>
      <c r="H2106" t="str">
        <f>"Rosa Warren 15-10357-TMD"</f>
        <v>Rosa Warren 15-10357-TMD</v>
      </c>
      <c r="I2106" s="2">
        <v>853.85</v>
      </c>
      <c r="J2106" t="str">
        <f>"Rosa Warren 15-10357-TMD"</f>
        <v>Rosa Warren 15-10357-TMD</v>
      </c>
    </row>
    <row r="2107" spans="1:10" x14ac:dyDescent="0.3">
      <c r="A2107" t="str">
        <f>""</f>
        <v/>
      </c>
      <c r="F2107" t="s">
        <v>10</v>
      </c>
      <c r="G2107" t="str">
        <f>"BJL201706143096"</f>
        <v>BJL201706143096</v>
      </c>
      <c r="H2107" t="str">
        <f>"Julian Luna 14-10230-TMD"</f>
        <v>Julian Luna 14-10230-TMD</v>
      </c>
      <c r="I2107" s="2">
        <v>491.77</v>
      </c>
      <c r="J2107" t="str">
        <f>"Julian Luna 14-10230-TMD"</f>
        <v>Julian Luna 14-10230-TMD</v>
      </c>
    </row>
    <row r="2108" spans="1:10" x14ac:dyDescent="0.3">
      <c r="A2108" t="str">
        <f>"T10761"</f>
        <v>T10761</v>
      </c>
      <c r="B2108" t="s">
        <v>568</v>
      </c>
      <c r="C2108">
        <v>45688</v>
      </c>
      <c r="D2108" s="2">
        <v>1345.62</v>
      </c>
      <c r="E2108" s="1">
        <v>42916</v>
      </c>
      <c r="F2108" t="s">
        <v>10</v>
      </c>
      <c r="G2108" t="str">
        <f>"B13201706273273"</f>
        <v>B13201706273273</v>
      </c>
      <c r="H2108" t="str">
        <f>"Rosa Warren 15-10357-TMD"</f>
        <v>Rosa Warren 15-10357-TMD</v>
      </c>
      <c r="I2108" s="2">
        <v>853.85</v>
      </c>
      <c r="J2108" t="str">
        <f>"Rosa Warren 15-10357-TMD"</f>
        <v>Rosa Warren 15-10357-TMD</v>
      </c>
    </row>
    <row r="2109" spans="1:10" x14ac:dyDescent="0.3">
      <c r="A2109" t="str">
        <f>""</f>
        <v/>
      </c>
      <c r="F2109" t="s">
        <v>10</v>
      </c>
      <c r="G2109" t="str">
        <f>"BJL201706273273"</f>
        <v>BJL201706273273</v>
      </c>
      <c r="H2109" t="str">
        <f>"Julian Luna 14-10230-TMD"</f>
        <v>Julian Luna 14-10230-TMD</v>
      </c>
      <c r="I2109" s="2">
        <v>491.77</v>
      </c>
      <c r="J2109" t="str">
        <f>"Julian Luna 14-10230-TMD"</f>
        <v>Julian Luna 14-10230-TMD</v>
      </c>
    </row>
    <row r="2110" spans="1:10" x14ac:dyDescent="0.3">
      <c r="A2110" t="str">
        <f>"GUARD"</f>
        <v>GUARD</v>
      </c>
      <c r="B2110" t="s">
        <v>569</v>
      </c>
      <c r="C2110">
        <v>0</v>
      </c>
      <c r="D2110" s="2">
        <v>36868.080000000002</v>
      </c>
      <c r="E2110" s="1">
        <v>42912</v>
      </c>
      <c r="F2110" t="s">
        <v>211</v>
      </c>
      <c r="G2110" t="str">
        <f>"201706263266"</f>
        <v>201706263266</v>
      </c>
      <c r="H2110" t="str">
        <f>"Dental Rounding"</f>
        <v>Dental Rounding</v>
      </c>
      <c r="I2110" s="2">
        <v>-5.74</v>
      </c>
      <c r="J2110" t="str">
        <f>"Dental Rounding"</f>
        <v>Dental Rounding</v>
      </c>
    </row>
    <row r="2111" spans="1:10" x14ac:dyDescent="0.3">
      <c r="A2111" t="str">
        <f>""</f>
        <v/>
      </c>
      <c r="F2111" t="s">
        <v>211</v>
      </c>
      <c r="G2111" t="str">
        <f>"201706263268"</f>
        <v>201706263268</v>
      </c>
      <c r="H2111" t="str">
        <f>"Life Ins Rounding"</f>
        <v>Life Ins Rounding</v>
      </c>
      <c r="I2111" s="2">
        <v>-0.3</v>
      </c>
      <c r="J2111" t="str">
        <f>"Life Ins Rounding"</f>
        <v>Life Ins Rounding</v>
      </c>
    </row>
    <row r="2112" spans="1:10" x14ac:dyDescent="0.3">
      <c r="A2112" t="str">
        <f>""</f>
        <v/>
      </c>
      <c r="F2112" t="s">
        <v>211</v>
      </c>
      <c r="G2112" t="str">
        <f>"201706263269"</f>
        <v>201706263269</v>
      </c>
      <c r="H2112" t="str">
        <f>"LTD Rounding"</f>
        <v>LTD Rounding</v>
      </c>
      <c r="I2112" s="2">
        <v>-7.0000000000000007E-2</v>
      </c>
      <c r="J2112" t="str">
        <f>"LTD Rounding"</f>
        <v>LTD Rounding</v>
      </c>
    </row>
    <row r="2113" spans="1:10" x14ac:dyDescent="0.3">
      <c r="A2113" t="str">
        <f>""</f>
        <v/>
      </c>
      <c r="F2113" t="s">
        <v>10</v>
      </c>
      <c r="G2113" t="str">
        <f>"201706263264"</f>
        <v>201706263264</v>
      </c>
      <c r="H2113" t="str">
        <f>"Retiree Dental/Vision"</f>
        <v>Retiree Dental/Vision</v>
      </c>
      <c r="I2113" s="2">
        <v>2821.76</v>
      </c>
      <c r="J2113" t="str">
        <f>"Retiree Dental/Vision"</f>
        <v>Retiree Dental/Vision</v>
      </c>
    </row>
    <row r="2114" spans="1:10" x14ac:dyDescent="0.3">
      <c r="A2114" t="str">
        <f>""</f>
        <v/>
      </c>
      <c r="F2114" t="s">
        <v>10</v>
      </c>
      <c r="G2114" t="str">
        <f>"201706263265"</f>
        <v>201706263265</v>
      </c>
      <c r="H2114" t="str">
        <f>"COBRA Coverage"</f>
        <v>COBRA Coverage</v>
      </c>
      <c r="I2114" s="2">
        <v>36.96</v>
      </c>
      <c r="J2114" t="str">
        <f>"COBRA Coverage"</f>
        <v>COBRA Coverage</v>
      </c>
    </row>
    <row r="2115" spans="1:10" x14ac:dyDescent="0.3">
      <c r="A2115" t="str">
        <f>""</f>
        <v/>
      </c>
      <c r="F2115" t="s">
        <v>10</v>
      </c>
      <c r="G2115" t="str">
        <f>"201706263267"</f>
        <v>201706263267</v>
      </c>
      <c r="H2115" t="str">
        <f>"Retiree Life Coverage"</f>
        <v>Retiree Life Coverage</v>
      </c>
      <c r="I2115" s="2">
        <v>132.19</v>
      </c>
      <c r="J2115" t="str">
        <f>"Retiree Life Coverage"</f>
        <v>Retiree Life Coverage</v>
      </c>
    </row>
    <row r="2116" spans="1:10" x14ac:dyDescent="0.3">
      <c r="A2116" t="str">
        <f>""</f>
        <v/>
      </c>
      <c r="F2116" t="s">
        <v>10</v>
      </c>
      <c r="G2116" t="str">
        <f>"ADC201705312317"</f>
        <v>ADC201705312317</v>
      </c>
      <c r="H2116" t="str">
        <f t="shared" ref="H2116:H2128" si="24">"GUARDIAN"</f>
        <v>GUARDIAN</v>
      </c>
      <c r="I2116" s="2">
        <v>5.53</v>
      </c>
      <c r="J2116" t="str">
        <f t="shared" ref="J2116:J2179" si="25">"GUARDIAN"</f>
        <v>GUARDIAN</v>
      </c>
    </row>
    <row r="2117" spans="1:10" x14ac:dyDescent="0.3">
      <c r="A2117" t="str">
        <f>""</f>
        <v/>
      </c>
      <c r="F2117" t="s">
        <v>10</v>
      </c>
      <c r="G2117" t="str">
        <f>"ADC201705312318"</f>
        <v>ADC201705312318</v>
      </c>
      <c r="H2117" t="str">
        <f t="shared" si="24"/>
        <v>GUARDIAN</v>
      </c>
      <c r="I2117" s="2">
        <v>0.16</v>
      </c>
      <c r="J2117" t="str">
        <f t="shared" si="25"/>
        <v>GUARDIAN</v>
      </c>
    </row>
    <row r="2118" spans="1:10" x14ac:dyDescent="0.3">
      <c r="A2118" t="str">
        <f>""</f>
        <v/>
      </c>
      <c r="F2118" t="s">
        <v>10</v>
      </c>
      <c r="G2118" t="str">
        <f>"ADC201706143096"</f>
        <v>ADC201706143096</v>
      </c>
      <c r="H2118" t="str">
        <f t="shared" si="24"/>
        <v>GUARDIAN</v>
      </c>
      <c r="I2118" s="2">
        <v>5.53</v>
      </c>
      <c r="J2118" t="str">
        <f t="shared" si="25"/>
        <v>GUARDIAN</v>
      </c>
    </row>
    <row r="2119" spans="1:10" x14ac:dyDescent="0.3">
      <c r="A2119" t="str">
        <f>""</f>
        <v/>
      </c>
      <c r="F2119" t="s">
        <v>10</v>
      </c>
      <c r="G2119" t="str">
        <f>"ADC201706143098"</f>
        <v>ADC201706143098</v>
      </c>
      <c r="H2119" t="str">
        <f t="shared" si="24"/>
        <v>GUARDIAN</v>
      </c>
      <c r="I2119" s="2">
        <v>0.16</v>
      </c>
      <c r="J2119" t="str">
        <f t="shared" si="25"/>
        <v>GUARDIAN</v>
      </c>
    </row>
    <row r="2120" spans="1:10" x14ac:dyDescent="0.3">
      <c r="A2120" t="str">
        <f>""</f>
        <v/>
      </c>
      <c r="F2120" t="s">
        <v>10</v>
      </c>
      <c r="G2120" t="str">
        <f>"ADE201705312317"</f>
        <v>ADE201705312317</v>
      </c>
      <c r="H2120" t="str">
        <f t="shared" si="24"/>
        <v>GUARDIAN</v>
      </c>
      <c r="I2120" s="2">
        <v>213.43</v>
      </c>
      <c r="J2120" t="str">
        <f t="shared" si="25"/>
        <v>GUARDIAN</v>
      </c>
    </row>
    <row r="2121" spans="1:10" x14ac:dyDescent="0.3">
      <c r="A2121" t="str">
        <f>""</f>
        <v/>
      </c>
      <c r="F2121" t="s">
        <v>10</v>
      </c>
      <c r="G2121" t="str">
        <f>"ADE201705312318"</f>
        <v>ADE201705312318</v>
      </c>
      <c r="H2121" t="str">
        <f t="shared" si="24"/>
        <v>GUARDIAN</v>
      </c>
      <c r="I2121" s="2">
        <v>6.6</v>
      </c>
      <c r="J2121" t="str">
        <f t="shared" si="25"/>
        <v>GUARDIAN</v>
      </c>
    </row>
    <row r="2122" spans="1:10" x14ac:dyDescent="0.3">
      <c r="A2122" t="str">
        <f>""</f>
        <v/>
      </c>
      <c r="F2122" t="s">
        <v>10</v>
      </c>
      <c r="G2122" t="str">
        <f>"ADE201706143096"</f>
        <v>ADE201706143096</v>
      </c>
      <c r="H2122" t="str">
        <f t="shared" si="24"/>
        <v>GUARDIAN</v>
      </c>
      <c r="I2122" s="2">
        <v>213.43</v>
      </c>
      <c r="J2122" t="str">
        <f t="shared" si="25"/>
        <v>GUARDIAN</v>
      </c>
    </row>
    <row r="2123" spans="1:10" x14ac:dyDescent="0.3">
      <c r="A2123" t="str">
        <f>""</f>
        <v/>
      </c>
      <c r="F2123" t="s">
        <v>10</v>
      </c>
      <c r="G2123" t="str">
        <f>"ADE201706143098"</f>
        <v>ADE201706143098</v>
      </c>
      <c r="H2123" t="str">
        <f t="shared" si="24"/>
        <v>GUARDIAN</v>
      </c>
      <c r="I2123" s="2">
        <v>6.6</v>
      </c>
      <c r="J2123" t="str">
        <f t="shared" si="25"/>
        <v>GUARDIAN</v>
      </c>
    </row>
    <row r="2124" spans="1:10" x14ac:dyDescent="0.3">
      <c r="A2124" t="str">
        <f>""</f>
        <v/>
      </c>
      <c r="F2124" t="s">
        <v>10</v>
      </c>
      <c r="G2124" t="str">
        <f>"ADS201705312317"</f>
        <v>ADS201705312317</v>
      </c>
      <c r="H2124" t="str">
        <f t="shared" si="24"/>
        <v>GUARDIAN</v>
      </c>
      <c r="I2124" s="2">
        <v>35.14</v>
      </c>
      <c r="J2124" t="str">
        <f t="shared" si="25"/>
        <v>GUARDIAN</v>
      </c>
    </row>
    <row r="2125" spans="1:10" x14ac:dyDescent="0.3">
      <c r="A2125" t="str">
        <f>""</f>
        <v/>
      </c>
      <c r="F2125" t="s">
        <v>10</v>
      </c>
      <c r="G2125" t="str">
        <f>"ADS201705312318"</f>
        <v>ADS201705312318</v>
      </c>
      <c r="H2125" t="str">
        <f t="shared" si="24"/>
        <v>GUARDIAN</v>
      </c>
      <c r="I2125" s="2">
        <v>0.98</v>
      </c>
      <c r="J2125" t="str">
        <f t="shared" si="25"/>
        <v>GUARDIAN</v>
      </c>
    </row>
    <row r="2126" spans="1:10" x14ac:dyDescent="0.3">
      <c r="A2126" t="str">
        <f>""</f>
        <v/>
      </c>
      <c r="F2126" t="s">
        <v>10</v>
      </c>
      <c r="G2126" t="str">
        <f>"ADS201706143096"</f>
        <v>ADS201706143096</v>
      </c>
      <c r="H2126" t="str">
        <f t="shared" si="24"/>
        <v>GUARDIAN</v>
      </c>
      <c r="I2126" s="2">
        <v>35.14</v>
      </c>
      <c r="J2126" t="str">
        <f t="shared" si="25"/>
        <v>GUARDIAN</v>
      </c>
    </row>
    <row r="2127" spans="1:10" x14ac:dyDescent="0.3">
      <c r="A2127" t="str">
        <f>""</f>
        <v/>
      </c>
      <c r="F2127" t="s">
        <v>10</v>
      </c>
      <c r="G2127" t="str">
        <f>"ADS201706143098"</f>
        <v>ADS201706143098</v>
      </c>
      <c r="H2127" t="str">
        <f t="shared" si="24"/>
        <v>GUARDIAN</v>
      </c>
      <c r="I2127" s="2">
        <v>0.98</v>
      </c>
      <c r="J2127" t="str">
        <f t="shared" si="25"/>
        <v>GUARDIAN</v>
      </c>
    </row>
    <row r="2128" spans="1:10" x14ac:dyDescent="0.3">
      <c r="A2128" t="str">
        <f>""</f>
        <v/>
      </c>
      <c r="F2128" t="s">
        <v>10</v>
      </c>
      <c r="G2128" t="str">
        <f>"GDC201705312317"</f>
        <v>GDC201705312317</v>
      </c>
      <c r="H2128" t="str">
        <f t="shared" si="24"/>
        <v>GUARDIAN</v>
      </c>
      <c r="I2128" s="2">
        <v>2383.4499999999998</v>
      </c>
      <c r="J2128" t="str">
        <f t="shared" si="25"/>
        <v>GUARDIAN</v>
      </c>
    </row>
    <row r="2129" spans="1:10" x14ac:dyDescent="0.3">
      <c r="A2129" t="str">
        <f>""</f>
        <v/>
      </c>
      <c r="G2129" t="str">
        <f>""</f>
        <v/>
      </c>
      <c r="H2129" t="str">
        <f>""</f>
        <v/>
      </c>
      <c r="J2129" t="str">
        <f t="shared" si="25"/>
        <v>GUARDIAN</v>
      </c>
    </row>
    <row r="2130" spans="1:10" x14ac:dyDescent="0.3">
      <c r="A2130" t="str">
        <f>""</f>
        <v/>
      </c>
      <c r="G2130" t="str">
        <f>""</f>
        <v/>
      </c>
      <c r="H2130" t="str">
        <f>""</f>
        <v/>
      </c>
      <c r="J2130" t="str">
        <f t="shared" si="25"/>
        <v>GUARDIAN</v>
      </c>
    </row>
    <row r="2131" spans="1:10" x14ac:dyDescent="0.3">
      <c r="A2131" t="str">
        <f>""</f>
        <v/>
      </c>
      <c r="G2131" t="str">
        <f>""</f>
        <v/>
      </c>
      <c r="H2131" t="str">
        <f>""</f>
        <v/>
      </c>
      <c r="J2131" t="str">
        <f t="shared" si="25"/>
        <v>GUARDIAN</v>
      </c>
    </row>
    <row r="2132" spans="1:10" x14ac:dyDescent="0.3">
      <c r="A2132" t="str">
        <f>""</f>
        <v/>
      </c>
      <c r="G2132" t="str">
        <f>""</f>
        <v/>
      </c>
      <c r="H2132" t="str">
        <f>""</f>
        <v/>
      </c>
      <c r="J2132" t="str">
        <f t="shared" si="25"/>
        <v>GUARDIAN</v>
      </c>
    </row>
    <row r="2133" spans="1:10" x14ac:dyDescent="0.3">
      <c r="A2133" t="str">
        <f>""</f>
        <v/>
      </c>
      <c r="G2133" t="str">
        <f>""</f>
        <v/>
      </c>
      <c r="H2133" t="str">
        <f>""</f>
        <v/>
      </c>
      <c r="J2133" t="str">
        <f t="shared" si="25"/>
        <v>GUARDIAN</v>
      </c>
    </row>
    <row r="2134" spans="1:10" x14ac:dyDescent="0.3">
      <c r="A2134" t="str">
        <f>""</f>
        <v/>
      </c>
      <c r="G2134" t="str">
        <f>""</f>
        <v/>
      </c>
      <c r="H2134" t="str">
        <f>""</f>
        <v/>
      </c>
      <c r="J2134" t="str">
        <f t="shared" si="25"/>
        <v>GUARDIAN</v>
      </c>
    </row>
    <row r="2135" spans="1:10" x14ac:dyDescent="0.3">
      <c r="A2135" t="str">
        <f>""</f>
        <v/>
      </c>
      <c r="G2135" t="str">
        <f>""</f>
        <v/>
      </c>
      <c r="H2135" t="str">
        <f>""</f>
        <v/>
      </c>
      <c r="J2135" t="str">
        <f t="shared" si="25"/>
        <v>GUARDIAN</v>
      </c>
    </row>
    <row r="2136" spans="1:10" x14ac:dyDescent="0.3">
      <c r="A2136" t="str">
        <f>""</f>
        <v/>
      </c>
      <c r="G2136" t="str">
        <f>""</f>
        <v/>
      </c>
      <c r="H2136" t="str">
        <f>""</f>
        <v/>
      </c>
      <c r="J2136" t="str">
        <f t="shared" si="25"/>
        <v>GUARDIAN</v>
      </c>
    </row>
    <row r="2137" spans="1:10" x14ac:dyDescent="0.3">
      <c r="A2137" t="str">
        <f>""</f>
        <v/>
      </c>
      <c r="G2137" t="str">
        <f>""</f>
        <v/>
      </c>
      <c r="H2137" t="str">
        <f>""</f>
        <v/>
      </c>
      <c r="J2137" t="str">
        <f t="shared" si="25"/>
        <v>GUARDIAN</v>
      </c>
    </row>
    <row r="2138" spans="1:10" x14ac:dyDescent="0.3">
      <c r="A2138" t="str">
        <f>""</f>
        <v/>
      </c>
      <c r="G2138" t="str">
        <f>""</f>
        <v/>
      </c>
      <c r="H2138" t="str">
        <f>""</f>
        <v/>
      </c>
      <c r="J2138" t="str">
        <f t="shared" si="25"/>
        <v>GUARDIAN</v>
      </c>
    </row>
    <row r="2139" spans="1:10" x14ac:dyDescent="0.3">
      <c r="A2139" t="str">
        <f>""</f>
        <v/>
      </c>
      <c r="G2139" t="str">
        <f>""</f>
        <v/>
      </c>
      <c r="H2139" t="str">
        <f>""</f>
        <v/>
      </c>
      <c r="J2139" t="str">
        <f t="shared" si="25"/>
        <v>GUARDIAN</v>
      </c>
    </row>
    <row r="2140" spans="1:10" x14ac:dyDescent="0.3">
      <c r="A2140" t="str">
        <f>""</f>
        <v/>
      </c>
      <c r="G2140" t="str">
        <f>""</f>
        <v/>
      </c>
      <c r="H2140" t="str">
        <f>""</f>
        <v/>
      </c>
      <c r="J2140" t="str">
        <f t="shared" si="25"/>
        <v>GUARDIAN</v>
      </c>
    </row>
    <row r="2141" spans="1:10" x14ac:dyDescent="0.3">
      <c r="A2141" t="str">
        <f>""</f>
        <v/>
      </c>
      <c r="G2141" t="str">
        <f>""</f>
        <v/>
      </c>
      <c r="H2141" t="str">
        <f>""</f>
        <v/>
      </c>
      <c r="J2141" t="str">
        <f t="shared" si="25"/>
        <v>GUARDIAN</v>
      </c>
    </row>
    <row r="2142" spans="1:10" x14ac:dyDescent="0.3">
      <c r="A2142" t="str">
        <f>""</f>
        <v/>
      </c>
      <c r="G2142" t="str">
        <f>""</f>
        <v/>
      </c>
      <c r="H2142" t="str">
        <f>""</f>
        <v/>
      </c>
      <c r="J2142" t="str">
        <f t="shared" si="25"/>
        <v>GUARDIAN</v>
      </c>
    </row>
    <row r="2143" spans="1:10" x14ac:dyDescent="0.3">
      <c r="A2143" t="str">
        <f>""</f>
        <v/>
      </c>
      <c r="G2143" t="str">
        <f>""</f>
        <v/>
      </c>
      <c r="H2143" t="str">
        <f>""</f>
        <v/>
      </c>
      <c r="J2143" t="str">
        <f t="shared" si="25"/>
        <v>GUARDIAN</v>
      </c>
    </row>
    <row r="2144" spans="1:10" x14ac:dyDescent="0.3">
      <c r="A2144" t="str">
        <f>""</f>
        <v/>
      </c>
      <c r="G2144" t="str">
        <f>""</f>
        <v/>
      </c>
      <c r="H2144" t="str">
        <f>""</f>
        <v/>
      </c>
      <c r="J2144" t="str">
        <f t="shared" si="25"/>
        <v>GUARDIAN</v>
      </c>
    </row>
    <row r="2145" spans="1:10" x14ac:dyDescent="0.3">
      <c r="A2145" t="str">
        <f>""</f>
        <v/>
      </c>
      <c r="G2145" t="str">
        <f>""</f>
        <v/>
      </c>
      <c r="H2145" t="str">
        <f>""</f>
        <v/>
      </c>
      <c r="J2145" t="str">
        <f t="shared" si="25"/>
        <v>GUARDIAN</v>
      </c>
    </row>
    <row r="2146" spans="1:10" x14ac:dyDescent="0.3">
      <c r="A2146" t="str">
        <f>""</f>
        <v/>
      </c>
      <c r="G2146" t="str">
        <f>""</f>
        <v/>
      </c>
      <c r="H2146" t="str">
        <f>""</f>
        <v/>
      </c>
      <c r="J2146" t="str">
        <f t="shared" si="25"/>
        <v>GUARDIAN</v>
      </c>
    </row>
    <row r="2147" spans="1:10" x14ac:dyDescent="0.3">
      <c r="A2147" t="str">
        <f>""</f>
        <v/>
      </c>
      <c r="G2147" t="str">
        <f>""</f>
        <v/>
      </c>
      <c r="H2147" t="str">
        <f>""</f>
        <v/>
      </c>
      <c r="J2147" t="str">
        <f t="shared" si="25"/>
        <v>GUARDIAN</v>
      </c>
    </row>
    <row r="2148" spans="1:10" x14ac:dyDescent="0.3">
      <c r="A2148" t="str">
        <f>""</f>
        <v/>
      </c>
      <c r="G2148" t="str">
        <f>""</f>
        <v/>
      </c>
      <c r="H2148" t="str">
        <f>""</f>
        <v/>
      </c>
      <c r="J2148" t="str">
        <f t="shared" si="25"/>
        <v>GUARDIAN</v>
      </c>
    </row>
    <row r="2149" spans="1:10" x14ac:dyDescent="0.3">
      <c r="A2149" t="str">
        <f>""</f>
        <v/>
      </c>
      <c r="G2149" t="str">
        <f>""</f>
        <v/>
      </c>
      <c r="H2149" t="str">
        <f>""</f>
        <v/>
      </c>
      <c r="J2149" t="str">
        <f t="shared" si="25"/>
        <v>GUARDIAN</v>
      </c>
    </row>
    <row r="2150" spans="1:10" x14ac:dyDescent="0.3">
      <c r="A2150" t="str">
        <f>""</f>
        <v/>
      </c>
      <c r="G2150" t="str">
        <f>""</f>
        <v/>
      </c>
      <c r="H2150" t="str">
        <f>""</f>
        <v/>
      </c>
      <c r="J2150" t="str">
        <f t="shared" si="25"/>
        <v>GUARDIAN</v>
      </c>
    </row>
    <row r="2151" spans="1:10" x14ac:dyDescent="0.3">
      <c r="A2151" t="str">
        <f>""</f>
        <v/>
      </c>
      <c r="G2151" t="str">
        <f>""</f>
        <v/>
      </c>
      <c r="H2151" t="str">
        <f>""</f>
        <v/>
      </c>
      <c r="J2151" t="str">
        <f t="shared" si="25"/>
        <v>GUARDIAN</v>
      </c>
    </row>
    <row r="2152" spans="1:10" x14ac:dyDescent="0.3">
      <c r="A2152" t="str">
        <f>""</f>
        <v/>
      </c>
      <c r="G2152" t="str">
        <f>""</f>
        <v/>
      </c>
      <c r="H2152" t="str">
        <f>""</f>
        <v/>
      </c>
      <c r="J2152" t="str">
        <f t="shared" si="25"/>
        <v>GUARDIAN</v>
      </c>
    </row>
    <row r="2153" spans="1:10" x14ac:dyDescent="0.3">
      <c r="A2153" t="str">
        <f>""</f>
        <v/>
      </c>
      <c r="G2153" t="str">
        <f>""</f>
        <v/>
      </c>
      <c r="H2153" t="str">
        <f>""</f>
        <v/>
      </c>
      <c r="J2153" t="str">
        <f t="shared" si="25"/>
        <v>GUARDIAN</v>
      </c>
    </row>
    <row r="2154" spans="1:10" x14ac:dyDescent="0.3">
      <c r="A2154" t="str">
        <f>""</f>
        <v/>
      </c>
      <c r="G2154" t="str">
        <f>""</f>
        <v/>
      </c>
      <c r="H2154" t="str">
        <f>""</f>
        <v/>
      </c>
      <c r="J2154" t="str">
        <f t="shared" si="25"/>
        <v>GUARDIAN</v>
      </c>
    </row>
    <row r="2155" spans="1:10" x14ac:dyDescent="0.3">
      <c r="A2155" t="str">
        <f>""</f>
        <v/>
      </c>
      <c r="G2155" t="str">
        <f>""</f>
        <v/>
      </c>
      <c r="H2155" t="str">
        <f>""</f>
        <v/>
      </c>
      <c r="J2155" t="str">
        <f t="shared" si="25"/>
        <v>GUARDIAN</v>
      </c>
    </row>
    <row r="2156" spans="1:10" x14ac:dyDescent="0.3">
      <c r="A2156" t="str">
        <f>""</f>
        <v/>
      </c>
      <c r="G2156" t="str">
        <f>""</f>
        <v/>
      </c>
      <c r="H2156" t="str">
        <f>""</f>
        <v/>
      </c>
      <c r="J2156" t="str">
        <f t="shared" si="25"/>
        <v>GUARDIAN</v>
      </c>
    </row>
    <row r="2157" spans="1:10" x14ac:dyDescent="0.3">
      <c r="A2157" t="str">
        <f>""</f>
        <v/>
      </c>
      <c r="F2157" t="s">
        <v>10</v>
      </c>
      <c r="G2157" t="str">
        <f>"GDC201705312318"</f>
        <v>GDC201705312318</v>
      </c>
      <c r="H2157" t="str">
        <f>"GUARDIAN"</f>
        <v>GUARDIAN</v>
      </c>
      <c r="I2157" s="2">
        <v>130.6</v>
      </c>
      <c r="J2157" t="str">
        <f t="shared" si="25"/>
        <v>GUARDIAN</v>
      </c>
    </row>
    <row r="2158" spans="1:10" x14ac:dyDescent="0.3">
      <c r="A2158" t="str">
        <f>""</f>
        <v/>
      </c>
      <c r="G2158" t="str">
        <f>""</f>
        <v/>
      </c>
      <c r="H2158" t="str">
        <f>""</f>
        <v/>
      </c>
      <c r="J2158" t="str">
        <f t="shared" si="25"/>
        <v>GUARDIAN</v>
      </c>
    </row>
    <row r="2159" spans="1:10" x14ac:dyDescent="0.3">
      <c r="A2159" t="str">
        <f>""</f>
        <v/>
      </c>
      <c r="F2159" t="s">
        <v>10</v>
      </c>
      <c r="G2159" t="str">
        <f>"GDC201706143096"</f>
        <v>GDC201706143096</v>
      </c>
      <c r="H2159" t="str">
        <f>"GUARDIAN"</f>
        <v>GUARDIAN</v>
      </c>
      <c r="I2159" s="2">
        <v>2383.4499999999998</v>
      </c>
      <c r="J2159" t="str">
        <f t="shared" si="25"/>
        <v>GUARDIAN</v>
      </c>
    </row>
    <row r="2160" spans="1:10" x14ac:dyDescent="0.3">
      <c r="A2160" t="str">
        <f>""</f>
        <v/>
      </c>
      <c r="G2160" t="str">
        <f>""</f>
        <v/>
      </c>
      <c r="H2160" t="str">
        <f>""</f>
        <v/>
      </c>
      <c r="J2160" t="str">
        <f t="shared" si="25"/>
        <v>GUARDIAN</v>
      </c>
    </row>
    <row r="2161" spans="1:10" x14ac:dyDescent="0.3">
      <c r="A2161" t="str">
        <f>""</f>
        <v/>
      </c>
      <c r="G2161" t="str">
        <f>""</f>
        <v/>
      </c>
      <c r="H2161" t="str">
        <f>""</f>
        <v/>
      </c>
      <c r="J2161" t="str">
        <f t="shared" si="25"/>
        <v>GUARDIAN</v>
      </c>
    </row>
    <row r="2162" spans="1:10" x14ac:dyDescent="0.3">
      <c r="A2162" t="str">
        <f>""</f>
        <v/>
      </c>
      <c r="G2162" t="str">
        <f>""</f>
        <v/>
      </c>
      <c r="H2162" t="str">
        <f>""</f>
        <v/>
      </c>
      <c r="J2162" t="str">
        <f t="shared" si="25"/>
        <v>GUARDIAN</v>
      </c>
    </row>
    <row r="2163" spans="1:10" x14ac:dyDescent="0.3">
      <c r="A2163" t="str">
        <f>""</f>
        <v/>
      </c>
      <c r="G2163" t="str">
        <f>""</f>
        <v/>
      </c>
      <c r="H2163" t="str">
        <f>""</f>
        <v/>
      </c>
      <c r="J2163" t="str">
        <f t="shared" si="25"/>
        <v>GUARDIAN</v>
      </c>
    </row>
    <row r="2164" spans="1:10" x14ac:dyDescent="0.3">
      <c r="A2164" t="str">
        <f>""</f>
        <v/>
      </c>
      <c r="G2164" t="str">
        <f>""</f>
        <v/>
      </c>
      <c r="H2164" t="str">
        <f>""</f>
        <v/>
      </c>
      <c r="J2164" t="str">
        <f t="shared" si="25"/>
        <v>GUARDIAN</v>
      </c>
    </row>
    <row r="2165" spans="1:10" x14ac:dyDescent="0.3">
      <c r="A2165" t="str">
        <f>""</f>
        <v/>
      </c>
      <c r="G2165" t="str">
        <f>""</f>
        <v/>
      </c>
      <c r="H2165" t="str">
        <f>""</f>
        <v/>
      </c>
      <c r="J2165" t="str">
        <f t="shared" si="25"/>
        <v>GUARDIAN</v>
      </c>
    </row>
    <row r="2166" spans="1:10" x14ac:dyDescent="0.3">
      <c r="A2166" t="str">
        <f>""</f>
        <v/>
      </c>
      <c r="G2166" t="str">
        <f>""</f>
        <v/>
      </c>
      <c r="H2166" t="str">
        <f>""</f>
        <v/>
      </c>
      <c r="J2166" t="str">
        <f t="shared" si="25"/>
        <v>GUARDIAN</v>
      </c>
    </row>
    <row r="2167" spans="1:10" x14ac:dyDescent="0.3">
      <c r="A2167" t="str">
        <f>""</f>
        <v/>
      </c>
      <c r="G2167" t="str">
        <f>""</f>
        <v/>
      </c>
      <c r="H2167" t="str">
        <f>""</f>
        <v/>
      </c>
      <c r="J2167" t="str">
        <f t="shared" si="25"/>
        <v>GUARDIAN</v>
      </c>
    </row>
    <row r="2168" spans="1:10" x14ac:dyDescent="0.3">
      <c r="A2168" t="str">
        <f>""</f>
        <v/>
      </c>
      <c r="G2168" t="str">
        <f>""</f>
        <v/>
      </c>
      <c r="H2168" t="str">
        <f>""</f>
        <v/>
      </c>
      <c r="J2168" t="str">
        <f t="shared" si="25"/>
        <v>GUARDIAN</v>
      </c>
    </row>
    <row r="2169" spans="1:10" x14ac:dyDescent="0.3">
      <c r="A2169" t="str">
        <f>""</f>
        <v/>
      </c>
      <c r="G2169" t="str">
        <f>""</f>
        <v/>
      </c>
      <c r="H2169" t="str">
        <f>""</f>
        <v/>
      </c>
      <c r="J2169" t="str">
        <f t="shared" si="25"/>
        <v>GUARDIAN</v>
      </c>
    </row>
    <row r="2170" spans="1:10" x14ac:dyDescent="0.3">
      <c r="A2170" t="str">
        <f>""</f>
        <v/>
      </c>
      <c r="G2170" t="str">
        <f>""</f>
        <v/>
      </c>
      <c r="H2170" t="str">
        <f>""</f>
        <v/>
      </c>
      <c r="J2170" t="str">
        <f t="shared" si="25"/>
        <v>GUARDIAN</v>
      </c>
    </row>
    <row r="2171" spans="1:10" x14ac:dyDescent="0.3">
      <c r="A2171" t="str">
        <f>""</f>
        <v/>
      </c>
      <c r="G2171" t="str">
        <f>""</f>
        <v/>
      </c>
      <c r="H2171" t="str">
        <f>""</f>
        <v/>
      </c>
      <c r="J2171" t="str">
        <f t="shared" si="25"/>
        <v>GUARDIAN</v>
      </c>
    </row>
    <row r="2172" spans="1:10" x14ac:dyDescent="0.3">
      <c r="A2172" t="str">
        <f>""</f>
        <v/>
      </c>
      <c r="G2172" t="str">
        <f>""</f>
        <v/>
      </c>
      <c r="H2172" t="str">
        <f>""</f>
        <v/>
      </c>
      <c r="J2172" t="str">
        <f t="shared" si="25"/>
        <v>GUARDIAN</v>
      </c>
    </row>
    <row r="2173" spans="1:10" x14ac:dyDescent="0.3">
      <c r="A2173" t="str">
        <f>""</f>
        <v/>
      </c>
      <c r="G2173" t="str">
        <f>""</f>
        <v/>
      </c>
      <c r="H2173" t="str">
        <f>""</f>
        <v/>
      </c>
      <c r="J2173" t="str">
        <f t="shared" si="25"/>
        <v>GUARDIAN</v>
      </c>
    </row>
    <row r="2174" spans="1:10" x14ac:dyDescent="0.3">
      <c r="A2174" t="str">
        <f>""</f>
        <v/>
      </c>
      <c r="G2174" t="str">
        <f>""</f>
        <v/>
      </c>
      <c r="H2174" t="str">
        <f>""</f>
        <v/>
      </c>
      <c r="J2174" t="str">
        <f t="shared" si="25"/>
        <v>GUARDIAN</v>
      </c>
    </row>
    <row r="2175" spans="1:10" x14ac:dyDescent="0.3">
      <c r="A2175" t="str">
        <f>""</f>
        <v/>
      </c>
      <c r="G2175" t="str">
        <f>""</f>
        <v/>
      </c>
      <c r="H2175" t="str">
        <f>""</f>
        <v/>
      </c>
      <c r="J2175" t="str">
        <f t="shared" si="25"/>
        <v>GUARDIAN</v>
      </c>
    </row>
    <row r="2176" spans="1:10" x14ac:dyDescent="0.3">
      <c r="A2176" t="str">
        <f>""</f>
        <v/>
      </c>
      <c r="G2176" t="str">
        <f>""</f>
        <v/>
      </c>
      <c r="H2176" t="str">
        <f>""</f>
        <v/>
      </c>
      <c r="J2176" t="str">
        <f t="shared" si="25"/>
        <v>GUARDIAN</v>
      </c>
    </row>
    <row r="2177" spans="1:10" x14ac:dyDescent="0.3">
      <c r="A2177" t="str">
        <f>""</f>
        <v/>
      </c>
      <c r="G2177" t="str">
        <f>""</f>
        <v/>
      </c>
      <c r="H2177" t="str">
        <f>""</f>
        <v/>
      </c>
      <c r="J2177" t="str">
        <f t="shared" si="25"/>
        <v>GUARDIAN</v>
      </c>
    </row>
    <row r="2178" spans="1:10" x14ac:dyDescent="0.3">
      <c r="A2178" t="str">
        <f>""</f>
        <v/>
      </c>
      <c r="G2178" t="str">
        <f>""</f>
        <v/>
      </c>
      <c r="H2178" t="str">
        <f>""</f>
        <v/>
      </c>
      <c r="J2178" t="str">
        <f t="shared" si="25"/>
        <v>GUARDIAN</v>
      </c>
    </row>
    <row r="2179" spans="1:10" x14ac:dyDescent="0.3">
      <c r="A2179" t="str">
        <f>""</f>
        <v/>
      </c>
      <c r="G2179" t="str">
        <f>""</f>
        <v/>
      </c>
      <c r="H2179" t="str">
        <f>""</f>
        <v/>
      </c>
      <c r="J2179" t="str">
        <f t="shared" si="25"/>
        <v>GUARDIAN</v>
      </c>
    </row>
    <row r="2180" spans="1:10" x14ac:dyDescent="0.3">
      <c r="A2180" t="str">
        <f>""</f>
        <v/>
      </c>
      <c r="G2180" t="str">
        <f>""</f>
        <v/>
      </c>
      <c r="H2180" t="str">
        <f>""</f>
        <v/>
      </c>
      <c r="J2180" t="str">
        <f t="shared" ref="J2180:J2243" si="26">"GUARDIAN"</f>
        <v>GUARDIAN</v>
      </c>
    </row>
    <row r="2181" spans="1:10" x14ac:dyDescent="0.3">
      <c r="A2181" t="str">
        <f>""</f>
        <v/>
      </c>
      <c r="G2181" t="str">
        <f>""</f>
        <v/>
      </c>
      <c r="H2181" t="str">
        <f>""</f>
        <v/>
      </c>
      <c r="J2181" t="str">
        <f t="shared" si="26"/>
        <v>GUARDIAN</v>
      </c>
    </row>
    <row r="2182" spans="1:10" x14ac:dyDescent="0.3">
      <c r="A2182" t="str">
        <f>""</f>
        <v/>
      </c>
      <c r="G2182" t="str">
        <f>""</f>
        <v/>
      </c>
      <c r="H2182" t="str">
        <f>""</f>
        <v/>
      </c>
      <c r="J2182" t="str">
        <f t="shared" si="26"/>
        <v>GUARDIAN</v>
      </c>
    </row>
    <row r="2183" spans="1:10" x14ac:dyDescent="0.3">
      <c r="A2183" t="str">
        <f>""</f>
        <v/>
      </c>
      <c r="G2183" t="str">
        <f>""</f>
        <v/>
      </c>
      <c r="H2183" t="str">
        <f>""</f>
        <v/>
      </c>
      <c r="J2183" t="str">
        <f t="shared" si="26"/>
        <v>GUARDIAN</v>
      </c>
    </row>
    <row r="2184" spans="1:10" x14ac:dyDescent="0.3">
      <c r="A2184" t="str">
        <f>""</f>
        <v/>
      </c>
      <c r="G2184" t="str">
        <f>""</f>
        <v/>
      </c>
      <c r="H2184" t="str">
        <f>""</f>
        <v/>
      </c>
      <c r="J2184" t="str">
        <f t="shared" si="26"/>
        <v>GUARDIAN</v>
      </c>
    </row>
    <row r="2185" spans="1:10" x14ac:dyDescent="0.3">
      <c r="A2185" t="str">
        <f>""</f>
        <v/>
      </c>
      <c r="G2185" t="str">
        <f>""</f>
        <v/>
      </c>
      <c r="H2185" t="str">
        <f>""</f>
        <v/>
      </c>
      <c r="J2185" t="str">
        <f t="shared" si="26"/>
        <v>GUARDIAN</v>
      </c>
    </row>
    <row r="2186" spans="1:10" x14ac:dyDescent="0.3">
      <c r="A2186" t="str">
        <f>""</f>
        <v/>
      </c>
      <c r="G2186" t="str">
        <f>""</f>
        <v/>
      </c>
      <c r="H2186" t="str">
        <f>""</f>
        <v/>
      </c>
      <c r="J2186" t="str">
        <f t="shared" si="26"/>
        <v>GUARDIAN</v>
      </c>
    </row>
    <row r="2187" spans="1:10" x14ac:dyDescent="0.3">
      <c r="A2187" t="str">
        <f>""</f>
        <v/>
      </c>
      <c r="F2187" t="s">
        <v>10</v>
      </c>
      <c r="G2187" t="str">
        <f>"GDC201706143098"</f>
        <v>GDC201706143098</v>
      </c>
      <c r="H2187" t="str">
        <f>"GUARDIAN"</f>
        <v>GUARDIAN</v>
      </c>
      <c r="I2187" s="2">
        <v>130.6</v>
      </c>
      <c r="J2187" t="str">
        <f t="shared" si="26"/>
        <v>GUARDIAN</v>
      </c>
    </row>
    <row r="2188" spans="1:10" x14ac:dyDescent="0.3">
      <c r="A2188" t="str">
        <f>""</f>
        <v/>
      </c>
      <c r="G2188" t="str">
        <f>""</f>
        <v/>
      </c>
      <c r="H2188" t="str">
        <f>""</f>
        <v/>
      </c>
      <c r="J2188" t="str">
        <f t="shared" si="26"/>
        <v>GUARDIAN</v>
      </c>
    </row>
    <row r="2189" spans="1:10" x14ac:dyDescent="0.3">
      <c r="A2189" t="str">
        <f>""</f>
        <v/>
      </c>
      <c r="F2189" t="s">
        <v>10</v>
      </c>
      <c r="G2189" t="str">
        <f>"GDE201705312317"</f>
        <v>GDE201705312317</v>
      </c>
      <c r="H2189" t="str">
        <f>"GUARDIAN"</f>
        <v>GUARDIAN</v>
      </c>
      <c r="I2189" s="2">
        <v>3818.4</v>
      </c>
      <c r="J2189" t="str">
        <f t="shared" si="26"/>
        <v>GUARDIAN</v>
      </c>
    </row>
    <row r="2190" spans="1:10" x14ac:dyDescent="0.3">
      <c r="A2190" t="str">
        <f>""</f>
        <v/>
      </c>
      <c r="G2190" t="str">
        <f>""</f>
        <v/>
      </c>
      <c r="H2190" t="str">
        <f>""</f>
        <v/>
      </c>
      <c r="J2190" t="str">
        <f t="shared" si="26"/>
        <v>GUARDIAN</v>
      </c>
    </row>
    <row r="2191" spans="1:10" x14ac:dyDescent="0.3">
      <c r="A2191" t="str">
        <f>""</f>
        <v/>
      </c>
      <c r="G2191" t="str">
        <f>""</f>
        <v/>
      </c>
      <c r="H2191" t="str">
        <f>""</f>
        <v/>
      </c>
      <c r="J2191" t="str">
        <f t="shared" si="26"/>
        <v>GUARDIAN</v>
      </c>
    </row>
    <row r="2192" spans="1:10" x14ac:dyDescent="0.3">
      <c r="A2192" t="str">
        <f>""</f>
        <v/>
      </c>
      <c r="G2192" t="str">
        <f>""</f>
        <v/>
      </c>
      <c r="H2192" t="str">
        <f>""</f>
        <v/>
      </c>
      <c r="J2192" t="str">
        <f t="shared" si="26"/>
        <v>GUARDIAN</v>
      </c>
    </row>
    <row r="2193" spans="1:10" x14ac:dyDescent="0.3">
      <c r="A2193" t="str">
        <f>""</f>
        <v/>
      </c>
      <c r="G2193" t="str">
        <f>""</f>
        <v/>
      </c>
      <c r="H2193" t="str">
        <f>""</f>
        <v/>
      </c>
      <c r="J2193" t="str">
        <f t="shared" si="26"/>
        <v>GUARDIAN</v>
      </c>
    </row>
    <row r="2194" spans="1:10" x14ac:dyDescent="0.3">
      <c r="A2194" t="str">
        <f>""</f>
        <v/>
      </c>
      <c r="G2194" t="str">
        <f>""</f>
        <v/>
      </c>
      <c r="H2194" t="str">
        <f>""</f>
        <v/>
      </c>
      <c r="J2194" t="str">
        <f t="shared" si="26"/>
        <v>GUARDIAN</v>
      </c>
    </row>
    <row r="2195" spans="1:10" x14ac:dyDescent="0.3">
      <c r="A2195" t="str">
        <f>""</f>
        <v/>
      </c>
      <c r="G2195" t="str">
        <f>""</f>
        <v/>
      </c>
      <c r="H2195" t="str">
        <f>""</f>
        <v/>
      </c>
      <c r="J2195" t="str">
        <f t="shared" si="26"/>
        <v>GUARDIAN</v>
      </c>
    </row>
    <row r="2196" spans="1:10" x14ac:dyDescent="0.3">
      <c r="A2196" t="str">
        <f>""</f>
        <v/>
      </c>
      <c r="G2196" t="str">
        <f>""</f>
        <v/>
      </c>
      <c r="H2196" t="str">
        <f>""</f>
        <v/>
      </c>
      <c r="J2196" t="str">
        <f t="shared" si="26"/>
        <v>GUARDIAN</v>
      </c>
    </row>
    <row r="2197" spans="1:10" x14ac:dyDescent="0.3">
      <c r="A2197" t="str">
        <f>""</f>
        <v/>
      </c>
      <c r="G2197" t="str">
        <f>""</f>
        <v/>
      </c>
      <c r="H2197" t="str">
        <f>""</f>
        <v/>
      </c>
      <c r="J2197" t="str">
        <f t="shared" si="26"/>
        <v>GUARDIAN</v>
      </c>
    </row>
    <row r="2198" spans="1:10" x14ac:dyDescent="0.3">
      <c r="A2198" t="str">
        <f>""</f>
        <v/>
      </c>
      <c r="G2198" t="str">
        <f>""</f>
        <v/>
      </c>
      <c r="H2198" t="str">
        <f>""</f>
        <v/>
      </c>
      <c r="J2198" t="str">
        <f t="shared" si="26"/>
        <v>GUARDIAN</v>
      </c>
    </row>
    <row r="2199" spans="1:10" x14ac:dyDescent="0.3">
      <c r="A2199" t="str">
        <f>""</f>
        <v/>
      </c>
      <c r="G2199" t="str">
        <f>""</f>
        <v/>
      </c>
      <c r="H2199" t="str">
        <f>""</f>
        <v/>
      </c>
      <c r="J2199" t="str">
        <f t="shared" si="26"/>
        <v>GUARDIAN</v>
      </c>
    </row>
    <row r="2200" spans="1:10" x14ac:dyDescent="0.3">
      <c r="A2200" t="str">
        <f>""</f>
        <v/>
      </c>
      <c r="G2200" t="str">
        <f>""</f>
        <v/>
      </c>
      <c r="H2200" t="str">
        <f>""</f>
        <v/>
      </c>
      <c r="J2200" t="str">
        <f t="shared" si="26"/>
        <v>GUARDIAN</v>
      </c>
    </row>
    <row r="2201" spans="1:10" x14ac:dyDescent="0.3">
      <c r="A2201" t="str">
        <f>""</f>
        <v/>
      </c>
      <c r="G2201" t="str">
        <f>""</f>
        <v/>
      </c>
      <c r="H2201" t="str">
        <f>""</f>
        <v/>
      </c>
      <c r="J2201" t="str">
        <f t="shared" si="26"/>
        <v>GUARDIAN</v>
      </c>
    </row>
    <row r="2202" spans="1:10" x14ac:dyDescent="0.3">
      <c r="A2202" t="str">
        <f>""</f>
        <v/>
      </c>
      <c r="G2202" t="str">
        <f>""</f>
        <v/>
      </c>
      <c r="H2202" t="str">
        <f>""</f>
        <v/>
      </c>
      <c r="J2202" t="str">
        <f t="shared" si="26"/>
        <v>GUARDIAN</v>
      </c>
    </row>
    <row r="2203" spans="1:10" x14ac:dyDescent="0.3">
      <c r="A2203" t="str">
        <f>""</f>
        <v/>
      </c>
      <c r="G2203" t="str">
        <f>""</f>
        <v/>
      </c>
      <c r="H2203" t="str">
        <f>""</f>
        <v/>
      </c>
      <c r="J2203" t="str">
        <f t="shared" si="26"/>
        <v>GUARDIAN</v>
      </c>
    </row>
    <row r="2204" spans="1:10" x14ac:dyDescent="0.3">
      <c r="A2204" t="str">
        <f>""</f>
        <v/>
      </c>
      <c r="G2204" t="str">
        <f>""</f>
        <v/>
      </c>
      <c r="H2204" t="str">
        <f>""</f>
        <v/>
      </c>
      <c r="J2204" t="str">
        <f t="shared" si="26"/>
        <v>GUARDIAN</v>
      </c>
    </row>
    <row r="2205" spans="1:10" x14ac:dyDescent="0.3">
      <c r="A2205" t="str">
        <f>""</f>
        <v/>
      </c>
      <c r="G2205" t="str">
        <f>""</f>
        <v/>
      </c>
      <c r="H2205" t="str">
        <f>""</f>
        <v/>
      </c>
      <c r="J2205" t="str">
        <f t="shared" si="26"/>
        <v>GUARDIAN</v>
      </c>
    </row>
    <row r="2206" spans="1:10" x14ac:dyDescent="0.3">
      <c r="A2206" t="str">
        <f>""</f>
        <v/>
      </c>
      <c r="G2206" t="str">
        <f>""</f>
        <v/>
      </c>
      <c r="H2206" t="str">
        <f>""</f>
        <v/>
      </c>
      <c r="J2206" t="str">
        <f t="shared" si="26"/>
        <v>GUARDIAN</v>
      </c>
    </row>
    <row r="2207" spans="1:10" x14ac:dyDescent="0.3">
      <c r="A2207" t="str">
        <f>""</f>
        <v/>
      </c>
      <c r="G2207" t="str">
        <f>""</f>
        <v/>
      </c>
      <c r="H2207" t="str">
        <f>""</f>
        <v/>
      </c>
      <c r="J2207" t="str">
        <f t="shared" si="26"/>
        <v>GUARDIAN</v>
      </c>
    </row>
    <row r="2208" spans="1:10" x14ac:dyDescent="0.3">
      <c r="A2208" t="str">
        <f>""</f>
        <v/>
      </c>
      <c r="G2208" t="str">
        <f>""</f>
        <v/>
      </c>
      <c r="H2208" t="str">
        <f>""</f>
        <v/>
      </c>
      <c r="J2208" t="str">
        <f t="shared" si="26"/>
        <v>GUARDIAN</v>
      </c>
    </row>
    <row r="2209" spans="1:10" x14ac:dyDescent="0.3">
      <c r="A2209" t="str">
        <f>""</f>
        <v/>
      </c>
      <c r="G2209" t="str">
        <f>""</f>
        <v/>
      </c>
      <c r="H2209" t="str">
        <f>""</f>
        <v/>
      </c>
      <c r="J2209" t="str">
        <f t="shared" si="26"/>
        <v>GUARDIAN</v>
      </c>
    </row>
    <row r="2210" spans="1:10" x14ac:dyDescent="0.3">
      <c r="A2210" t="str">
        <f>""</f>
        <v/>
      </c>
      <c r="G2210" t="str">
        <f>""</f>
        <v/>
      </c>
      <c r="H2210" t="str">
        <f>""</f>
        <v/>
      </c>
      <c r="J2210" t="str">
        <f t="shared" si="26"/>
        <v>GUARDIAN</v>
      </c>
    </row>
    <row r="2211" spans="1:10" x14ac:dyDescent="0.3">
      <c r="A2211" t="str">
        <f>""</f>
        <v/>
      </c>
      <c r="G2211" t="str">
        <f>""</f>
        <v/>
      </c>
      <c r="H2211" t="str">
        <f>""</f>
        <v/>
      </c>
      <c r="J2211" t="str">
        <f t="shared" si="26"/>
        <v>GUARDIAN</v>
      </c>
    </row>
    <row r="2212" spans="1:10" x14ac:dyDescent="0.3">
      <c r="A2212" t="str">
        <f>""</f>
        <v/>
      </c>
      <c r="G2212" t="str">
        <f>""</f>
        <v/>
      </c>
      <c r="H2212" t="str">
        <f>""</f>
        <v/>
      </c>
      <c r="J2212" t="str">
        <f t="shared" si="26"/>
        <v>GUARDIAN</v>
      </c>
    </row>
    <row r="2213" spans="1:10" x14ac:dyDescent="0.3">
      <c r="A2213" t="str">
        <f>""</f>
        <v/>
      </c>
      <c r="G2213" t="str">
        <f>""</f>
        <v/>
      </c>
      <c r="H2213" t="str">
        <f>""</f>
        <v/>
      </c>
      <c r="J2213" t="str">
        <f t="shared" si="26"/>
        <v>GUARDIAN</v>
      </c>
    </row>
    <row r="2214" spans="1:10" x14ac:dyDescent="0.3">
      <c r="A2214" t="str">
        <f>""</f>
        <v/>
      </c>
      <c r="G2214" t="str">
        <f>""</f>
        <v/>
      </c>
      <c r="H2214" t="str">
        <f>""</f>
        <v/>
      </c>
      <c r="J2214" t="str">
        <f t="shared" si="26"/>
        <v>GUARDIAN</v>
      </c>
    </row>
    <row r="2215" spans="1:10" x14ac:dyDescent="0.3">
      <c r="A2215" t="str">
        <f>""</f>
        <v/>
      </c>
      <c r="G2215" t="str">
        <f>""</f>
        <v/>
      </c>
      <c r="H2215" t="str">
        <f>""</f>
        <v/>
      </c>
      <c r="J2215" t="str">
        <f t="shared" si="26"/>
        <v>GUARDIAN</v>
      </c>
    </row>
    <row r="2216" spans="1:10" x14ac:dyDescent="0.3">
      <c r="A2216" t="str">
        <f>""</f>
        <v/>
      </c>
      <c r="G2216" t="str">
        <f>""</f>
        <v/>
      </c>
      <c r="H2216" t="str">
        <f>""</f>
        <v/>
      </c>
      <c r="J2216" t="str">
        <f t="shared" si="26"/>
        <v>GUARDIAN</v>
      </c>
    </row>
    <row r="2217" spans="1:10" x14ac:dyDescent="0.3">
      <c r="A2217" t="str">
        <f>""</f>
        <v/>
      </c>
      <c r="G2217" t="str">
        <f>""</f>
        <v/>
      </c>
      <c r="H2217" t="str">
        <f>""</f>
        <v/>
      </c>
      <c r="J2217" t="str">
        <f t="shared" si="26"/>
        <v>GUARDIAN</v>
      </c>
    </row>
    <row r="2218" spans="1:10" x14ac:dyDescent="0.3">
      <c r="A2218" t="str">
        <f>""</f>
        <v/>
      </c>
      <c r="G2218" t="str">
        <f>""</f>
        <v/>
      </c>
      <c r="H2218" t="str">
        <f>""</f>
        <v/>
      </c>
      <c r="J2218" t="str">
        <f t="shared" si="26"/>
        <v>GUARDIAN</v>
      </c>
    </row>
    <row r="2219" spans="1:10" x14ac:dyDescent="0.3">
      <c r="A2219" t="str">
        <f>""</f>
        <v/>
      </c>
      <c r="G2219" t="str">
        <f>""</f>
        <v/>
      </c>
      <c r="H2219" t="str">
        <f>""</f>
        <v/>
      </c>
      <c r="J2219" t="str">
        <f t="shared" si="26"/>
        <v>GUARDIAN</v>
      </c>
    </row>
    <row r="2220" spans="1:10" x14ac:dyDescent="0.3">
      <c r="A2220" t="str">
        <f>""</f>
        <v/>
      </c>
      <c r="G2220" t="str">
        <f>""</f>
        <v/>
      </c>
      <c r="H2220" t="str">
        <f>""</f>
        <v/>
      </c>
      <c r="J2220" t="str">
        <f t="shared" si="26"/>
        <v>GUARDIAN</v>
      </c>
    </row>
    <row r="2221" spans="1:10" x14ac:dyDescent="0.3">
      <c r="A2221" t="str">
        <f>""</f>
        <v/>
      </c>
      <c r="G2221" t="str">
        <f>""</f>
        <v/>
      </c>
      <c r="H2221" t="str">
        <f>""</f>
        <v/>
      </c>
      <c r="J2221" t="str">
        <f t="shared" si="26"/>
        <v>GUARDIAN</v>
      </c>
    </row>
    <row r="2222" spans="1:10" x14ac:dyDescent="0.3">
      <c r="A2222" t="str">
        <f>""</f>
        <v/>
      </c>
      <c r="G2222" t="str">
        <f>""</f>
        <v/>
      </c>
      <c r="H2222" t="str">
        <f>""</f>
        <v/>
      </c>
      <c r="J2222" t="str">
        <f t="shared" si="26"/>
        <v>GUARDIAN</v>
      </c>
    </row>
    <row r="2223" spans="1:10" x14ac:dyDescent="0.3">
      <c r="A2223" t="str">
        <f>""</f>
        <v/>
      </c>
      <c r="G2223" t="str">
        <f>""</f>
        <v/>
      </c>
      <c r="H2223" t="str">
        <f>""</f>
        <v/>
      </c>
      <c r="J2223" t="str">
        <f t="shared" si="26"/>
        <v>GUARDIAN</v>
      </c>
    </row>
    <row r="2224" spans="1:10" x14ac:dyDescent="0.3">
      <c r="A2224" t="str">
        <f>""</f>
        <v/>
      </c>
      <c r="G2224" t="str">
        <f>""</f>
        <v/>
      </c>
      <c r="H2224" t="str">
        <f>""</f>
        <v/>
      </c>
      <c r="J2224" t="str">
        <f t="shared" si="26"/>
        <v>GUARDIAN</v>
      </c>
    </row>
    <row r="2225" spans="1:10" x14ac:dyDescent="0.3">
      <c r="A2225" t="str">
        <f>""</f>
        <v/>
      </c>
      <c r="G2225" t="str">
        <f>""</f>
        <v/>
      </c>
      <c r="H2225" t="str">
        <f>""</f>
        <v/>
      </c>
      <c r="J2225" t="str">
        <f t="shared" si="26"/>
        <v>GUARDIAN</v>
      </c>
    </row>
    <row r="2226" spans="1:10" x14ac:dyDescent="0.3">
      <c r="A2226" t="str">
        <f>""</f>
        <v/>
      </c>
      <c r="G2226" t="str">
        <f>""</f>
        <v/>
      </c>
      <c r="H2226" t="str">
        <f>""</f>
        <v/>
      </c>
      <c r="J2226" t="str">
        <f t="shared" si="26"/>
        <v>GUARDIAN</v>
      </c>
    </row>
    <row r="2227" spans="1:10" x14ac:dyDescent="0.3">
      <c r="A2227" t="str">
        <f>""</f>
        <v/>
      </c>
      <c r="G2227" t="str">
        <f>""</f>
        <v/>
      </c>
      <c r="H2227" t="str">
        <f>""</f>
        <v/>
      </c>
      <c r="J2227" t="str">
        <f t="shared" si="26"/>
        <v>GUARDIAN</v>
      </c>
    </row>
    <row r="2228" spans="1:10" x14ac:dyDescent="0.3">
      <c r="A2228" t="str">
        <f>""</f>
        <v/>
      </c>
      <c r="G2228" t="str">
        <f>""</f>
        <v/>
      </c>
      <c r="H2228" t="str">
        <f>""</f>
        <v/>
      </c>
      <c r="J2228" t="str">
        <f t="shared" si="26"/>
        <v>GUARDIAN</v>
      </c>
    </row>
    <row r="2229" spans="1:10" x14ac:dyDescent="0.3">
      <c r="A2229" t="str">
        <f>""</f>
        <v/>
      </c>
      <c r="G2229" t="str">
        <f>""</f>
        <v/>
      </c>
      <c r="H2229" t="str">
        <f>""</f>
        <v/>
      </c>
      <c r="J2229" t="str">
        <f t="shared" si="26"/>
        <v>GUARDIAN</v>
      </c>
    </row>
    <row r="2230" spans="1:10" x14ac:dyDescent="0.3">
      <c r="A2230" t="str">
        <f>""</f>
        <v/>
      </c>
      <c r="G2230" t="str">
        <f>""</f>
        <v/>
      </c>
      <c r="H2230" t="str">
        <f>""</f>
        <v/>
      </c>
      <c r="J2230" t="str">
        <f t="shared" si="26"/>
        <v>GUARDIAN</v>
      </c>
    </row>
    <row r="2231" spans="1:10" x14ac:dyDescent="0.3">
      <c r="A2231" t="str">
        <f>""</f>
        <v/>
      </c>
      <c r="F2231" t="s">
        <v>10</v>
      </c>
      <c r="G2231" t="str">
        <f>"GDE201705312318"</f>
        <v>GDE201705312318</v>
      </c>
      <c r="H2231" t="str">
        <f>"GUARDIAN"</f>
        <v>GUARDIAN</v>
      </c>
      <c r="I2231" s="2">
        <v>162.80000000000001</v>
      </c>
      <c r="J2231" t="str">
        <f t="shared" si="26"/>
        <v>GUARDIAN</v>
      </c>
    </row>
    <row r="2232" spans="1:10" x14ac:dyDescent="0.3">
      <c r="A2232" t="str">
        <f>""</f>
        <v/>
      </c>
      <c r="F2232" t="s">
        <v>10</v>
      </c>
      <c r="G2232" t="str">
        <f>"GDE201706143096"</f>
        <v>GDE201706143096</v>
      </c>
      <c r="H2232" t="str">
        <f>"GUARDIAN"</f>
        <v>GUARDIAN</v>
      </c>
      <c r="I2232" s="2">
        <v>3818.4</v>
      </c>
      <c r="J2232" t="str">
        <f t="shared" si="26"/>
        <v>GUARDIAN</v>
      </c>
    </row>
    <row r="2233" spans="1:10" x14ac:dyDescent="0.3">
      <c r="A2233" t="str">
        <f>""</f>
        <v/>
      </c>
      <c r="G2233" t="str">
        <f>""</f>
        <v/>
      </c>
      <c r="H2233" t="str">
        <f>""</f>
        <v/>
      </c>
      <c r="J2233" t="str">
        <f t="shared" si="26"/>
        <v>GUARDIAN</v>
      </c>
    </row>
    <row r="2234" spans="1:10" x14ac:dyDescent="0.3">
      <c r="A2234" t="str">
        <f>""</f>
        <v/>
      </c>
      <c r="G2234" t="str">
        <f>""</f>
        <v/>
      </c>
      <c r="H2234" t="str">
        <f>""</f>
        <v/>
      </c>
      <c r="J2234" t="str">
        <f t="shared" si="26"/>
        <v>GUARDIAN</v>
      </c>
    </row>
    <row r="2235" spans="1:10" x14ac:dyDescent="0.3">
      <c r="A2235" t="str">
        <f>""</f>
        <v/>
      </c>
      <c r="G2235" t="str">
        <f>""</f>
        <v/>
      </c>
      <c r="H2235" t="str">
        <f>""</f>
        <v/>
      </c>
      <c r="J2235" t="str">
        <f t="shared" si="26"/>
        <v>GUARDIAN</v>
      </c>
    </row>
    <row r="2236" spans="1:10" x14ac:dyDescent="0.3">
      <c r="A2236" t="str">
        <f>""</f>
        <v/>
      </c>
      <c r="G2236" t="str">
        <f>""</f>
        <v/>
      </c>
      <c r="H2236" t="str">
        <f>""</f>
        <v/>
      </c>
      <c r="J2236" t="str">
        <f t="shared" si="26"/>
        <v>GUARDIAN</v>
      </c>
    </row>
    <row r="2237" spans="1:10" x14ac:dyDescent="0.3">
      <c r="A2237" t="str">
        <f>""</f>
        <v/>
      </c>
      <c r="G2237" t="str">
        <f>""</f>
        <v/>
      </c>
      <c r="H2237" t="str">
        <f>""</f>
        <v/>
      </c>
      <c r="J2237" t="str">
        <f t="shared" si="26"/>
        <v>GUARDIAN</v>
      </c>
    </row>
    <row r="2238" spans="1:10" x14ac:dyDescent="0.3">
      <c r="A2238" t="str">
        <f>""</f>
        <v/>
      </c>
      <c r="G2238" t="str">
        <f>""</f>
        <v/>
      </c>
      <c r="H2238" t="str">
        <f>""</f>
        <v/>
      </c>
      <c r="J2238" t="str">
        <f t="shared" si="26"/>
        <v>GUARDIAN</v>
      </c>
    </row>
    <row r="2239" spans="1:10" x14ac:dyDescent="0.3">
      <c r="A2239" t="str">
        <f>""</f>
        <v/>
      </c>
      <c r="G2239" t="str">
        <f>""</f>
        <v/>
      </c>
      <c r="H2239" t="str">
        <f>""</f>
        <v/>
      </c>
      <c r="J2239" t="str">
        <f t="shared" si="26"/>
        <v>GUARDIAN</v>
      </c>
    </row>
    <row r="2240" spans="1:10" x14ac:dyDescent="0.3">
      <c r="A2240" t="str">
        <f>""</f>
        <v/>
      </c>
      <c r="G2240" t="str">
        <f>""</f>
        <v/>
      </c>
      <c r="H2240" t="str">
        <f>""</f>
        <v/>
      </c>
      <c r="J2240" t="str">
        <f t="shared" si="26"/>
        <v>GUARDIAN</v>
      </c>
    </row>
    <row r="2241" spans="1:10" x14ac:dyDescent="0.3">
      <c r="A2241" t="str">
        <f>""</f>
        <v/>
      </c>
      <c r="G2241" t="str">
        <f>""</f>
        <v/>
      </c>
      <c r="H2241" t="str">
        <f>""</f>
        <v/>
      </c>
      <c r="J2241" t="str">
        <f t="shared" si="26"/>
        <v>GUARDIAN</v>
      </c>
    </row>
    <row r="2242" spans="1:10" x14ac:dyDescent="0.3">
      <c r="A2242" t="str">
        <f>""</f>
        <v/>
      </c>
      <c r="G2242" t="str">
        <f>""</f>
        <v/>
      </c>
      <c r="H2242" t="str">
        <f>""</f>
        <v/>
      </c>
      <c r="J2242" t="str">
        <f t="shared" si="26"/>
        <v>GUARDIAN</v>
      </c>
    </row>
    <row r="2243" spans="1:10" x14ac:dyDescent="0.3">
      <c r="A2243" t="str">
        <f>""</f>
        <v/>
      </c>
      <c r="G2243" t="str">
        <f>""</f>
        <v/>
      </c>
      <c r="H2243" t="str">
        <f>""</f>
        <v/>
      </c>
      <c r="J2243" t="str">
        <f t="shared" si="26"/>
        <v>GUARDIAN</v>
      </c>
    </row>
    <row r="2244" spans="1:10" x14ac:dyDescent="0.3">
      <c r="A2244" t="str">
        <f>""</f>
        <v/>
      </c>
      <c r="G2244" t="str">
        <f>""</f>
        <v/>
      </c>
      <c r="H2244" t="str">
        <f>""</f>
        <v/>
      </c>
      <c r="J2244" t="str">
        <f t="shared" ref="J2244:J2307" si="27">"GUARDIAN"</f>
        <v>GUARDIAN</v>
      </c>
    </row>
    <row r="2245" spans="1:10" x14ac:dyDescent="0.3">
      <c r="A2245" t="str">
        <f>""</f>
        <v/>
      </c>
      <c r="G2245" t="str">
        <f>""</f>
        <v/>
      </c>
      <c r="H2245" t="str">
        <f>""</f>
        <v/>
      </c>
      <c r="J2245" t="str">
        <f t="shared" si="27"/>
        <v>GUARDIAN</v>
      </c>
    </row>
    <row r="2246" spans="1:10" x14ac:dyDescent="0.3">
      <c r="A2246" t="str">
        <f>""</f>
        <v/>
      </c>
      <c r="G2246" t="str">
        <f>""</f>
        <v/>
      </c>
      <c r="H2246" t="str">
        <f>""</f>
        <v/>
      </c>
      <c r="J2246" t="str">
        <f t="shared" si="27"/>
        <v>GUARDIAN</v>
      </c>
    </row>
    <row r="2247" spans="1:10" x14ac:dyDescent="0.3">
      <c r="A2247" t="str">
        <f>""</f>
        <v/>
      </c>
      <c r="G2247" t="str">
        <f>""</f>
        <v/>
      </c>
      <c r="H2247" t="str">
        <f>""</f>
        <v/>
      </c>
      <c r="J2247" t="str">
        <f t="shared" si="27"/>
        <v>GUARDIAN</v>
      </c>
    </row>
    <row r="2248" spans="1:10" x14ac:dyDescent="0.3">
      <c r="A2248" t="str">
        <f>""</f>
        <v/>
      </c>
      <c r="G2248" t="str">
        <f>""</f>
        <v/>
      </c>
      <c r="H2248" t="str">
        <f>""</f>
        <v/>
      </c>
      <c r="J2248" t="str">
        <f t="shared" si="27"/>
        <v>GUARDIAN</v>
      </c>
    </row>
    <row r="2249" spans="1:10" x14ac:dyDescent="0.3">
      <c r="A2249" t="str">
        <f>""</f>
        <v/>
      </c>
      <c r="G2249" t="str">
        <f>""</f>
        <v/>
      </c>
      <c r="H2249" t="str">
        <f>""</f>
        <v/>
      </c>
      <c r="J2249" t="str">
        <f t="shared" si="27"/>
        <v>GUARDIAN</v>
      </c>
    </row>
    <row r="2250" spans="1:10" x14ac:dyDescent="0.3">
      <c r="A2250" t="str">
        <f>""</f>
        <v/>
      </c>
      <c r="G2250" t="str">
        <f>""</f>
        <v/>
      </c>
      <c r="H2250" t="str">
        <f>""</f>
        <v/>
      </c>
      <c r="J2250" t="str">
        <f t="shared" si="27"/>
        <v>GUARDIAN</v>
      </c>
    </row>
    <row r="2251" spans="1:10" x14ac:dyDescent="0.3">
      <c r="A2251" t="str">
        <f>""</f>
        <v/>
      </c>
      <c r="G2251" t="str">
        <f>""</f>
        <v/>
      </c>
      <c r="H2251" t="str">
        <f>""</f>
        <v/>
      </c>
      <c r="J2251" t="str">
        <f t="shared" si="27"/>
        <v>GUARDIAN</v>
      </c>
    </row>
    <row r="2252" spans="1:10" x14ac:dyDescent="0.3">
      <c r="A2252" t="str">
        <f>""</f>
        <v/>
      </c>
      <c r="G2252" t="str">
        <f>""</f>
        <v/>
      </c>
      <c r="H2252" t="str">
        <f>""</f>
        <v/>
      </c>
      <c r="J2252" t="str">
        <f t="shared" si="27"/>
        <v>GUARDIAN</v>
      </c>
    </row>
    <row r="2253" spans="1:10" x14ac:dyDescent="0.3">
      <c r="A2253" t="str">
        <f>""</f>
        <v/>
      </c>
      <c r="G2253" t="str">
        <f>""</f>
        <v/>
      </c>
      <c r="H2253" t="str">
        <f>""</f>
        <v/>
      </c>
      <c r="J2253" t="str">
        <f t="shared" si="27"/>
        <v>GUARDIAN</v>
      </c>
    </row>
    <row r="2254" spans="1:10" x14ac:dyDescent="0.3">
      <c r="A2254" t="str">
        <f>""</f>
        <v/>
      </c>
      <c r="G2254" t="str">
        <f>""</f>
        <v/>
      </c>
      <c r="H2254" t="str">
        <f>""</f>
        <v/>
      </c>
      <c r="J2254" t="str">
        <f t="shared" si="27"/>
        <v>GUARDIAN</v>
      </c>
    </row>
    <row r="2255" spans="1:10" x14ac:dyDescent="0.3">
      <c r="A2255" t="str">
        <f>""</f>
        <v/>
      </c>
      <c r="G2255" t="str">
        <f>""</f>
        <v/>
      </c>
      <c r="H2255" t="str">
        <f>""</f>
        <v/>
      </c>
      <c r="J2255" t="str">
        <f t="shared" si="27"/>
        <v>GUARDIAN</v>
      </c>
    </row>
    <row r="2256" spans="1:10" x14ac:dyDescent="0.3">
      <c r="A2256" t="str">
        <f>""</f>
        <v/>
      </c>
      <c r="G2256" t="str">
        <f>""</f>
        <v/>
      </c>
      <c r="H2256" t="str">
        <f>""</f>
        <v/>
      </c>
      <c r="J2256" t="str">
        <f t="shared" si="27"/>
        <v>GUARDIAN</v>
      </c>
    </row>
    <row r="2257" spans="1:10" x14ac:dyDescent="0.3">
      <c r="A2257" t="str">
        <f>""</f>
        <v/>
      </c>
      <c r="G2257" t="str">
        <f>""</f>
        <v/>
      </c>
      <c r="H2257" t="str">
        <f>""</f>
        <v/>
      </c>
      <c r="J2257" t="str">
        <f t="shared" si="27"/>
        <v>GUARDIAN</v>
      </c>
    </row>
    <row r="2258" spans="1:10" x14ac:dyDescent="0.3">
      <c r="A2258" t="str">
        <f>""</f>
        <v/>
      </c>
      <c r="G2258" t="str">
        <f>""</f>
        <v/>
      </c>
      <c r="H2258" t="str">
        <f>""</f>
        <v/>
      </c>
      <c r="J2258" t="str">
        <f t="shared" si="27"/>
        <v>GUARDIAN</v>
      </c>
    </row>
    <row r="2259" spans="1:10" x14ac:dyDescent="0.3">
      <c r="A2259" t="str">
        <f>""</f>
        <v/>
      </c>
      <c r="G2259" t="str">
        <f>""</f>
        <v/>
      </c>
      <c r="H2259" t="str">
        <f>""</f>
        <v/>
      </c>
      <c r="J2259" t="str">
        <f t="shared" si="27"/>
        <v>GUARDIAN</v>
      </c>
    </row>
    <row r="2260" spans="1:10" x14ac:dyDescent="0.3">
      <c r="A2260" t="str">
        <f>""</f>
        <v/>
      </c>
      <c r="G2260" t="str">
        <f>""</f>
        <v/>
      </c>
      <c r="H2260" t="str">
        <f>""</f>
        <v/>
      </c>
      <c r="J2260" t="str">
        <f t="shared" si="27"/>
        <v>GUARDIAN</v>
      </c>
    </row>
    <row r="2261" spans="1:10" x14ac:dyDescent="0.3">
      <c r="A2261" t="str">
        <f>""</f>
        <v/>
      </c>
      <c r="G2261" t="str">
        <f>""</f>
        <v/>
      </c>
      <c r="H2261" t="str">
        <f>""</f>
        <v/>
      </c>
      <c r="J2261" t="str">
        <f t="shared" si="27"/>
        <v>GUARDIAN</v>
      </c>
    </row>
    <row r="2262" spans="1:10" x14ac:dyDescent="0.3">
      <c r="A2262" t="str">
        <f>""</f>
        <v/>
      </c>
      <c r="G2262" t="str">
        <f>""</f>
        <v/>
      </c>
      <c r="H2262" t="str">
        <f>""</f>
        <v/>
      </c>
      <c r="J2262" t="str">
        <f t="shared" si="27"/>
        <v>GUARDIAN</v>
      </c>
    </row>
    <row r="2263" spans="1:10" x14ac:dyDescent="0.3">
      <c r="A2263" t="str">
        <f>""</f>
        <v/>
      </c>
      <c r="G2263" t="str">
        <f>""</f>
        <v/>
      </c>
      <c r="H2263" t="str">
        <f>""</f>
        <v/>
      </c>
      <c r="J2263" t="str">
        <f t="shared" si="27"/>
        <v>GUARDIAN</v>
      </c>
    </row>
    <row r="2264" spans="1:10" x14ac:dyDescent="0.3">
      <c r="A2264" t="str">
        <f>""</f>
        <v/>
      </c>
      <c r="G2264" t="str">
        <f>""</f>
        <v/>
      </c>
      <c r="H2264" t="str">
        <f>""</f>
        <v/>
      </c>
      <c r="J2264" t="str">
        <f t="shared" si="27"/>
        <v>GUARDIAN</v>
      </c>
    </row>
    <row r="2265" spans="1:10" x14ac:dyDescent="0.3">
      <c r="A2265" t="str">
        <f>""</f>
        <v/>
      </c>
      <c r="G2265" t="str">
        <f>""</f>
        <v/>
      </c>
      <c r="H2265" t="str">
        <f>""</f>
        <v/>
      </c>
      <c r="J2265" t="str">
        <f t="shared" si="27"/>
        <v>GUARDIAN</v>
      </c>
    </row>
    <row r="2266" spans="1:10" x14ac:dyDescent="0.3">
      <c r="A2266" t="str">
        <f>""</f>
        <v/>
      </c>
      <c r="G2266" t="str">
        <f>""</f>
        <v/>
      </c>
      <c r="H2266" t="str">
        <f>""</f>
        <v/>
      </c>
      <c r="J2266" t="str">
        <f t="shared" si="27"/>
        <v>GUARDIAN</v>
      </c>
    </row>
    <row r="2267" spans="1:10" x14ac:dyDescent="0.3">
      <c r="A2267" t="str">
        <f>""</f>
        <v/>
      </c>
      <c r="G2267" t="str">
        <f>""</f>
        <v/>
      </c>
      <c r="H2267" t="str">
        <f>""</f>
        <v/>
      </c>
      <c r="J2267" t="str">
        <f t="shared" si="27"/>
        <v>GUARDIAN</v>
      </c>
    </row>
    <row r="2268" spans="1:10" x14ac:dyDescent="0.3">
      <c r="A2268" t="str">
        <f>""</f>
        <v/>
      </c>
      <c r="G2268" t="str">
        <f>""</f>
        <v/>
      </c>
      <c r="H2268" t="str">
        <f>""</f>
        <v/>
      </c>
      <c r="J2268" t="str">
        <f t="shared" si="27"/>
        <v>GUARDIAN</v>
      </c>
    </row>
    <row r="2269" spans="1:10" x14ac:dyDescent="0.3">
      <c r="A2269" t="str">
        <f>""</f>
        <v/>
      </c>
      <c r="G2269" t="str">
        <f>""</f>
        <v/>
      </c>
      <c r="H2269" t="str">
        <f>""</f>
        <v/>
      </c>
      <c r="J2269" t="str">
        <f t="shared" si="27"/>
        <v>GUARDIAN</v>
      </c>
    </row>
    <row r="2270" spans="1:10" x14ac:dyDescent="0.3">
      <c r="A2270" t="str">
        <f>""</f>
        <v/>
      </c>
      <c r="G2270" t="str">
        <f>""</f>
        <v/>
      </c>
      <c r="H2270" t="str">
        <f>""</f>
        <v/>
      </c>
      <c r="J2270" t="str">
        <f t="shared" si="27"/>
        <v>GUARDIAN</v>
      </c>
    </row>
    <row r="2271" spans="1:10" x14ac:dyDescent="0.3">
      <c r="A2271" t="str">
        <f>""</f>
        <v/>
      </c>
      <c r="G2271" t="str">
        <f>""</f>
        <v/>
      </c>
      <c r="H2271" t="str">
        <f>""</f>
        <v/>
      </c>
      <c r="J2271" t="str">
        <f t="shared" si="27"/>
        <v>GUARDIAN</v>
      </c>
    </row>
    <row r="2272" spans="1:10" x14ac:dyDescent="0.3">
      <c r="A2272" t="str">
        <f>""</f>
        <v/>
      </c>
      <c r="G2272" t="str">
        <f>""</f>
        <v/>
      </c>
      <c r="H2272" t="str">
        <f>""</f>
        <v/>
      </c>
      <c r="J2272" t="str">
        <f t="shared" si="27"/>
        <v>GUARDIAN</v>
      </c>
    </row>
    <row r="2273" spans="1:10" x14ac:dyDescent="0.3">
      <c r="A2273" t="str">
        <f>""</f>
        <v/>
      </c>
      <c r="G2273" t="str">
        <f>""</f>
        <v/>
      </c>
      <c r="H2273" t="str">
        <f>""</f>
        <v/>
      </c>
      <c r="J2273" t="str">
        <f t="shared" si="27"/>
        <v>GUARDIAN</v>
      </c>
    </row>
    <row r="2274" spans="1:10" x14ac:dyDescent="0.3">
      <c r="A2274" t="str">
        <f>""</f>
        <v/>
      </c>
      <c r="F2274" t="s">
        <v>10</v>
      </c>
      <c r="G2274" t="str">
        <f>"GDE201706143098"</f>
        <v>GDE201706143098</v>
      </c>
      <c r="H2274" t="str">
        <f>"GUARDIAN"</f>
        <v>GUARDIAN</v>
      </c>
      <c r="I2274" s="2">
        <v>162.80000000000001</v>
      </c>
      <c r="J2274" t="str">
        <f t="shared" si="27"/>
        <v>GUARDIAN</v>
      </c>
    </row>
    <row r="2275" spans="1:10" x14ac:dyDescent="0.3">
      <c r="A2275" t="str">
        <f>""</f>
        <v/>
      </c>
      <c r="F2275" t="s">
        <v>10</v>
      </c>
      <c r="G2275" t="str">
        <f>"GDF201705312317"</f>
        <v>GDF201705312317</v>
      </c>
      <c r="H2275" t="str">
        <f>"GUARDIAN"</f>
        <v>GUARDIAN</v>
      </c>
      <c r="I2275" s="2">
        <v>2076.04</v>
      </c>
      <c r="J2275" t="str">
        <f t="shared" si="27"/>
        <v>GUARDIAN</v>
      </c>
    </row>
    <row r="2276" spans="1:10" x14ac:dyDescent="0.3">
      <c r="A2276" t="str">
        <f>""</f>
        <v/>
      </c>
      <c r="G2276" t="str">
        <f>""</f>
        <v/>
      </c>
      <c r="H2276" t="str">
        <f>""</f>
        <v/>
      </c>
      <c r="J2276" t="str">
        <f t="shared" si="27"/>
        <v>GUARDIAN</v>
      </c>
    </row>
    <row r="2277" spans="1:10" x14ac:dyDescent="0.3">
      <c r="A2277" t="str">
        <f>""</f>
        <v/>
      </c>
      <c r="G2277" t="str">
        <f>""</f>
        <v/>
      </c>
      <c r="H2277" t="str">
        <f>""</f>
        <v/>
      </c>
      <c r="J2277" t="str">
        <f t="shared" si="27"/>
        <v>GUARDIAN</v>
      </c>
    </row>
    <row r="2278" spans="1:10" x14ac:dyDescent="0.3">
      <c r="A2278" t="str">
        <f>""</f>
        <v/>
      </c>
      <c r="G2278" t="str">
        <f>""</f>
        <v/>
      </c>
      <c r="H2278" t="str">
        <f>""</f>
        <v/>
      </c>
      <c r="J2278" t="str">
        <f t="shared" si="27"/>
        <v>GUARDIAN</v>
      </c>
    </row>
    <row r="2279" spans="1:10" x14ac:dyDescent="0.3">
      <c r="A2279" t="str">
        <f>""</f>
        <v/>
      </c>
      <c r="G2279" t="str">
        <f>""</f>
        <v/>
      </c>
      <c r="H2279" t="str">
        <f>""</f>
        <v/>
      </c>
      <c r="J2279" t="str">
        <f t="shared" si="27"/>
        <v>GUARDIAN</v>
      </c>
    </row>
    <row r="2280" spans="1:10" x14ac:dyDescent="0.3">
      <c r="A2280" t="str">
        <f>""</f>
        <v/>
      </c>
      <c r="G2280" t="str">
        <f>""</f>
        <v/>
      </c>
      <c r="H2280" t="str">
        <f>""</f>
        <v/>
      </c>
      <c r="J2280" t="str">
        <f t="shared" si="27"/>
        <v>GUARDIAN</v>
      </c>
    </row>
    <row r="2281" spans="1:10" x14ac:dyDescent="0.3">
      <c r="A2281" t="str">
        <f>""</f>
        <v/>
      </c>
      <c r="G2281" t="str">
        <f>""</f>
        <v/>
      </c>
      <c r="H2281" t="str">
        <f>""</f>
        <v/>
      </c>
      <c r="J2281" t="str">
        <f t="shared" si="27"/>
        <v>GUARDIAN</v>
      </c>
    </row>
    <row r="2282" spans="1:10" x14ac:dyDescent="0.3">
      <c r="A2282" t="str">
        <f>""</f>
        <v/>
      </c>
      <c r="G2282" t="str">
        <f>""</f>
        <v/>
      </c>
      <c r="H2282" t="str">
        <f>""</f>
        <v/>
      </c>
      <c r="J2282" t="str">
        <f t="shared" si="27"/>
        <v>GUARDIAN</v>
      </c>
    </row>
    <row r="2283" spans="1:10" x14ac:dyDescent="0.3">
      <c r="A2283" t="str">
        <f>""</f>
        <v/>
      </c>
      <c r="G2283" t="str">
        <f>""</f>
        <v/>
      </c>
      <c r="H2283" t="str">
        <f>""</f>
        <v/>
      </c>
      <c r="J2283" t="str">
        <f t="shared" si="27"/>
        <v>GUARDIAN</v>
      </c>
    </row>
    <row r="2284" spans="1:10" x14ac:dyDescent="0.3">
      <c r="A2284" t="str">
        <f>""</f>
        <v/>
      </c>
      <c r="G2284" t="str">
        <f>""</f>
        <v/>
      </c>
      <c r="H2284" t="str">
        <f>""</f>
        <v/>
      </c>
      <c r="J2284" t="str">
        <f t="shared" si="27"/>
        <v>GUARDIAN</v>
      </c>
    </row>
    <row r="2285" spans="1:10" x14ac:dyDescent="0.3">
      <c r="A2285" t="str">
        <f>""</f>
        <v/>
      </c>
      <c r="G2285" t="str">
        <f>""</f>
        <v/>
      </c>
      <c r="H2285" t="str">
        <f>""</f>
        <v/>
      </c>
      <c r="J2285" t="str">
        <f t="shared" si="27"/>
        <v>GUARDIAN</v>
      </c>
    </row>
    <row r="2286" spans="1:10" x14ac:dyDescent="0.3">
      <c r="A2286" t="str">
        <f>""</f>
        <v/>
      </c>
      <c r="G2286" t="str">
        <f>""</f>
        <v/>
      </c>
      <c r="H2286" t="str">
        <f>""</f>
        <v/>
      </c>
      <c r="J2286" t="str">
        <f t="shared" si="27"/>
        <v>GUARDIAN</v>
      </c>
    </row>
    <row r="2287" spans="1:10" x14ac:dyDescent="0.3">
      <c r="A2287" t="str">
        <f>""</f>
        <v/>
      </c>
      <c r="G2287" t="str">
        <f>""</f>
        <v/>
      </c>
      <c r="H2287" t="str">
        <f>""</f>
        <v/>
      </c>
      <c r="J2287" t="str">
        <f t="shared" si="27"/>
        <v>GUARDIAN</v>
      </c>
    </row>
    <row r="2288" spans="1:10" x14ac:dyDescent="0.3">
      <c r="A2288" t="str">
        <f>""</f>
        <v/>
      </c>
      <c r="G2288" t="str">
        <f>""</f>
        <v/>
      </c>
      <c r="H2288" t="str">
        <f>""</f>
        <v/>
      </c>
      <c r="J2288" t="str">
        <f t="shared" si="27"/>
        <v>GUARDIAN</v>
      </c>
    </row>
    <row r="2289" spans="1:10" x14ac:dyDescent="0.3">
      <c r="A2289" t="str">
        <f>""</f>
        <v/>
      </c>
      <c r="G2289" t="str">
        <f>""</f>
        <v/>
      </c>
      <c r="H2289" t="str">
        <f>""</f>
        <v/>
      </c>
      <c r="J2289" t="str">
        <f t="shared" si="27"/>
        <v>GUARDIAN</v>
      </c>
    </row>
    <row r="2290" spans="1:10" x14ac:dyDescent="0.3">
      <c r="A2290" t="str">
        <f>""</f>
        <v/>
      </c>
      <c r="G2290" t="str">
        <f>""</f>
        <v/>
      </c>
      <c r="H2290" t="str">
        <f>""</f>
        <v/>
      </c>
      <c r="J2290" t="str">
        <f t="shared" si="27"/>
        <v>GUARDIAN</v>
      </c>
    </row>
    <row r="2291" spans="1:10" x14ac:dyDescent="0.3">
      <c r="A2291" t="str">
        <f>""</f>
        <v/>
      </c>
      <c r="G2291" t="str">
        <f>""</f>
        <v/>
      </c>
      <c r="H2291" t="str">
        <f>""</f>
        <v/>
      </c>
      <c r="J2291" t="str">
        <f t="shared" si="27"/>
        <v>GUARDIAN</v>
      </c>
    </row>
    <row r="2292" spans="1:10" x14ac:dyDescent="0.3">
      <c r="A2292" t="str">
        <f>""</f>
        <v/>
      </c>
      <c r="G2292" t="str">
        <f>""</f>
        <v/>
      </c>
      <c r="H2292" t="str">
        <f>""</f>
        <v/>
      </c>
      <c r="J2292" t="str">
        <f t="shared" si="27"/>
        <v>GUARDIAN</v>
      </c>
    </row>
    <row r="2293" spans="1:10" x14ac:dyDescent="0.3">
      <c r="A2293" t="str">
        <f>""</f>
        <v/>
      </c>
      <c r="G2293" t="str">
        <f>""</f>
        <v/>
      </c>
      <c r="H2293" t="str">
        <f>""</f>
        <v/>
      </c>
      <c r="J2293" t="str">
        <f t="shared" si="27"/>
        <v>GUARDIAN</v>
      </c>
    </row>
    <row r="2294" spans="1:10" x14ac:dyDescent="0.3">
      <c r="A2294" t="str">
        <f>""</f>
        <v/>
      </c>
      <c r="G2294" t="str">
        <f>""</f>
        <v/>
      </c>
      <c r="H2294" t="str">
        <f>""</f>
        <v/>
      </c>
      <c r="J2294" t="str">
        <f t="shared" si="27"/>
        <v>GUARDIAN</v>
      </c>
    </row>
    <row r="2295" spans="1:10" x14ac:dyDescent="0.3">
      <c r="A2295" t="str">
        <f>""</f>
        <v/>
      </c>
      <c r="G2295" t="str">
        <f>""</f>
        <v/>
      </c>
      <c r="H2295" t="str">
        <f>""</f>
        <v/>
      </c>
      <c r="J2295" t="str">
        <f t="shared" si="27"/>
        <v>GUARDIAN</v>
      </c>
    </row>
    <row r="2296" spans="1:10" x14ac:dyDescent="0.3">
      <c r="A2296" t="str">
        <f>""</f>
        <v/>
      </c>
      <c r="G2296" t="str">
        <f>""</f>
        <v/>
      </c>
      <c r="H2296" t="str">
        <f>""</f>
        <v/>
      </c>
      <c r="J2296" t="str">
        <f t="shared" si="27"/>
        <v>GUARDIAN</v>
      </c>
    </row>
    <row r="2297" spans="1:10" x14ac:dyDescent="0.3">
      <c r="A2297" t="str">
        <f>""</f>
        <v/>
      </c>
      <c r="G2297" t="str">
        <f>""</f>
        <v/>
      </c>
      <c r="H2297" t="str">
        <f>""</f>
        <v/>
      </c>
      <c r="J2297" t="str">
        <f t="shared" si="27"/>
        <v>GUARDIAN</v>
      </c>
    </row>
    <row r="2298" spans="1:10" x14ac:dyDescent="0.3">
      <c r="A2298" t="str">
        <f>""</f>
        <v/>
      </c>
      <c r="G2298" t="str">
        <f>""</f>
        <v/>
      </c>
      <c r="H2298" t="str">
        <f>""</f>
        <v/>
      </c>
      <c r="J2298" t="str">
        <f t="shared" si="27"/>
        <v>GUARDIAN</v>
      </c>
    </row>
    <row r="2299" spans="1:10" x14ac:dyDescent="0.3">
      <c r="A2299" t="str">
        <f>""</f>
        <v/>
      </c>
      <c r="G2299" t="str">
        <f>""</f>
        <v/>
      </c>
      <c r="H2299" t="str">
        <f>""</f>
        <v/>
      </c>
      <c r="J2299" t="str">
        <f t="shared" si="27"/>
        <v>GUARDIAN</v>
      </c>
    </row>
    <row r="2300" spans="1:10" x14ac:dyDescent="0.3">
      <c r="A2300" t="str">
        <f>""</f>
        <v/>
      </c>
      <c r="G2300" t="str">
        <f>""</f>
        <v/>
      </c>
      <c r="H2300" t="str">
        <f>""</f>
        <v/>
      </c>
      <c r="J2300" t="str">
        <f t="shared" si="27"/>
        <v>GUARDIAN</v>
      </c>
    </row>
    <row r="2301" spans="1:10" x14ac:dyDescent="0.3">
      <c r="A2301" t="str">
        <f>""</f>
        <v/>
      </c>
      <c r="G2301" t="str">
        <f>""</f>
        <v/>
      </c>
      <c r="H2301" t="str">
        <f>""</f>
        <v/>
      </c>
      <c r="J2301" t="str">
        <f t="shared" si="27"/>
        <v>GUARDIAN</v>
      </c>
    </row>
    <row r="2302" spans="1:10" x14ac:dyDescent="0.3">
      <c r="A2302" t="str">
        <f>""</f>
        <v/>
      </c>
      <c r="F2302" t="s">
        <v>10</v>
      </c>
      <c r="G2302" t="str">
        <f>"GDF201705312318"</f>
        <v>GDF201705312318</v>
      </c>
      <c r="H2302" t="str">
        <f>"GUARDIAN"</f>
        <v>GUARDIAN</v>
      </c>
      <c r="I2302" s="2">
        <v>96.56</v>
      </c>
      <c r="J2302" t="str">
        <f t="shared" si="27"/>
        <v>GUARDIAN</v>
      </c>
    </row>
    <row r="2303" spans="1:10" x14ac:dyDescent="0.3">
      <c r="A2303" t="str">
        <f>""</f>
        <v/>
      </c>
      <c r="G2303" t="str">
        <f>""</f>
        <v/>
      </c>
      <c r="H2303" t="str">
        <f>""</f>
        <v/>
      </c>
      <c r="J2303" t="str">
        <f t="shared" si="27"/>
        <v>GUARDIAN</v>
      </c>
    </row>
    <row r="2304" spans="1:10" x14ac:dyDescent="0.3">
      <c r="A2304" t="str">
        <f>""</f>
        <v/>
      </c>
      <c r="F2304" t="s">
        <v>10</v>
      </c>
      <c r="G2304" t="str">
        <f>"GDF201706143096"</f>
        <v>GDF201706143096</v>
      </c>
      <c r="H2304" t="str">
        <f>"GUARDIAN"</f>
        <v>GUARDIAN</v>
      </c>
      <c r="I2304" s="2">
        <v>2076.04</v>
      </c>
      <c r="J2304" t="str">
        <f t="shared" si="27"/>
        <v>GUARDIAN</v>
      </c>
    </row>
    <row r="2305" spans="1:10" x14ac:dyDescent="0.3">
      <c r="A2305" t="str">
        <f>""</f>
        <v/>
      </c>
      <c r="G2305" t="str">
        <f>""</f>
        <v/>
      </c>
      <c r="H2305" t="str">
        <f>""</f>
        <v/>
      </c>
      <c r="J2305" t="str">
        <f t="shared" si="27"/>
        <v>GUARDIAN</v>
      </c>
    </row>
    <row r="2306" spans="1:10" x14ac:dyDescent="0.3">
      <c r="A2306" t="str">
        <f>""</f>
        <v/>
      </c>
      <c r="G2306" t="str">
        <f>""</f>
        <v/>
      </c>
      <c r="H2306" t="str">
        <f>""</f>
        <v/>
      </c>
      <c r="J2306" t="str">
        <f t="shared" si="27"/>
        <v>GUARDIAN</v>
      </c>
    </row>
    <row r="2307" spans="1:10" x14ac:dyDescent="0.3">
      <c r="A2307" t="str">
        <f>""</f>
        <v/>
      </c>
      <c r="G2307" t="str">
        <f>""</f>
        <v/>
      </c>
      <c r="H2307" t="str">
        <f>""</f>
        <v/>
      </c>
      <c r="J2307" t="str">
        <f t="shared" si="27"/>
        <v>GUARDIAN</v>
      </c>
    </row>
    <row r="2308" spans="1:10" x14ac:dyDescent="0.3">
      <c r="A2308" t="str">
        <f>""</f>
        <v/>
      </c>
      <c r="G2308" t="str">
        <f>""</f>
        <v/>
      </c>
      <c r="H2308" t="str">
        <f>""</f>
        <v/>
      </c>
      <c r="J2308" t="str">
        <f t="shared" ref="J2308:J2371" si="28">"GUARDIAN"</f>
        <v>GUARDIAN</v>
      </c>
    </row>
    <row r="2309" spans="1:10" x14ac:dyDescent="0.3">
      <c r="A2309" t="str">
        <f>""</f>
        <v/>
      </c>
      <c r="G2309" t="str">
        <f>""</f>
        <v/>
      </c>
      <c r="H2309" t="str">
        <f>""</f>
        <v/>
      </c>
      <c r="J2309" t="str">
        <f t="shared" si="28"/>
        <v>GUARDIAN</v>
      </c>
    </row>
    <row r="2310" spans="1:10" x14ac:dyDescent="0.3">
      <c r="A2310" t="str">
        <f>""</f>
        <v/>
      </c>
      <c r="G2310" t="str">
        <f>""</f>
        <v/>
      </c>
      <c r="H2310" t="str">
        <f>""</f>
        <v/>
      </c>
      <c r="J2310" t="str">
        <f t="shared" si="28"/>
        <v>GUARDIAN</v>
      </c>
    </row>
    <row r="2311" spans="1:10" x14ac:dyDescent="0.3">
      <c r="A2311" t="str">
        <f>""</f>
        <v/>
      </c>
      <c r="G2311" t="str">
        <f>""</f>
        <v/>
      </c>
      <c r="H2311" t="str">
        <f>""</f>
        <v/>
      </c>
      <c r="J2311" t="str">
        <f t="shared" si="28"/>
        <v>GUARDIAN</v>
      </c>
    </row>
    <row r="2312" spans="1:10" x14ac:dyDescent="0.3">
      <c r="A2312" t="str">
        <f>""</f>
        <v/>
      </c>
      <c r="G2312" t="str">
        <f>""</f>
        <v/>
      </c>
      <c r="H2312" t="str">
        <f>""</f>
        <v/>
      </c>
      <c r="J2312" t="str">
        <f t="shared" si="28"/>
        <v>GUARDIAN</v>
      </c>
    </row>
    <row r="2313" spans="1:10" x14ac:dyDescent="0.3">
      <c r="A2313" t="str">
        <f>""</f>
        <v/>
      </c>
      <c r="G2313" t="str">
        <f>""</f>
        <v/>
      </c>
      <c r="H2313" t="str">
        <f>""</f>
        <v/>
      </c>
      <c r="J2313" t="str">
        <f t="shared" si="28"/>
        <v>GUARDIAN</v>
      </c>
    </row>
    <row r="2314" spans="1:10" x14ac:dyDescent="0.3">
      <c r="A2314" t="str">
        <f>""</f>
        <v/>
      </c>
      <c r="G2314" t="str">
        <f>""</f>
        <v/>
      </c>
      <c r="H2314" t="str">
        <f>""</f>
        <v/>
      </c>
      <c r="J2314" t="str">
        <f t="shared" si="28"/>
        <v>GUARDIAN</v>
      </c>
    </row>
    <row r="2315" spans="1:10" x14ac:dyDescent="0.3">
      <c r="A2315" t="str">
        <f>""</f>
        <v/>
      </c>
      <c r="G2315" t="str">
        <f>""</f>
        <v/>
      </c>
      <c r="H2315" t="str">
        <f>""</f>
        <v/>
      </c>
      <c r="J2315" t="str">
        <f t="shared" si="28"/>
        <v>GUARDIAN</v>
      </c>
    </row>
    <row r="2316" spans="1:10" x14ac:dyDescent="0.3">
      <c r="A2316" t="str">
        <f>""</f>
        <v/>
      </c>
      <c r="G2316" t="str">
        <f>""</f>
        <v/>
      </c>
      <c r="H2316" t="str">
        <f>""</f>
        <v/>
      </c>
      <c r="J2316" t="str">
        <f t="shared" si="28"/>
        <v>GUARDIAN</v>
      </c>
    </row>
    <row r="2317" spans="1:10" x14ac:dyDescent="0.3">
      <c r="A2317" t="str">
        <f>""</f>
        <v/>
      </c>
      <c r="G2317" t="str">
        <f>""</f>
        <v/>
      </c>
      <c r="H2317" t="str">
        <f>""</f>
        <v/>
      </c>
      <c r="J2317" t="str">
        <f t="shared" si="28"/>
        <v>GUARDIAN</v>
      </c>
    </row>
    <row r="2318" spans="1:10" x14ac:dyDescent="0.3">
      <c r="A2318" t="str">
        <f>""</f>
        <v/>
      </c>
      <c r="G2318" t="str">
        <f>""</f>
        <v/>
      </c>
      <c r="H2318" t="str">
        <f>""</f>
        <v/>
      </c>
      <c r="J2318" t="str">
        <f t="shared" si="28"/>
        <v>GUARDIAN</v>
      </c>
    </row>
    <row r="2319" spans="1:10" x14ac:dyDescent="0.3">
      <c r="A2319" t="str">
        <f>""</f>
        <v/>
      </c>
      <c r="G2319" t="str">
        <f>""</f>
        <v/>
      </c>
      <c r="H2319" t="str">
        <f>""</f>
        <v/>
      </c>
      <c r="J2319" t="str">
        <f t="shared" si="28"/>
        <v>GUARDIAN</v>
      </c>
    </row>
    <row r="2320" spans="1:10" x14ac:dyDescent="0.3">
      <c r="A2320" t="str">
        <f>""</f>
        <v/>
      </c>
      <c r="G2320" t="str">
        <f>""</f>
        <v/>
      </c>
      <c r="H2320" t="str">
        <f>""</f>
        <v/>
      </c>
      <c r="J2320" t="str">
        <f t="shared" si="28"/>
        <v>GUARDIAN</v>
      </c>
    </row>
    <row r="2321" spans="1:10" x14ac:dyDescent="0.3">
      <c r="A2321" t="str">
        <f>""</f>
        <v/>
      </c>
      <c r="G2321" t="str">
        <f>""</f>
        <v/>
      </c>
      <c r="H2321" t="str">
        <f>""</f>
        <v/>
      </c>
      <c r="J2321" t="str">
        <f t="shared" si="28"/>
        <v>GUARDIAN</v>
      </c>
    </row>
    <row r="2322" spans="1:10" x14ac:dyDescent="0.3">
      <c r="A2322" t="str">
        <f>""</f>
        <v/>
      </c>
      <c r="G2322" t="str">
        <f>""</f>
        <v/>
      </c>
      <c r="H2322" t="str">
        <f>""</f>
        <v/>
      </c>
      <c r="J2322" t="str">
        <f t="shared" si="28"/>
        <v>GUARDIAN</v>
      </c>
    </row>
    <row r="2323" spans="1:10" x14ac:dyDescent="0.3">
      <c r="A2323" t="str">
        <f>""</f>
        <v/>
      </c>
      <c r="G2323" t="str">
        <f>""</f>
        <v/>
      </c>
      <c r="H2323" t="str">
        <f>""</f>
        <v/>
      </c>
      <c r="J2323" t="str">
        <f t="shared" si="28"/>
        <v>GUARDIAN</v>
      </c>
    </row>
    <row r="2324" spans="1:10" x14ac:dyDescent="0.3">
      <c r="A2324" t="str">
        <f>""</f>
        <v/>
      </c>
      <c r="G2324" t="str">
        <f>""</f>
        <v/>
      </c>
      <c r="H2324" t="str">
        <f>""</f>
        <v/>
      </c>
      <c r="J2324" t="str">
        <f t="shared" si="28"/>
        <v>GUARDIAN</v>
      </c>
    </row>
    <row r="2325" spans="1:10" x14ac:dyDescent="0.3">
      <c r="A2325" t="str">
        <f>""</f>
        <v/>
      </c>
      <c r="G2325" t="str">
        <f>""</f>
        <v/>
      </c>
      <c r="H2325" t="str">
        <f>""</f>
        <v/>
      </c>
      <c r="J2325" t="str">
        <f t="shared" si="28"/>
        <v>GUARDIAN</v>
      </c>
    </row>
    <row r="2326" spans="1:10" x14ac:dyDescent="0.3">
      <c r="A2326" t="str">
        <f>""</f>
        <v/>
      </c>
      <c r="G2326" t="str">
        <f>""</f>
        <v/>
      </c>
      <c r="H2326" t="str">
        <f>""</f>
        <v/>
      </c>
      <c r="J2326" t="str">
        <f t="shared" si="28"/>
        <v>GUARDIAN</v>
      </c>
    </row>
    <row r="2327" spans="1:10" x14ac:dyDescent="0.3">
      <c r="A2327" t="str">
        <f>""</f>
        <v/>
      </c>
      <c r="G2327" t="str">
        <f>""</f>
        <v/>
      </c>
      <c r="H2327" t="str">
        <f>""</f>
        <v/>
      </c>
      <c r="J2327" t="str">
        <f t="shared" si="28"/>
        <v>GUARDIAN</v>
      </c>
    </row>
    <row r="2328" spans="1:10" x14ac:dyDescent="0.3">
      <c r="A2328" t="str">
        <f>""</f>
        <v/>
      </c>
      <c r="G2328" t="str">
        <f>""</f>
        <v/>
      </c>
      <c r="H2328" t="str">
        <f>""</f>
        <v/>
      </c>
      <c r="J2328" t="str">
        <f t="shared" si="28"/>
        <v>GUARDIAN</v>
      </c>
    </row>
    <row r="2329" spans="1:10" x14ac:dyDescent="0.3">
      <c r="A2329" t="str">
        <f>""</f>
        <v/>
      </c>
      <c r="G2329" t="str">
        <f>""</f>
        <v/>
      </c>
      <c r="H2329" t="str">
        <f>""</f>
        <v/>
      </c>
      <c r="J2329" t="str">
        <f t="shared" si="28"/>
        <v>GUARDIAN</v>
      </c>
    </row>
    <row r="2330" spans="1:10" x14ac:dyDescent="0.3">
      <c r="A2330" t="str">
        <f>""</f>
        <v/>
      </c>
      <c r="G2330" t="str">
        <f>""</f>
        <v/>
      </c>
      <c r="H2330" t="str">
        <f>""</f>
        <v/>
      </c>
      <c r="J2330" t="str">
        <f t="shared" si="28"/>
        <v>GUARDIAN</v>
      </c>
    </row>
    <row r="2331" spans="1:10" x14ac:dyDescent="0.3">
      <c r="A2331" t="str">
        <f>""</f>
        <v/>
      </c>
      <c r="F2331" t="s">
        <v>10</v>
      </c>
      <c r="G2331" t="str">
        <f>"GDF201706143098"</f>
        <v>GDF201706143098</v>
      </c>
      <c r="H2331" t="str">
        <f>"GUARDIAN"</f>
        <v>GUARDIAN</v>
      </c>
      <c r="I2331" s="2">
        <v>96.56</v>
      </c>
      <c r="J2331" t="str">
        <f t="shared" si="28"/>
        <v>GUARDIAN</v>
      </c>
    </row>
    <row r="2332" spans="1:10" x14ac:dyDescent="0.3">
      <c r="A2332" t="str">
        <f>""</f>
        <v/>
      </c>
      <c r="G2332" t="str">
        <f>""</f>
        <v/>
      </c>
      <c r="H2332" t="str">
        <f>""</f>
        <v/>
      </c>
      <c r="J2332" t="str">
        <f t="shared" si="28"/>
        <v>GUARDIAN</v>
      </c>
    </row>
    <row r="2333" spans="1:10" x14ac:dyDescent="0.3">
      <c r="A2333" t="str">
        <f>""</f>
        <v/>
      </c>
      <c r="F2333" t="s">
        <v>10</v>
      </c>
      <c r="G2333" t="str">
        <f>"GDS201705312317"</f>
        <v>GDS201705312317</v>
      </c>
      <c r="H2333" t="str">
        <f>"GUARDIAN"</f>
        <v>GUARDIAN</v>
      </c>
      <c r="I2333" s="2">
        <v>1968.12</v>
      </c>
      <c r="J2333" t="str">
        <f t="shared" si="28"/>
        <v>GUARDIAN</v>
      </c>
    </row>
    <row r="2334" spans="1:10" x14ac:dyDescent="0.3">
      <c r="A2334" t="str">
        <f>""</f>
        <v/>
      </c>
      <c r="G2334" t="str">
        <f>""</f>
        <v/>
      </c>
      <c r="H2334" t="str">
        <f>""</f>
        <v/>
      </c>
      <c r="J2334" t="str">
        <f t="shared" si="28"/>
        <v>GUARDIAN</v>
      </c>
    </row>
    <row r="2335" spans="1:10" x14ac:dyDescent="0.3">
      <c r="A2335" t="str">
        <f>""</f>
        <v/>
      </c>
      <c r="G2335" t="str">
        <f>""</f>
        <v/>
      </c>
      <c r="H2335" t="str">
        <f>""</f>
        <v/>
      </c>
      <c r="J2335" t="str">
        <f t="shared" si="28"/>
        <v>GUARDIAN</v>
      </c>
    </row>
    <row r="2336" spans="1:10" x14ac:dyDescent="0.3">
      <c r="A2336" t="str">
        <f>""</f>
        <v/>
      </c>
      <c r="G2336" t="str">
        <f>""</f>
        <v/>
      </c>
      <c r="H2336" t="str">
        <f>""</f>
        <v/>
      </c>
      <c r="J2336" t="str">
        <f t="shared" si="28"/>
        <v>GUARDIAN</v>
      </c>
    </row>
    <row r="2337" spans="1:10" x14ac:dyDescent="0.3">
      <c r="A2337" t="str">
        <f>""</f>
        <v/>
      </c>
      <c r="G2337" t="str">
        <f>""</f>
        <v/>
      </c>
      <c r="H2337" t="str">
        <f>""</f>
        <v/>
      </c>
      <c r="J2337" t="str">
        <f t="shared" si="28"/>
        <v>GUARDIAN</v>
      </c>
    </row>
    <row r="2338" spans="1:10" x14ac:dyDescent="0.3">
      <c r="A2338" t="str">
        <f>""</f>
        <v/>
      </c>
      <c r="G2338" t="str">
        <f>""</f>
        <v/>
      </c>
      <c r="H2338" t="str">
        <f>""</f>
        <v/>
      </c>
      <c r="J2338" t="str">
        <f t="shared" si="28"/>
        <v>GUARDIAN</v>
      </c>
    </row>
    <row r="2339" spans="1:10" x14ac:dyDescent="0.3">
      <c r="A2339" t="str">
        <f>""</f>
        <v/>
      </c>
      <c r="G2339" t="str">
        <f>""</f>
        <v/>
      </c>
      <c r="H2339" t="str">
        <f>""</f>
        <v/>
      </c>
      <c r="J2339" t="str">
        <f t="shared" si="28"/>
        <v>GUARDIAN</v>
      </c>
    </row>
    <row r="2340" spans="1:10" x14ac:dyDescent="0.3">
      <c r="A2340" t="str">
        <f>""</f>
        <v/>
      </c>
      <c r="G2340" t="str">
        <f>""</f>
        <v/>
      </c>
      <c r="H2340" t="str">
        <f>""</f>
        <v/>
      </c>
      <c r="J2340" t="str">
        <f t="shared" si="28"/>
        <v>GUARDIAN</v>
      </c>
    </row>
    <row r="2341" spans="1:10" x14ac:dyDescent="0.3">
      <c r="A2341" t="str">
        <f>""</f>
        <v/>
      </c>
      <c r="G2341" t="str">
        <f>""</f>
        <v/>
      </c>
      <c r="H2341" t="str">
        <f>""</f>
        <v/>
      </c>
      <c r="J2341" t="str">
        <f t="shared" si="28"/>
        <v>GUARDIAN</v>
      </c>
    </row>
    <row r="2342" spans="1:10" x14ac:dyDescent="0.3">
      <c r="A2342" t="str">
        <f>""</f>
        <v/>
      </c>
      <c r="G2342" t="str">
        <f>""</f>
        <v/>
      </c>
      <c r="H2342" t="str">
        <f>""</f>
        <v/>
      </c>
      <c r="J2342" t="str">
        <f t="shared" si="28"/>
        <v>GUARDIAN</v>
      </c>
    </row>
    <row r="2343" spans="1:10" x14ac:dyDescent="0.3">
      <c r="A2343" t="str">
        <f>""</f>
        <v/>
      </c>
      <c r="G2343" t="str">
        <f>""</f>
        <v/>
      </c>
      <c r="H2343" t="str">
        <f>""</f>
        <v/>
      </c>
      <c r="J2343" t="str">
        <f t="shared" si="28"/>
        <v>GUARDIAN</v>
      </c>
    </row>
    <row r="2344" spans="1:10" x14ac:dyDescent="0.3">
      <c r="A2344" t="str">
        <f>""</f>
        <v/>
      </c>
      <c r="G2344" t="str">
        <f>""</f>
        <v/>
      </c>
      <c r="H2344" t="str">
        <f>""</f>
        <v/>
      </c>
      <c r="J2344" t="str">
        <f t="shared" si="28"/>
        <v>GUARDIAN</v>
      </c>
    </row>
    <row r="2345" spans="1:10" x14ac:dyDescent="0.3">
      <c r="A2345" t="str">
        <f>""</f>
        <v/>
      </c>
      <c r="G2345" t="str">
        <f>""</f>
        <v/>
      </c>
      <c r="H2345" t="str">
        <f>""</f>
        <v/>
      </c>
      <c r="J2345" t="str">
        <f t="shared" si="28"/>
        <v>GUARDIAN</v>
      </c>
    </row>
    <row r="2346" spans="1:10" x14ac:dyDescent="0.3">
      <c r="A2346" t="str">
        <f>""</f>
        <v/>
      </c>
      <c r="G2346" t="str">
        <f>""</f>
        <v/>
      </c>
      <c r="H2346" t="str">
        <f>""</f>
        <v/>
      </c>
      <c r="J2346" t="str">
        <f t="shared" si="28"/>
        <v>GUARDIAN</v>
      </c>
    </row>
    <row r="2347" spans="1:10" x14ac:dyDescent="0.3">
      <c r="A2347" t="str">
        <f>""</f>
        <v/>
      </c>
      <c r="G2347" t="str">
        <f>""</f>
        <v/>
      </c>
      <c r="H2347" t="str">
        <f>""</f>
        <v/>
      </c>
      <c r="J2347" t="str">
        <f t="shared" si="28"/>
        <v>GUARDIAN</v>
      </c>
    </row>
    <row r="2348" spans="1:10" x14ac:dyDescent="0.3">
      <c r="A2348" t="str">
        <f>""</f>
        <v/>
      </c>
      <c r="G2348" t="str">
        <f>""</f>
        <v/>
      </c>
      <c r="H2348" t="str">
        <f>""</f>
        <v/>
      </c>
      <c r="J2348" t="str">
        <f t="shared" si="28"/>
        <v>GUARDIAN</v>
      </c>
    </row>
    <row r="2349" spans="1:10" x14ac:dyDescent="0.3">
      <c r="A2349" t="str">
        <f>""</f>
        <v/>
      </c>
      <c r="G2349" t="str">
        <f>""</f>
        <v/>
      </c>
      <c r="H2349" t="str">
        <f>""</f>
        <v/>
      </c>
      <c r="J2349" t="str">
        <f t="shared" si="28"/>
        <v>GUARDIAN</v>
      </c>
    </row>
    <row r="2350" spans="1:10" x14ac:dyDescent="0.3">
      <c r="A2350" t="str">
        <f>""</f>
        <v/>
      </c>
      <c r="G2350" t="str">
        <f>""</f>
        <v/>
      </c>
      <c r="H2350" t="str">
        <f>""</f>
        <v/>
      </c>
      <c r="J2350" t="str">
        <f t="shared" si="28"/>
        <v>GUARDIAN</v>
      </c>
    </row>
    <row r="2351" spans="1:10" x14ac:dyDescent="0.3">
      <c r="A2351" t="str">
        <f>""</f>
        <v/>
      </c>
      <c r="G2351" t="str">
        <f>""</f>
        <v/>
      </c>
      <c r="H2351" t="str">
        <f>""</f>
        <v/>
      </c>
      <c r="J2351" t="str">
        <f t="shared" si="28"/>
        <v>GUARDIAN</v>
      </c>
    </row>
    <row r="2352" spans="1:10" x14ac:dyDescent="0.3">
      <c r="A2352" t="str">
        <f>""</f>
        <v/>
      </c>
      <c r="G2352" t="str">
        <f>""</f>
        <v/>
      </c>
      <c r="H2352" t="str">
        <f>""</f>
        <v/>
      </c>
      <c r="J2352" t="str">
        <f t="shared" si="28"/>
        <v>GUARDIAN</v>
      </c>
    </row>
    <row r="2353" spans="1:10" x14ac:dyDescent="0.3">
      <c r="A2353" t="str">
        <f>""</f>
        <v/>
      </c>
      <c r="G2353" t="str">
        <f>""</f>
        <v/>
      </c>
      <c r="H2353" t="str">
        <f>""</f>
        <v/>
      </c>
      <c r="J2353" t="str">
        <f t="shared" si="28"/>
        <v>GUARDIAN</v>
      </c>
    </row>
    <row r="2354" spans="1:10" x14ac:dyDescent="0.3">
      <c r="A2354" t="str">
        <f>""</f>
        <v/>
      </c>
      <c r="G2354" t="str">
        <f>""</f>
        <v/>
      </c>
      <c r="H2354" t="str">
        <f>""</f>
        <v/>
      </c>
      <c r="J2354" t="str">
        <f t="shared" si="28"/>
        <v>GUARDIAN</v>
      </c>
    </row>
    <row r="2355" spans="1:10" x14ac:dyDescent="0.3">
      <c r="A2355" t="str">
        <f>""</f>
        <v/>
      </c>
      <c r="G2355" t="str">
        <f>""</f>
        <v/>
      </c>
      <c r="H2355" t="str">
        <f>""</f>
        <v/>
      </c>
      <c r="J2355" t="str">
        <f t="shared" si="28"/>
        <v>GUARDIAN</v>
      </c>
    </row>
    <row r="2356" spans="1:10" x14ac:dyDescent="0.3">
      <c r="A2356" t="str">
        <f>""</f>
        <v/>
      </c>
      <c r="G2356" t="str">
        <f>""</f>
        <v/>
      </c>
      <c r="H2356" t="str">
        <f>""</f>
        <v/>
      </c>
      <c r="J2356" t="str">
        <f t="shared" si="28"/>
        <v>GUARDIAN</v>
      </c>
    </row>
    <row r="2357" spans="1:10" x14ac:dyDescent="0.3">
      <c r="A2357" t="str">
        <f>""</f>
        <v/>
      </c>
      <c r="G2357" t="str">
        <f>""</f>
        <v/>
      </c>
      <c r="H2357" t="str">
        <f>""</f>
        <v/>
      </c>
      <c r="J2357" t="str">
        <f t="shared" si="28"/>
        <v>GUARDIAN</v>
      </c>
    </row>
    <row r="2358" spans="1:10" x14ac:dyDescent="0.3">
      <c r="A2358" t="str">
        <f>""</f>
        <v/>
      </c>
      <c r="G2358" t="str">
        <f>""</f>
        <v/>
      </c>
      <c r="H2358" t="str">
        <f>""</f>
        <v/>
      </c>
      <c r="J2358" t="str">
        <f t="shared" si="28"/>
        <v>GUARDIAN</v>
      </c>
    </row>
    <row r="2359" spans="1:10" x14ac:dyDescent="0.3">
      <c r="A2359" t="str">
        <f>""</f>
        <v/>
      </c>
      <c r="G2359" t="str">
        <f>""</f>
        <v/>
      </c>
      <c r="H2359" t="str">
        <f>""</f>
        <v/>
      </c>
      <c r="J2359" t="str">
        <f t="shared" si="28"/>
        <v>GUARDIAN</v>
      </c>
    </row>
    <row r="2360" spans="1:10" x14ac:dyDescent="0.3">
      <c r="A2360" t="str">
        <f>""</f>
        <v/>
      </c>
      <c r="G2360" t="str">
        <f>""</f>
        <v/>
      </c>
      <c r="H2360" t="str">
        <f>""</f>
        <v/>
      </c>
      <c r="J2360" t="str">
        <f t="shared" si="28"/>
        <v>GUARDIAN</v>
      </c>
    </row>
    <row r="2361" spans="1:10" x14ac:dyDescent="0.3">
      <c r="A2361" t="str">
        <f>""</f>
        <v/>
      </c>
      <c r="G2361" t="str">
        <f>""</f>
        <v/>
      </c>
      <c r="H2361" t="str">
        <f>""</f>
        <v/>
      </c>
      <c r="J2361" t="str">
        <f t="shared" si="28"/>
        <v>GUARDIAN</v>
      </c>
    </row>
    <row r="2362" spans="1:10" x14ac:dyDescent="0.3">
      <c r="A2362" t="str">
        <f>""</f>
        <v/>
      </c>
      <c r="G2362" t="str">
        <f>""</f>
        <v/>
      </c>
      <c r="H2362" t="str">
        <f>""</f>
        <v/>
      </c>
      <c r="J2362" t="str">
        <f t="shared" si="28"/>
        <v>GUARDIAN</v>
      </c>
    </row>
    <row r="2363" spans="1:10" x14ac:dyDescent="0.3">
      <c r="A2363" t="str">
        <f>""</f>
        <v/>
      </c>
      <c r="G2363" t="str">
        <f>""</f>
        <v/>
      </c>
      <c r="H2363" t="str">
        <f>""</f>
        <v/>
      </c>
      <c r="J2363" t="str">
        <f t="shared" si="28"/>
        <v>GUARDIAN</v>
      </c>
    </row>
    <row r="2364" spans="1:10" x14ac:dyDescent="0.3">
      <c r="A2364" t="str">
        <f>""</f>
        <v/>
      </c>
      <c r="F2364" t="s">
        <v>10</v>
      </c>
      <c r="G2364" t="str">
        <f>"GDS201706143096"</f>
        <v>GDS201706143096</v>
      </c>
      <c r="H2364" t="str">
        <f>"GUARDIAN"</f>
        <v>GUARDIAN</v>
      </c>
      <c r="I2364" s="2">
        <v>1968.12</v>
      </c>
      <c r="J2364" t="str">
        <f t="shared" si="28"/>
        <v>GUARDIAN</v>
      </c>
    </row>
    <row r="2365" spans="1:10" x14ac:dyDescent="0.3">
      <c r="A2365" t="str">
        <f>""</f>
        <v/>
      </c>
      <c r="G2365" t="str">
        <f>""</f>
        <v/>
      </c>
      <c r="H2365" t="str">
        <f>""</f>
        <v/>
      </c>
      <c r="J2365" t="str">
        <f t="shared" si="28"/>
        <v>GUARDIAN</v>
      </c>
    </row>
    <row r="2366" spans="1:10" x14ac:dyDescent="0.3">
      <c r="A2366" t="str">
        <f>""</f>
        <v/>
      </c>
      <c r="G2366" t="str">
        <f>""</f>
        <v/>
      </c>
      <c r="H2366" t="str">
        <f>""</f>
        <v/>
      </c>
      <c r="J2366" t="str">
        <f t="shared" si="28"/>
        <v>GUARDIAN</v>
      </c>
    </row>
    <row r="2367" spans="1:10" x14ac:dyDescent="0.3">
      <c r="A2367" t="str">
        <f>""</f>
        <v/>
      </c>
      <c r="G2367" t="str">
        <f>""</f>
        <v/>
      </c>
      <c r="H2367" t="str">
        <f>""</f>
        <v/>
      </c>
      <c r="J2367" t="str">
        <f t="shared" si="28"/>
        <v>GUARDIAN</v>
      </c>
    </row>
    <row r="2368" spans="1:10" x14ac:dyDescent="0.3">
      <c r="A2368" t="str">
        <f>""</f>
        <v/>
      </c>
      <c r="G2368" t="str">
        <f>""</f>
        <v/>
      </c>
      <c r="H2368" t="str">
        <f>""</f>
        <v/>
      </c>
      <c r="J2368" t="str">
        <f t="shared" si="28"/>
        <v>GUARDIAN</v>
      </c>
    </row>
    <row r="2369" spans="1:10" x14ac:dyDescent="0.3">
      <c r="A2369" t="str">
        <f>""</f>
        <v/>
      </c>
      <c r="G2369" t="str">
        <f>""</f>
        <v/>
      </c>
      <c r="H2369" t="str">
        <f>""</f>
        <v/>
      </c>
      <c r="J2369" t="str">
        <f t="shared" si="28"/>
        <v>GUARDIAN</v>
      </c>
    </row>
    <row r="2370" spans="1:10" x14ac:dyDescent="0.3">
      <c r="A2370" t="str">
        <f>""</f>
        <v/>
      </c>
      <c r="G2370" t="str">
        <f>""</f>
        <v/>
      </c>
      <c r="H2370" t="str">
        <f>""</f>
        <v/>
      </c>
      <c r="J2370" t="str">
        <f t="shared" si="28"/>
        <v>GUARDIAN</v>
      </c>
    </row>
    <row r="2371" spans="1:10" x14ac:dyDescent="0.3">
      <c r="A2371" t="str">
        <f>""</f>
        <v/>
      </c>
      <c r="G2371" t="str">
        <f>""</f>
        <v/>
      </c>
      <c r="H2371" t="str">
        <f>""</f>
        <v/>
      </c>
      <c r="J2371" t="str">
        <f t="shared" si="28"/>
        <v>GUARDIAN</v>
      </c>
    </row>
    <row r="2372" spans="1:10" x14ac:dyDescent="0.3">
      <c r="A2372" t="str">
        <f>""</f>
        <v/>
      </c>
      <c r="G2372" t="str">
        <f>""</f>
        <v/>
      </c>
      <c r="H2372" t="str">
        <f>""</f>
        <v/>
      </c>
      <c r="J2372" t="str">
        <f t="shared" ref="J2372:J2395" si="29">"GUARDIAN"</f>
        <v>GUARDIAN</v>
      </c>
    </row>
    <row r="2373" spans="1:10" x14ac:dyDescent="0.3">
      <c r="A2373" t="str">
        <f>""</f>
        <v/>
      </c>
      <c r="G2373" t="str">
        <f>""</f>
        <v/>
      </c>
      <c r="H2373" t="str">
        <f>""</f>
        <v/>
      </c>
      <c r="J2373" t="str">
        <f t="shared" si="29"/>
        <v>GUARDIAN</v>
      </c>
    </row>
    <row r="2374" spans="1:10" x14ac:dyDescent="0.3">
      <c r="A2374" t="str">
        <f>""</f>
        <v/>
      </c>
      <c r="G2374" t="str">
        <f>""</f>
        <v/>
      </c>
      <c r="H2374" t="str">
        <f>""</f>
        <v/>
      </c>
      <c r="J2374" t="str">
        <f t="shared" si="29"/>
        <v>GUARDIAN</v>
      </c>
    </row>
    <row r="2375" spans="1:10" x14ac:dyDescent="0.3">
      <c r="A2375" t="str">
        <f>""</f>
        <v/>
      </c>
      <c r="G2375" t="str">
        <f>""</f>
        <v/>
      </c>
      <c r="H2375" t="str">
        <f>""</f>
        <v/>
      </c>
      <c r="J2375" t="str">
        <f t="shared" si="29"/>
        <v>GUARDIAN</v>
      </c>
    </row>
    <row r="2376" spans="1:10" x14ac:dyDescent="0.3">
      <c r="A2376" t="str">
        <f>""</f>
        <v/>
      </c>
      <c r="G2376" t="str">
        <f>""</f>
        <v/>
      </c>
      <c r="H2376" t="str">
        <f>""</f>
        <v/>
      </c>
      <c r="J2376" t="str">
        <f t="shared" si="29"/>
        <v>GUARDIAN</v>
      </c>
    </row>
    <row r="2377" spans="1:10" x14ac:dyDescent="0.3">
      <c r="A2377" t="str">
        <f>""</f>
        <v/>
      </c>
      <c r="G2377" t="str">
        <f>""</f>
        <v/>
      </c>
      <c r="H2377" t="str">
        <f>""</f>
        <v/>
      </c>
      <c r="J2377" t="str">
        <f t="shared" si="29"/>
        <v>GUARDIAN</v>
      </c>
    </row>
    <row r="2378" spans="1:10" x14ac:dyDescent="0.3">
      <c r="A2378" t="str">
        <f>""</f>
        <v/>
      </c>
      <c r="G2378" t="str">
        <f>""</f>
        <v/>
      </c>
      <c r="H2378" t="str">
        <f>""</f>
        <v/>
      </c>
      <c r="J2378" t="str">
        <f t="shared" si="29"/>
        <v>GUARDIAN</v>
      </c>
    </row>
    <row r="2379" spans="1:10" x14ac:dyDescent="0.3">
      <c r="A2379" t="str">
        <f>""</f>
        <v/>
      </c>
      <c r="G2379" t="str">
        <f>""</f>
        <v/>
      </c>
      <c r="H2379" t="str">
        <f>""</f>
        <v/>
      </c>
      <c r="J2379" t="str">
        <f t="shared" si="29"/>
        <v>GUARDIAN</v>
      </c>
    </row>
    <row r="2380" spans="1:10" x14ac:dyDescent="0.3">
      <c r="A2380" t="str">
        <f>""</f>
        <v/>
      </c>
      <c r="G2380" t="str">
        <f>""</f>
        <v/>
      </c>
      <c r="H2380" t="str">
        <f>""</f>
        <v/>
      </c>
      <c r="J2380" t="str">
        <f t="shared" si="29"/>
        <v>GUARDIAN</v>
      </c>
    </row>
    <row r="2381" spans="1:10" x14ac:dyDescent="0.3">
      <c r="A2381" t="str">
        <f>""</f>
        <v/>
      </c>
      <c r="G2381" t="str">
        <f>""</f>
        <v/>
      </c>
      <c r="H2381" t="str">
        <f>""</f>
        <v/>
      </c>
      <c r="J2381" t="str">
        <f t="shared" si="29"/>
        <v>GUARDIAN</v>
      </c>
    </row>
    <row r="2382" spans="1:10" x14ac:dyDescent="0.3">
      <c r="A2382" t="str">
        <f>""</f>
        <v/>
      </c>
      <c r="G2382" t="str">
        <f>""</f>
        <v/>
      </c>
      <c r="H2382" t="str">
        <f>""</f>
        <v/>
      </c>
      <c r="J2382" t="str">
        <f t="shared" si="29"/>
        <v>GUARDIAN</v>
      </c>
    </row>
    <row r="2383" spans="1:10" x14ac:dyDescent="0.3">
      <c r="A2383" t="str">
        <f>""</f>
        <v/>
      </c>
      <c r="G2383" t="str">
        <f>""</f>
        <v/>
      </c>
      <c r="H2383" t="str">
        <f>""</f>
        <v/>
      </c>
      <c r="J2383" t="str">
        <f t="shared" si="29"/>
        <v>GUARDIAN</v>
      </c>
    </row>
    <row r="2384" spans="1:10" x14ac:dyDescent="0.3">
      <c r="A2384" t="str">
        <f>""</f>
        <v/>
      </c>
      <c r="G2384" t="str">
        <f>""</f>
        <v/>
      </c>
      <c r="H2384" t="str">
        <f>""</f>
        <v/>
      </c>
      <c r="J2384" t="str">
        <f t="shared" si="29"/>
        <v>GUARDIAN</v>
      </c>
    </row>
    <row r="2385" spans="1:10" x14ac:dyDescent="0.3">
      <c r="A2385" t="str">
        <f>""</f>
        <v/>
      </c>
      <c r="G2385" t="str">
        <f>""</f>
        <v/>
      </c>
      <c r="H2385" t="str">
        <f>""</f>
        <v/>
      </c>
      <c r="J2385" t="str">
        <f t="shared" si="29"/>
        <v>GUARDIAN</v>
      </c>
    </row>
    <row r="2386" spans="1:10" x14ac:dyDescent="0.3">
      <c r="A2386" t="str">
        <f>""</f>
        <v/>
      </c>
      <c r="G2386" t="str">
        <f>""</f>
        <v/>
      </c>
      <c r="H2386" t="str">
        <f>""</f>
        <v/>
      </c>
      <c r="J2386" t="str">
        <f t="shared" si="29"/>
        <v>GUARDIAN</v>
      </c>
    </row>
    <row r="2387" spans="1:10" x14ac:dyDescent="0.3">
      <c r="A2387" t="str">
        <f>""</f>
        <v/>
      </c>
      <c r="G2387" t="str">
        <f>""</f>
        <v/>
      </c>
      <c r="H2387" t="str">
        <f>""</f>
        <v/>
      </c>
      <c r="J2387" t="str">
        <f t="shared" si="29"/>
        <v>GUARDIAN</v>
      </c>
    </row>
    <row r="2388" spans="1:10" x14ac:dyDescent="0.3">
      <c r="A2388" t="str">
        <f>""</f>
        <v/>
      </c>
      <c r="G2388" t="str">
        <f>""</f>
        <v/>
      </c>
      <c r="H2388" t="str">
        <f>""</f>
        <v/>
      </c>
      <c r="J2388" t="str">
        <f t="shared" si="29"/>
        <v>GUARDIAN</v>
      </c>
    </row>
    <row r="2389" spans="1:10" x14ac:dyDescent="0.3">
      <c r="A2389" t="str">
        <f>""</f>
        <v/>
      </c>
      <c r="G2389" t="str">
        <f>""</f>
        <v/>
      </c>
      <c r="H2389" t="str">
        <f>""</f>
        <v/>
      </c>
      <c r="J2389" t="str">
        <f t="shared" si="29"/>
        <v>GUARDIAN</v>
      </c>
    </row>
    <row r="2390" spans="1:10" x14ac:dyDescent="0.3">
      <c r="A2390" t="str">
        <f>""</f>
        <v/>
      </c>
      <c r="G2390" t="str">
        <f>""</f>
        <v/>
      </c>
      <c r="H2390" t="str">
        <f>""</f>
        <v/>
      </c>
      <c r="J2390" t="str">
        <f t="shared" si="29"/>
        <v>GUARDIAN</v>
      </c>
    </row>
    <row r="2391" spans="1:10" x14ac:dyDescent="0.3">
      <c r="A2391" t="str">
        <f>""</f>
        <v/>
      </c>
      <c r="G2391" t="str">
        <f>""</f>
        <v/>
      </c>
      <c r="H2391" t="str">
        <f>""</f>
        <v/>
      </c>
      <c r="J2391" t="str">
        <f t="shared" si="29"/>
        <v>GUARDIAN</v>
      </c>
    </row>
    <row r="2392" spans="1:10" x14ac:dyDescent="0.3">
      <c r="A2392" t="str">
        <f>""</f>
        <v/>
      </c>
      <c r="G2392" t="str">
        <f>""</f>
        <v/>
      </c>
      <c r="H2392" t="str">
        <f>""</f>
        <v/>
      </c>
      <c r="J2392" t="str">
        <f t="shared" si="29"/>
        <v>GUARDIAN</v>
      </c>
    </row>
    <row r="2393" spans="1:10" x14ac:dyDescent="0.3">
      <c r="A2393" t="str">
        <f>""</f>
        <v/>
      </c>
      <c r="G2393" t="str">
        <f>""</f>
        <v/>
      </c>
      <c r="H2393" t="str">
        <f>""</f>
        <v/>
      </c>
      <c r="J2393" t="str">
        <f t="shared" si="29"/>
        <v>GUARDIAN</v>
      </c>
    </row>
    <row r="2394" spans="1:10" x14ac:dyDescent="0.3">
      <c r="A2394" t="str">
        <f>""</f>
        <v/>
      </c>
      <c r="G2394" t="str">
        <f>""</f>
        <v/>
      </c>
      <c r="H2394" t="str">
        <f>""</f>
        <v/>
      </c>
      <c r="J2394" t="str">
        <f t="shared" si="29"/>
        <v>GUARDIAN</v>
      </c>
    </row>
    <row r="2395" spans="1:10" x14ac:dyDescent="0.3">
      <c r="A2395" t="str">
        <f>""</f>
        <v/>
      </c>
      <c r="G2395" t="str">
        <f>""</f>
        <v/>
      </c>
      <c r="H2395" t="str">
        <f>""</f>
        <v/>
      </c>
      <c r="J2395" t="str">
        <f t="shared" si="29"/>
        <v>GUARDIAN</v>
      </c>
    </row>
    <row r="2396" spans="1:10" x14ac:dyDescent="0.3">
      <c r="A2396" t="str">
        <f>""</f>
        <v/>
      </c>
      <c r="F2396" t="s">
        <v>10</v>
      </c>
      <c r="G2396" t="str">
        <f>"GV1201705312317"</f>
        <v>GV1201705312317</v>
      </c>
      <c r="H2396" t="str">
        <f>"GUARDIAN VISION"</f>
        <v>GUARDIAN VISION</v>
      </c>
      <c r="I2396" s="2">
        <v>347.2</v>
      </c>
      <c r="J2396" t="str">
        <f>"GUARDIAN VISION"</f>
        <v>GUARDIAN VISION</v>
      </c>
    </row>
    <row r="2397" spans="1:10" x14ac:dyDescent="0.3">
      <c r="A2397" t="str">
        <f>""</f>
        <v/>
      </c>
      <c r="F2397" t="s">
        <v>10</v>
      </c>
      <c r="G2397" t="str">
        <f>"GV1201705312318"</f>
        <v>GV1201705312318</v>
      </c>
      <c r="H2397" t="str">
        <f>"GUARDIAN VISION"</f>
        <v>GUARDIAN VISION</v>
      </c>
      <c r="I2397" s="2">
        <v>5.6</v>
      </c>
      <c r="J2397" t="str">
        <f>"GUARDIAN VISION"</f>
        <v>GUARDIAN VISION</v>
      </c>
    </row>
    <row r="2398" spans="1:10" x14ac:dyDescent="0.3">
      <c r="A2398" t="str">
        <f>""</f>
        <v/>
      </c>
      <c r="F2398" t="s">
        <v>10</v>
      </c>
      <c r="G2398" t="str">
        <f>"GV1201706143096"</f>
        <v>GV1201706143096</v>
      </c>
      <c r="H2398" t="str">
        <f>"GUARDIAN VISION"</f>
        <v>GUARDIAN VISION</v>
      </c>
      <c r="I2398" s="2">
        <v>347.2</v>
      </c>
      <c r="J2398" t="str">
        <f>"GUARDIAN VISION"</f>
        <v>GUARDIAN VISION</v>
      </c>
    </row>
    <row r="2399" spans="1:10" x14ac:dyDescent="0.3">
      <c r="A2399" t="str">
        <f>""</f>
        <v/>
      </c>
      <c r="F2399" t="s">
        <v>10</v>
      </c>
      <c r="G2399" t="str">
        <f>"GV1201706143098"</f>
        <v>GV1201706143098</v>
      </c>
      <c r="H2399" t="str">
        <f>"GUARDIAN VISION"</f>
        <v>GUARDIAN VISION</v>
      </c>
      <c r="I2399" s="2">
        <v>5.6</v>
      </c>
      <c r="J2399" t="str">
        <f>"GUARDIAN VISION"</f>
        <v>GUARDIAN VISION</v>
      </c>
    </row>
    <row r="2400" spans="1:10" x14ac:dyDescent="0.3">
      <c r="A2400" t="str">
        <f>""</f>
        <v/>
      </c>
      <c r="F2400" t="s">
        <v>10</v>
      </c>
      <c r="G2400" t="str">
        <f>"GVE201705312317"</f>
        <v>GVE201705312317</v>
      </c>
      <c r="H2400" t="str">
        <f>"GUARDIAN VISION VENDOR"</f>
        <v>GUARDIAN VISION VENDOR</v>
      </c>
      <c r="I2400" s="2">
        <v>531.36</v>
      </c>
      <c r="J2400" t="str">
        <f>"GUARDIAN VISION VENDOR"</f>
        <v>GUARDIAN VISION VENDOR</v>
      </c>
    </row>
    <row r="2401" spans="1:10" x14ac:dyDescent="0.3">
      <c r="A2401" t="str">
        <f>""</f>
        <v/>
      </c>
      <c r="F2401" t="s">
        <v>10</v>
      </c>
      <c r="G2401" t="str">
        <f>"GVE201705312318"</f>
        <v>GVE201705312318</v>
      </c>
      <c r="H2401" t="str">
        <f>"GUARDIAN VISION VENDOR"</f>
        <v>GUARDIAN VISION VENDOR</v>
      </c>
      <c r="I2401" s="2">
        <v>22.14</v>
      </c>
      <c r="J2401" t="str">
        <f>"GUARDIAN VISION VENDOR"</f>
        <v>GUARDIAN VISION VENDOR</v>
      </c>
    </row>
    <row r="2402" spans="1:10" x14ac:dyDescent="0.3">
      <c r="A2402" t="str">
        <f>""</f>
        <v/>
      </c>
      <c r="F2402" t="s">
        <v>10</v>
      </c>
      <c r="G2402" t="str">
        <f>"GVE201706143096"</f>
        <v>GVE201706143096</v>
      </c>
      <c r="H2402" t="str">
        <f>"GUARDIAN VISION VENDOR"</f>
        <v>GUARDIAN VISION VENDOR</v>
      </c>
      <c r="I2402" s="2">
        <v>531.36</v>
      </c>
      <c r="J2402" t="str">
        <f>"GUARDIAN VISION VENDOR"</f>
        <v>GUARDIAN VISION VENDOR</v>
      </c>
    </row>
    <row r="2403" spans="1:10" x14ac:dyDescent="0.3">
      <c r="A2403" t="str">
        <f>""</f>
        <v/>
      </c>
      <c r="F2403" t="s">
        <v>10</v>
      </c>
      <c r="G2403" t="str">
        <f>"GVE201706143098"</f>
        <v>GVE201706143098</v>
      </c>
      <c r="H2403" t="str">
        <f>"GUARDIAN VISION VENDOR"</f>
        <v>GUARDIAN VISION VENDOR</v>
      </c>
      <c r="I2403" s="2">
        <v>22.14</v>
      </c>
      <c r="J2403" t="str">
        <f>"GUARDIAN VISION VENDOR"</f>
        <v>GUARDIAN VISION VENDOR</v>
      </c>
    </row>
    <row r="2404" spans="1:10" x14ac:dyDescent="0.3">
      <c r="A2404" t="str">
        <f>""</f>
        <v/>
      </c>
      <c r="F2404" t="s">
        <v>10</v>
      </c>
      <c r="G2404" t="str">
        <f>"GVF201705312317"</f>
        <v>GVF201705312317</v>
      </c>
      <c r="H2404" t="str">
        <f>"GUARDIAN VISION"</f>
        <v>GUARDIAN VISION</v>
      </c>
      <c r="I2404" s="2">
        <v>443.25</v>
      </c>
      <c r="J2404" t="str">
        <f>"GUARDIAN VISION"</f>
        <v>GUARDIAN VISION</v>
      </c>
    </row>
    <row r="2405" spans="1:10" x14ac:dyDescent="0.3">
      <c r="A2405" t="str">
        <f>""</f>
        <v/>
      </c>
      <c r="F2405" t="s">
        <v>10</v>
      </c>
      <c r="G2405" t="str">
        <f>"GVF201705312318"</f>
        <v>GVF201705312318</v>
      </c>
      <c r="H2405" t="str">
        <f>"GUARDIAN VISION VENDOR"</f>
        <v>GUARDIAN VISION VENDOR</v>
      </c>
      <c r="I2405" s="2">
        <v>19.7</v>
      </c>
      <c r="J2405" t="str">
        <f>"GUARDIAN VISION VENDOR"</f>
        <v>GUARDIAN VISION VENDOR</v>
      </c>
    </row>
    <row r="2406" spans="1:10" x14ac:dyDescent="0.3">
      <c r="A2406" t="str">
        <f>""</f>
        <v/>
      </c>
      <c r="F2406" t="s">
        <v>10</v>
      </c>
      <c r="G2406" t="str">
        <f>"GVF201706143096"</f>
        <v>GVF201706143096</v>
      </c>
      <c r="H2406" t="str">
        <f>"GUARDIAN VISION"</f>
        <v>GUARDIAN VISION</v>
      </c>
      <c r="I2406" s="2">
        <v>443.25</v>
      </c>
      <c r="J2406" t="str">
        <f>"GUARDIAN VISION"</f>
        <v>GUARDIAN VISION</v>
      </c>
    </row>
    <row r="2407" spans="1:10" x14ac:dyDescent="0.3">
      <c r="A2407" t="str">
        <f>""</f>
        <v/>
      </c>
      <c r="F2407" t="s">
        <v>10</v>
      </c>
      <c r="G2407" t="str">
        <f>"GVF201706143098"</f>
        <v>GVF201706143098</v>
      </c>
      <c r="H2407" t="str">
        <f>"GUARDIAN VISION VENDOR"</f>
        <v>GUARDIAN VISION VENDOR</v>
      </c>
      <c r="I2407" s="2">
        <v>19.7</v>
      </c>
      <c r="J2407" t="str">
        <f>"GUARDIAN VISION VENDOR"</f>
        <v>GUARDIAN VISION VENDOR</v>
      </c>
    </row>
    <row r="2408" spans="1:10" x14ac:dyDescent="0.3">
      <c r="A2408" t="str">
        <f>""</f>
        <v/>
      </c>
      <c r="F2408" t="s">
        <v>10</v>
      </c>
      <c r="G2408" t="str">
        <f>"LIA201705312317"</f>
        <v>LIA201705312317</v>
      </c>
      <c r="H2408" t="str">
        <f>"GUARDIAN"</f>
        <v>GUARDIAN</v>
      </c>
      <c r="I2408" s="2">
        <v>136.94999999999999</v>
      </c>
      <c r="J2408" t="str">
        <f t="shared" ref="J2408:J2439" si="30">"GUARDIAN"</f>
        <v>GUARDIAN</v>
      </c>
    </row>
    <row r="2409" spans="1:10" x14ac:dyDescent="0.3">
      <c r="A2409" t="str">
        <f>""</f>
        <v/>
      </c>
      <c r="G2409" t="str">
        <f>""</f>
        <v/>
      </c>
      <c r="H2409" t="str">
        <f>""</f>
        <v/>
      </c>
      <c r="J2409" t="str">
        <f t="shared" si="30"/>
        <v>GUARDIAN</v>
      </c>
    </row>
    <row r="2410" spans="1:10" x14ac:dyDescent="0.3">
      <c r="A2410" t="str">
        <f>""</f>
        <v/>
      </c>
      <c r="G2410" t="str">
        <f>""</f>
        <v/>
      </c>
      <c r="H2410" t="str">
        <f>""</f>
        <v/>
      </c>
      <c r="J2410" t="str">
        <f t="shared" si="30"/>
        <v>GUARDIAN</v>
      </c>
    </row>
    <row r="2411" spans="1:10" x14ac:dyDescent="0.3">
      <c r="A2411" t="str">
        <f>""</f>
        <v/>
      </c>
      <c r="G2411" t="str">
        <f>""</f>
        <v/>
      </c>
      <c r="H2411" t="str">
        <f>""</f>
        <v/>
      </c>
      <c r="J2411" t="str">
        <f t="shared" si="30"/>
        <v>GUARDIAN</v>
      </c>
    </row>
    <row r="2412" spans="1:10" x14ac:dyDescent="0.3">
      <c r="A2412" t="str">
        <f>""</f>
        <v/>
      </c>
      <c r="G2412" t="str">
        <f>""</f>
        <v/>
      </c>
      <c r="H2412" t="str">
        <f>""</f>
        <v/>
      </c>
      <c r="J2412" t="str">
        <f t="shared" si="30"/>
        <v>GUARDIAN</v>
      </c>
    </row>
    <row r="2413" spans="1:10" x14ac:dyDescent="0.3">
      <c r="A2413" t="str">
        <f>""</f>
        <v/>
      </c>
      <c r="G2413" t="str">
        <f>""</f>
        <v/>
      </c>
      <c r="H2413" t="str">
        <f>""</f>
        <v/>
      </c>
      <c r="J2413" t="str">
        <f t="shared" si="30"/>
        <v>GUARDIAN</v>
      </c>
    </row>
    <row r="2414" spans="1:10" x14ac:dyDescent="0.3">
      <c r="A2414" t="str">
        <f>""</f>
        <v/>
      </c>
      <c r="G2414" t="str">
        <f>""</f>
        <v/>
      </c>
      <c r="H2414" t="str">
        <f>""</f>
        <v/>
      </c>
      <c r="J2414" t="str">
        <f t="shared" si="30"/>
        <v>GUARDIAN</v>
      </c>
    </row>
    <row r="2415" spans="1:10" x14ac:dyDescent="0.3">
      <c r="A2415" t="str">
        <f>""</f>
        <v/>
      </c>
      <c r="G2415" t="str">
        <f>""</f>
        <v/>
      </c>
      <c r="H2415" t="str">
        <f>""</f>
        <v/>
      </c>
      <c r="J2415" t="str">
        <f t="shared" si="30"/>
        <v>GUARDIAN</v>
      </c>
    </row>
    <row r="2416" spans="1:10" x14ac:dyDescent="0.3">
      <c r="A2416" t="str">
        <f>""</f>
        <v/>
      </c>
      <c r="G2416" t="str">
        <f>""</f>
        <v/>
      </c>
      <c r="H2416" t="str">
        <f>""</f>
        <v/>
      </c>
      <c r="J2416" t="str">
        <f t="shared" si="30"/>
        <v>GUARDIAN</v>
      </c>
    </row>
    <row r="2417" spans="1:10" x14ac:dyDescent="0.3">
      <c r="A2417" t="str">
        <f>""</f>
        <v/>
      </c>
      <c r="G2417" t="str">
        <f>""</f>
        <v/>
      </c>
      <c r="H2417" t="str">
        <f>""</f>
        <v/>
      </c>
      <c r="J2417" t="str">
        <f t="shared" si="30"/>
        <v>GUARDIAN</v>
      </c>
    </row>
    <row r="2418" spans="1:10" x14ac:dyDescent="0.3">
      <c r="A2418" t="str">
        <f>""</f>
        <v/>
      </c>
      <c r="G2418" t="str">
        <f>""</f>
        <v/>
      </c>
      <c r="H2418" t="str">
        <f>""</f>
        <v/>
      </c>
      <c r="J2418" t="str">
        <f t="shared" si="30"/>
        <v>GUARDIAN</v>
      </c>
    </row>
    <row r="2419" spans="1:10" x14ac:dyDescent="0.3">
      <c r="A2419" t="str">
        <f>""</f>
        <v/>
      </c>
      <c r="G2419" t="str">
        <f>""</f>
        <v/>
      </c>
      <c r="H2419" t="str">
        <f>""</f>
        <v/>
      </c>
      <c r="J2419" t="str">
        <f t="shared" si="30"/>
        <v>GUARDIAN</v>
      </c>
    </row>
    <row r="2420" spans="1:10" x14ac:dyDescent="0.3">
      <c r="A2420" t="str">
        <f>""</f>
        <v/>
      </c>
      <c r="G2420" t="str">
        <f>""</f>
        <v/>
      </c>
      <c r="H2420" t="str">
        <f>""</f>
        <v/>
      </c>
      <c r="J2420" t="str">
        <f t="shared" si="30"/>
        <v>GUARDIAN</v>
      </c>
    </row>
    <row r="2421" spans="1:10" x14ac:dyDescent="0.3">
      <c r="A2421" t="str">
        <f>""</f>
        <v/>
      </c>
      <c r="G2421" t="str">
        <f>""</f>
        <v/>
      </c>
      <c r="H2421" t="str">
        <f>""</f>
        <v/>
      </c>
      <c r="J2421" t="str">
        <f t="shared" si="30"/>
        <v>GUARDIAN</v>
      </c>
    </row>
    <row r="2422" spans="1:10" x14ac:dyDescent="0.3">
      <c r="A2422" t="str">
        <f>""</f>
        <v/>
      </c>
      <c r="G2422" t="str">
        <f>""</f>
        <v/>
      </c>
      <c r="H2422" t="str">
        <f>""</f>
        <v/>
      </c>
      <c r="J2422" t="str">
        <f t="shared" si="30"/>
        <v>GUARDIAN</v>
      </c>
    </row>
    <row r="2423" spans="1:10" x14ac:dyDescent="0.3">
      <c r="A2423" t="str">
        <f>""</f>
        <v/>
      </c>
      <c r="G2423" t="str">
        <f>""</f>
        <v/>
      </c>
      <c r="H2423" t="str">
        <f>""</f>
        <v/>
      </c>
      <c r="J2423" t="str">
        <f t="shared" si="30"/>
        <v>GUARDIAN</v>
      </c>
    </row>
    <row r="2424" spans="1:10" x14ac:dyDescent="0.3">
      <c r="A2424" t="str">
        <f>""</f>
        <v/>
      </c>
      <c r="G2424" t="str">
        <f>""</f>
        <v/>
      </c>
      <c r="H2424" t="str">
        <f>""</f>
        <v/>
      </c>
      <c r="J2424" t="str">
        <f t="shared" si="30"/>
        <v>GUARDIAN</v>
      </c>
    </row>
    <row r="2425" spans="1:10" x14ac:dyDescent="0.3">
      <c r="A2425" t="str">
        <f>""</f>
        <v/>
      </c>
      <c r="G2425" t="str">
        <f>""</f>
        <v/>
      </c>
      <c r="H2425" t="str">
        <f>""</f>
        <v/>
      </c>
      <c r="J2425" t="str">
        <f t="shared" si="30"/>
        <v>GUARDIAN</v>
      </c>
    </row>
    <row r="2426" spans="1:10" x14ac:dyDescent="0.3">
      <c r="A2426" t="str">
        <f>""</f>
        <v/>
      </c>
      <c r="G2426" t="str">
        <f>""</f>
        <v/>
      </c>
      <c r="H2426" t="str">
        <f>""</f>
        <v/>
      </c>
      <c r="J2426" t="str">
        <f t="shared" si="30"/>
        <v>GUARDIAN</v>
      </c>
    </row>
    <row r="2427" spans="1:10" x14ac:dyDescent="0.3">
      <c r="A2427" t="str">
        <f>""</f>
        <v/>
      </c>
      <c r="G2427" t="str">
        <f>""</f>
        <v/>
      </c>
      <c r="H2427" t="str">
        <f>""</f>
        <v/>
      </c>
      <c r="J2427" t="str">
        <f t="shared" si="30"/>
        <v>GUARDIAN</v>
      </c>
    </row>
    <row r="2428" spans="1:10" x14ac:dyDescent="0.3">
      <c r="A2428" t="str">
        <f>""</f>
        <v/>
      </c>
      <c r="G2428" t="str">
        <f>""</f>
        <v/>
      </c>
      <c r="H2428" t="str">
        <f>""</f>
        <v/>
      </c>
      <c r="J2428" t="str">
        <f t="shared" si="30"/>
        <v>GUARDIAN</v>
      </c>
    </row>
    <row r="2429" spans="1:10" x14ac:dyDescent="0.3">
      <c r="A2429" t="str">
        <f>""</f>
        <v/>
      </c>
      <c r="G2429" t="str">
        <f>""</f>
        <v/>
      </c>
      <c r="H2429" t="str">
        <f>""</f>
        <v/>
      </c>
      <c r="J2429" t="str">
        <f t="shared" si="30"/>
        <v>GUARDIAN</v>
      </c>
    </row>
    <row r="2430" spans="1:10" x14ac:dyDescent="0.3">
      <c r="A2430" t="str">
        <f>""</f>
        <v/>
      </c>
      <c r="G2430" t="str">
        <f>""</f>
        <v/>
      </c>
      <c r="H2430" t="str">
        <f>""</f>
        <v/>
      </c>
      <c r="J2430" t="str">
        <f t="shared" si="30"/>
        <v>GUARDIAN</v>
      </c>
    </row>
    <row r="2431" spans="1:10" x14ac:dyDescent="0.3">
      <c r="A2431" t="str">
        <f>""</f>
        <v/>
      </c>
      <c r="F2431" t="s">
        <v>10</v>
      </c>
      <c r="G2431" t="str">
        <f>"LIA201706143096"</f>
        <v>LIA201706143096</v>
      </c>
      <c r="H2431" t="str">
        <f>"GUARDIAN"</f>
        <v>GUARDIAN</v>
      </c>
      <c r="I2431" s="2">
        <v>136.94999999999999</v>
      </c>
      <c r="J2431" t="str">
        <f t="shared" si="30"/>
        <v>GUARDIAN</v>
      </c>
    </row>
    <row r="2432" spans="1:10" x14ac:dyDescent="0.3">
      <c r="A2432" t="str">
        <f>""</f>
        <v/>
      </c>
      <c r="G2432" t="str">
        <f>""</f>
        <v/>
      </c>
      <c r="H2432" t="str">
        <f>""</f>
        <v/>
      </c>
      <c r="J2432" t="str">
        <f t="shared" si="30"/>
        <v>GUARDIAN</v>
      </c>
    </row>
    <row r="2433" spans="1:10" x14ac:dyDescent="0.3">
      <c r="A2433" t="str">
        <f>""</f>
        <v/>
      </c>
      <c r="G2433" t="str">
        <f>""</f>
        <v/>
      </c>
      <c r="H2433" t="str">
        <f>""</f>
        <v/>
      </c>
      <c r="J2433" t="str">
        <f t="shared" si="30"/>
        <v>GUARDIAN</v>
      </c>
    </row>
    <row r="2434" spans="1:10" x14ac:dyDescent="0.3">
      <c r="A2434" t="str">
        <f>""</f>
        <v/>
      </c>
      <c r="G2434" t="str">
        <f>""</f>
        <v/>
      </c>
      <c r="H2434" t="str">
        <f>""</f>
        <v/>
      </c>
      <c r="J2434" t="str">
        <f t="shared" si="30"/>
        <v>GUARDIAN</v>
      </c>
    </row>
    <row r="2435" spans="1:10" x14ac:dyDescent="0.3">
      <c r="A2435" t="str">
        <f>""</f>
        <v/>
      </c>
      <c r="G2435" t="str">
        <f>""</f>
        <v/>
      </c>
      <c r="H2435" t="str">
        <f>""</f>
        <v/>
      </c>
      <c r="J2435" t="str">
        <f t="shared" si="30"/>
        <v>GUARDIAN</v>
      </c>
    </row>
    <row r="2436" spans="1:10" x14ac:dyDescent="0.3">
      <c r="A2436" t="str">
        <f>""</f>
        <v/>
      </c>
      <c r="G2436" t="str">
        <f>""</f>
        <v/>
      </c>
      <c r="H2436" t="str">
        <f>""</f>
        <v/>
      </c>
      <c r="J2436" t="str">
        <f t="shared" si="30"/>
        <v>GUARDIAN</v>
      </c>
    </row>
    <row r="2437" spans="1:10" x14ac:dyDescent="0.3">
      <c r="A2437" t="str">
        <f>""</f>
        <v/>
      </c>
      <c r="G2437" t="str">
        <f>""</f>
        <v/>
      </c>
      <c r="H2437" t="str">
        <f>""</f>
        <v/>
      </c>
      <c r="J2437" t="str">
        <f t="shared" si="30"/>
        <v>GUARDIAN</v>
      </c>
    </row>
    <row r="2438" spans="1:10" x14ac:dyDescent="0.3">
      <c r="A2438" t="str">
        <f>""</f>
        <v/>
      </c>
      <c r="G2438" t="str">
        <f>""</f>
        <v/>
      </c>
      <c r="H2438" t="str">
        <f>""</f>
        <v/>
      </c>
      <c r="J2438" t="str">
        <f t="shared" si="30"/>
        <v>GUARDIAN</v>
      </c>
    </row>
    <row r="2439" spans="1:10" x14ac:dyDescent="0.3">
      <c r="A2439" t="str">
        <f>""</f>
        <v/>
      </c>
      <c r="G2439" t="str">
        <f>""</f>
        <v/>
      </c>
      <c r="H2439" t="str">
        <f>""</f>
        <v/>
      </c>
      <c r="J2439" t="str">
        <f t="shared" si="30"/>
        <v>GUARDIAN</v>
      </c>
    </row>
    <row r="2440" spans="1:10" x14ac:dyDescent="0.3">
      <c r="A2440" t="str">
        <f>""</f>
        <v/>
      </c>
      <c r="G2440" t="str">
        <f>""</f>
        <v/>
      </c>
      <c r="H2440" t="str">
        <f>""</f>
        <v/>
      </c>
      <c r="J2440" t="str">
        <f t="shared" ref="J2440:J2471" si="31">"GUARDIAN"</f>
        <v>GUARDIAN</v>
      </c>
    </row>
    <row r="2441" spans="1:10" x14ac:dyDescent="0.3">
      <c r="A2441" t="str">
        <f>""</f>
        <v/>
      </c>
      <c r="G2441" t="str">
        <f>""</f>
        <v/>
      </c>
      <c r="H2441" t="str">
        <f>""</f>
        <v/>
      </c>
      <c r="J2441" t="str">
        <f t="shared" si="31"/>
        <v>GUARDIAN</v>
      </c>
    </row>
    <row r="2442" spans="1:10" x14ac:dyDescent="0.3">
      <c r="A2442" t="str">
        <f>""</f>
        <v/>
      </c>
      <c r="G2442" t="str">
        <f>""</f>
        <v/>
      </c>
      <c r="H2442" t="str">
        <f>""</f>
        <v/>
      </c>
      <c r="J2442" t="str">
        <f t="shared" si="31"/>
        <v>GUARDIAN</v>
      </c>
    </row>
    <row r="2443" spans="1:10" x14ac:dyDescent="0.3">
      <c r="A2443" t="str">
        <f>""</f>
        <v/>
      </c>
      <c r="G2443" t="str">
        <f>""</f>
        <v/>
      </c>
      <c r="H2443" t="str">
        <f>""</f>
        <v/>
      </c>
      <c r="J2443" t="str">
        <f t="shared" si="31"/>
        <v>GUARDIAN</v>
      </c>
    </row>
    <row r="2444" spans="1:10" x14ac:dyDescent="0.3">
      <c r="A2444" t="str">
        <f>""</f>
        <v/>
      </c>
      <c r="G2444" t="str">
        <f>""</f>
        <v/>
      </c>
      <c r="H2444" t="str">
        <f>""</f>
        <v/>
      </c>
      <c r="J2444" t="str">
        <f t="shared" si="31"/>
        <v>GUARDIAN</v>
      </c>
    </row>
    <row r="2445" spans="1:10" x14ac:dyDescent="0.3">
      <c r="A2445" t="str">
        <f>""</f>
        <v/>
      </c>
      <c r="G2445" t="str">
        <f>""</f>
        <v/>
      </c>
      <c r="H2445" t="str">
        <f>""</f>
        <v/>
      </c>
      <c r="J2445" t="str">
        <f t="shared" si="31"/>
        <v>GUARDIAN</v>
      </c>
    </row>
    <row r="2446" spans="1:10" x14ac:dyDescent="0.3">
      <c r="A2446" t="str">
        <f>""</f>
        <v/>
      </c>
      <c r="G2446" t="str">
        <f>""</f>
        <v/>
      </c>
      <c r="H2446" t="str">
        <f>""</f>
        <v/>
      </c>
      <c r="J2446" t="str">
        <f t="shared" si="31"/>
        <v>GUARDIAN</v>
      </c>
    </row>
    <row r="2447" spans="1:10" x14ac:dyDescent="0.3">
      <c r="A2447" t="str">
        <f>""</f>
        <v/>
      </c>
      <c r="G2447" t="str">
        <f>""</f>
        <v/>
      </c>
      <c r="H2447" t="str">
        <f>""</f>
        <v/>
      </c>
      <c r="J2447" t="str">
        <f t="shared" si="31"/>
        <v>GUARDIAN</v>
      </c>
    </row>
    <row r="2448" spans="1:10" x14ac:dyDescent="0.3">
      <c r="A2448" t="str">
        <f>""</f>
        <v/>
      </c>
      <c r="G2448" t="str">
        <f>""</f>
        <v/>
      </c>
      <c r="H2448" t="str">
        <f>""</f>
        <v/>
      </c>
      <c r="J2448" t="str">
        <f t="shared" si="31"/>
        <v>GUARDIAN</v>
      </c>
    </row>
    <row r="2449" spans="1:10" x14ac:dyDescent="0.3">
      <c r="A2449" t="str">
        <f>""</f>
        <v/>
      </c>
      <c r="G2449" t="str">
        <f>""</f>
        <v/>
      </c>
      <c r="H2449" t="str">
        <f>""</f>
        <v/>
      </c>
      <c r="J2449" t="str">
        <f t="shared" si="31"/>
        <v>GUARDIAN</v>
      </c>
    </row>
    <row r="2450" spans="1:10" x14ac:dyDescent="0.3">
      <c r="A2450" t="str">
        <f>""</f>
        <v/>
      </c>
      <c r="G2450" t="str">
        <f>""</f>
        <v/>
      </c>
      <c r="H2450" t="str">
        <f>""</f>
        <v/>
      </c>
      <c r="J2450" t="str">
        <f t="shared" si="31"/>
        <v>GUARDIAN</v>
      </c>
    </row>
    <row r="2451" spans="1:10" x14ac:dyDescent="0.3">
      <c r="A2451" t="str">
        <f>""</f>
        <v/>
      </c>
      <c r="G2451" t="str">
        <f>""</f>
        <v/>
      </c>
      <c r="H2451" t="str">
        <f>""</f>
        <v/>
      </c>
      <c r="J2451" t="str">
        <f t="shared" si="31"/>
        <v>GUARDIAN</v>
      </c>
    </row>
    <row r="2452" spans="1:10" x14ac:dyDescent="0.3">
      <c r="A2452" t="str">
        <f>""</f>
        <v/>
      </c>
      <c r="G2452" t="str">
        <f>""</f>
        <v/>
      </c>
      <c r="H2452" t="str">
        <f>""</f>
        <v/>
      </c>
      <c r="J2452" t="str">
        <f t="shared" si="31"/>
        <v>GUARDIAN</v>
      </c>
    </row>
    <row r="2453" spans="1:10" x14ac:dyDescent="0.3">
      <c r="A2453" t="str">
        <f>""</f>
        <v/>
      </c>
      <c r="G2453" t="str">
        <f>""</f>
        <v/>
      </c>
      <c r="H2453" t="str">
        <f>""</f>
        <v/>
      </c>
      <c r="J2453" t="str">
        <f t="shared" si="31"/>
        <v>GUARDIAN</v>
      </c>
    </row>
    <row r="2454" spans="1:10" x14ac:dyDescent="0.3">
      <c r="A2454" t="str">
        <f>""</f>
        <v/>
      </c>
      <c r="F2454" t="s">
        <v>10</v>
      </c>
      <c r="G2454" t="str">
        <f>"LIC201705312317"</f>
        <v>LIC201705312317</v>
      </c>
      <c r="H2454" t="str">
        <f>"GUARDIAN"</f>
        <v>GUARDIAN</v>
      </c>
      <c r="I2454" s="2">
        <v>38.450000000000003</v>
      </c>
      <c r="J2454" t="str">
        <f t="shared" si="31"/>
        <v>GUARDIAN</v>
      </c>
    </row>
    <row r="2455" spans="1:10" x14ac:dyDescent="0.3">
      <c r="A2455" t="str">
        <f>""</f>
        <v/>
      </c>
      <c r="F2455" t="s">
        <v>10</v>
      </c>
      <c r="G2455" t="str">
        <f>"LIC201705312318"</f>
        <v>LIC201705312318</v>
      </c>
      <c r="H2455" t="str">
        <f>"GUARDIAN"</f>
        <v>GUARDIAN</v>
      </c>
      <c r="I2455" s="2">
        <v>1.05</v>
      </c>
      <c r="J2455" t="str">
        <f t="shared" si="31"/>
        <v>GUARDIAN</v>
      </c>
    </row>
    <row r="2456" spans="1:10" x14ac:dyDescent="0.3">
      <c r="A2456" t="str">
        <f>""</f>
        <v/>
      </c>
      <c r="F2456" t="s">
        <v>10</v>
      </c>
      <c r="G2456" t="str">
        <f>"LIC201706143096"</f>
        <v>LIC201706143096</v>
      </c>
      <c r="H2456" t="str">
        <f>"GUARDIAN"</f>
        <v>GUARDIAN</v>
      </c>
      <c r="I2456" s="2">
        <v>38.450000000000003</v>
      </c>
      <c r="J2456" t="str">
        <f t="shared" si="31"/>
        <v>GUARDIAN</v>
      </c>
    </row>
    <row r="2457" spans="1:10" x14ac:dyDescent="0.3">
      <c r="A2457" t="str">
        <f>""</f>
        <v/>
      </c>
      <c r="F2457" t="s">
        <v>10</v>
      </c>
      <c r="G2457" t="str">
        <f>"LIC201706143098"</f>
        <v>LIC201706143098</v>
      </c>
      <c r="H2457" t="str">
        <f>"GUARDIAN"</f>
        <v>GUARDIAN</v>
      </c>
      <c r="I2457" s="2">
        <v>1.05</v>
      </c>
      <c r="J2457" t="str">
        <f t="shared" si="31"/>
        <v>GUARDIAN</v>
      </c>
    </row>
    <row r="2458" spans="1:10" x14ac:dyDescent="0.3">
      <c r="A2458" t="str">
        <f>""</f>
        <v/>
      </c>
      <c r="F2458" t="s">
        <v>10</v>
      </c>
      <c r="G2458" t="str">
        <f>"LIE201705312317"</f>
        <v>LIE201705312317</v>
      </c>
      <c r="H2458" t="str">
        <f>"GUARDIAN"</f>
        <v>GUARDIAN</v>
      </c>
      <c r="I2458" s="2">
        <v>3096.45</v>
      </c>
      <c r="J2458" t="str">
        <f t="shared" si="31"/>
        <v>GUARDIAN</v>
      </c>
    </row>
    <row r="2459" spans="1:10" x14ac:dyDescent="0.3">
      <c r="A2459" t="str">
        <f>""</f>
        <v/>
      </c>
      <c r="G2459" t="str">
        <f>""</f>
        <v/>
      </c>
      <c r="H2459" t="str">
        <f>""</f>
        <v/>
      </c>
      <c r="J2459" t="str">
        <f t="shared" si="31"/>
        <v>GUARDIAN</v>
      </c>
    </row>
    <row r="2460" spans="1:10" x14ac:dyDescent="0.3">
      <c r="A2460" t="str">
        <f>""</f>
        <v/>
      </c>
      <c r="G2460" t="str">
        <f>""</f>
        <v/>
      </c>
      <c r="H2460" t="str">
        <f>""</f>
        <v/>
      </c>
      <c r="J2460" t="str">
        <f t="shared" si="31"/>
        <v>GUARDIAN</v>
      </c>
    </row>
    <row r="2461" spans="1:10" x14ac:dyDescent="0.3">
      <c r="A2461" t="str">
        <f>""</f>
        <v/>
      </c>
      <c r="G2461" t="str">
        <f>""</f>
        <v/>
      </c>
      <c r="H2461" t="str">
        <f>""</f>
        <v/>
      </c>
      <c r="J2461" t="str">
        <f t="shared" si="31"/>
        <v>GUARDIAN</v>
      </c>
    </row>
    <row r="2462" spans="1:10" x14ac:dyDescent="0.3">
      <c r="A2462" t="str">
        <f>""</f>
        <v/>
      </c>
      <c r="G2462" t="str">
        <f>""</f>
        <v/>
      </c>
      <c r="H2462" t="str">
        <f>""</f>
        <v/>
      </c>
      <c r="J2462" t="str">
        <f t="shared" si="31"/>
        <v>GUARDIAN</v>
      </c>
    </row>
    <row r="2463" spans="1:10" x14ac:dyDescent="0.3">
      <c r="A2463" t="str">
        <f>""</f>
        <v/>
      </c>
      <c r="G2463" t="str">
        <f>""</f>
        <v/>
      </c>
      <c r="H2463" t="str">
        <f>""</f>
        <v/>
      </c>
      <c r="J2463" t="str">
        <f t="shared" si="31"/>
        <v>GUARDIAN</v>
      </c>
    </row>
    <row r="2464" spans="1:10" x14ac:dyDescent="0.3">
      <c r="A2464" t="str">
        <f>""</f>
        <v/>
      </c>
      <c r="G2464" t="str">
        <f>""</f>
        <v/>
      </c>
      <c r="H2464" t="str">
        <f>""</f>
        <v/>
      </c>
      <c r="J2464" t="str">
        <f t="shared" si="31"/>
        <v>GUARDIAN</v>
      </c>
    </row>
    <row r="2465" spans="1:10" x14ac:dyDescent="0.3">
      <c r="A2465" t="str">
        <f>""</f>
        <v/>
      </c>
      <c r="G2465" t="str">
        <f>""</f>
        <v/>
      </c>
      <c r="H2465" t="str">
        <f>""</f>
        <v/>
      </c>
      <c r="J2465" t="str">
        <f t="shared" si="31"/>
        <v>GUARDIAN</v>
      </c>
    </row>
    <row r="2466" spans="1:10" x14ac:dyDescent="0.3">
      <c r="A2466" t="str">
        <f>""</f>
        <v/>
      </c>
      <c r="G2466" t="str">
        <f>""</f>
        <v/>
      </c>
      <c r="H2466" t="str">
        <f>""</f>
        <v/>
      </c>
      <c r="J2466" t="str">
        <f t="shared" si="31"/>
        <v>GUARDIAN</v>
      </c>
    </row>
    <row r="2467" spans="1:10" x14ac:dyDescent="0.3">
      <c r="A2467" t="str">
        <f>""</f>
        <v/>
      </c>
      <c r="G2467" t="str">
        <f>""</f>
        <v/>
      </c>
      <c r="H2467" t="str">
        <f>""</f>
        <v/>
      </c>
      <c r="J2467" t="str">
        <f t="shared" si="31"/>
        <v>GUARDIAN</v>
      </c>
    </row>
    <row r="2468" spans="1:10" x14ac:dyDescent="0.3">
      <c r="A2468" t="str">
        <f>""</f>
        <v/>
      </c>
      <c r="G2468" t="str">
        <f>""</f>
        <v/>
      </c>
      <c r="H2468" t="str">
        <f>""</f>
        <v/>
      </c>
      <c r="J2468" t="str">
        <f t="shared" si="31"/>
        <v>GUARDIAN</v>
      </c>
    </row>
    <row r="2469" spans="1:10" x14ac:dyDescent="0.3">
      <c r="A2469" t="str">
        <f>""</f>
        <v/>
      </c>
      <c r="G2469" t="str">
        <f>""</f>
        <v/>
      </c>
      <c r="H2469" t="str">
        <f>""</f>
        <v/>
      </c>
      <c r="J2469" t="str">
        <f t="shared" si="31"/>
        <v>GUARDIAN</v>
      </c>
    </row>
    <row r="2470" spans="1:10" x14ac:dyDescent="0.3">
      <c r="A2470" t="str">
        <f>""</f>
        <v/>
      </c>
      <c r="G2470" t="str">
        <f>""</f>
        <v/>
      </c>
      <c r="H2470" t="str">
        <f>""</f>
        <v/>
      </c>
      <c r="J2470" t="str">
        <f t="shared" si="31"/>
        <v>GUARDIAN</v>
      </c>
    </row>
    <row r="2471" spans="1:10" x14ac:dyDescent="0.3">
      <c r="A2471" t="str">
        <f>""</f>
        <v/>
      </c>
      <c r="G2471" t="str">
        <f>""</f>
        <v/>
      </c>
      <c r="H2471" t="str">
        <f>""</f>
        <v/>
      </c>
      <c r="J2471" t="str">
        <f t="shared" si="31"/>
        <v>GUARDIAN</v>
      </c>
    </row>
    <row r="2472" spans="1:10" x14ac:dyDescent="0.3">
      <c r="A2472" t="str">
        <f>""</f>
        <v/>
      </c>
      <c r="G2472" t="str">
        <f>""</f>
        <v/>
      </c>
      <c r="H2472" t="str">
        <f>""</f>
        <v/>
      </c>
      <c r="J2472" t="str">
        <f t="shared" ref="J2472:J2503" si="32">"GUARDIAN"</f>
        <v>GUARDIAN</v>
      </c>
    </row>
    <row r="2473" spans="1:10" x14ac:dyDescent="0.3">
      <c r="A2473" t="str">
        <f>""</f>
        <v/>
      </c>
      <c r="G2473" t="str">
        <f>""</f>
        <v/>
      </c>
      <c r="H2473" t="str">
        <f>""</f>
        <v/>
      </c>
      <c r="J2473" t="str">
        <f t="shared" si="32"/>
        <v>GUARDIAN</v>
      </c>
    </row>
    <row r="2474" spans="1:10" x14ac:dyDescent="0.3">
      <c r="A2474" t="str">
        <f>""</f>
        <v/>
      </c>
      <c r="G2474" t="str">
        <f>""</f>
        <v/>
      </c>
      <c r="H2474" t="str">
        <f>""</f>
        <v/>
      </c>
      <c r="J2474" t="str">
        <f t="shared" si="32"/>
        <v>GUARDIAN</v>
      </c>
    </row>
    <row r="2475" spans="1:10" x14ac:dyDescent="0.3">
      <c r="A2475" t="str">
        <f>""</f>
        <v/>
      </c>
      <c r="G2475" t="str">
        <f>""</f>
        <v/>
      </c>
      <c r="H2475" t="str">
        <f>""</f>
        <v/>
      </c>
      <c r="J2475" t="str">
        <f t="shared" si="32"/>
        <v>GUARDIAN</v>
      </c>
    </row>
    <row r="2476" spans="1:10" x14ac:dyDescent="0.3">
      <c r="A2476" t="str">
        <f>""</f>
        <v/>
      </c>
      <c r="G2476" t="str">
        <f>""</f>
        <v/>
      </c>
      <c r="H2476" t="str">
        <f>""</f>
        <v/>
      </c>
      <c r="J2476" t="str">
        <f t="shared" si="32"/>
        <v>GUARDIAN</v>
      </c>
    </row>
    <row r="2477" spans="1:10" x14ac:dyDescent="0.3">
      <c r="A2477" t="str">
        <f>""</f>
        <v/>
      </c>
      <c r="G2477" t="str">
        <f>""</f>
        <v/>
      </c>
      <c r="H2477" t="str">
        <f>""</f>
        <v/>
      </c>
      <c r="J2477" t="str">
        <f t="shared" si="32"/>
        <v>GUARDIAN</v>
      </c>
    </row>
    <row r="2478" spans="1:10" x14ac:dyDescent="0.3">
      <c r="A2478" t="str">
        <f>""</f>
        <v/>
      </c>
      <c r="G2478" t="str">
        <f>""</f>
        <v/>
      </c>
      <c r="H2478" t="str">
        <f>""</f>
        <v/>
      </c>
      <c r="J2478" t="str">
        <f t="shared" si="32"/>
        <v>GUARDIAN</v>
      </c>
    </row>
    <row r="2479" spans="1:10" x14ac:dyDescent="0.3">
      <c r="A2479" t="str">
        <f>""</f>
        <v/>
      </c>
      <c r="G2479" t="str">
        <f>""</f>
        <v/>
      </c>
      <c r="H2479" t="str">
        <f>""</f>
        <v/>
      </c>
      <c r="J2479" t="str">
        <f t="shared" si="32"/>
        <v>GUARDIAN</v>
      </c>
    </row>
    <row r="2480" spans="1:10" x14ac:dyDescent="0.3">
      <c r="A2480" t="str">
        <f>""</f>
        <v/>
      </c>
      <c r="G2480" t="str">
        <f>""</f>
        <v/>
      </c>
      <c r="H2480" t="str">
        <f>""</f>
        <v/>
      </c>
      <c r="J2480" t="str">
        <f t="shared" si="32"/>
        <v>GUARDIAN</v>
      </c>
    </row>
    <row r="2481" spans="1:10" x14ac:dyDescent="0.3">
      <c r="A2481" t="str">
        <f>""</f>
        <v/>
      </c>
      <c r="G2481" t="str">
        <f>""</f>
        <v/>
      </c>
      <c r="H2481" t="str">
        <f>""</f>
        <v/>
      </c>
      <c r="J2481" t="str">
        <f t="shared" si="32"/>
        <v>GUARDIAN</v>
      </c>
    </row>
    <row r="2482" spans="1:10" x14ac:dyDescent="0.3">
      <c r="A2482" t="str">
        <f>""</f>
        <v/>
      </c>
      <c r="G2482" t="str">
        <f>""</f>
        <v/>
      </c>
      <c r="H2482" t="str">
        <f>""</f>
        <v/>
      </c>
      <c r="J2482" t="str">
        <f t="shared" si="32"/>
        <v>GUARDIAN</v>
      </c>
    </row>
    <row r="2483" spans="1:10" x14ac:dyDescent="0.3">
      <c r="A2483" t="str">
        <f>""</f>
        <v/>
      </c>
      <c r="G2483" t="str">
        <f>""</f>
        <v/>
      </c>
      <c r="H2483" t="str">
        <f>""</f>
        <v/>
      </c>
      <c r="J2483" t="str">
        <f t="shared" si="32"/>
        <v>GUARDIAN</v>
      </c>
    </row>
    <row r="2484" spans="1:10" x14ac:dyDescent="0.3">
      <c r="A2484" t="str">
        <f>""</f>
        <v/>
      </c>
      <c r="G2484" t="str">
        <f>""</f>
        <v/>
      </c>
      <c r="H2484" t="str">
        <f>""</f>
        <v/>
      </c>
      <c r="J2484" t="str">
        <f t="shared" si="32"/>
        <v>GUARDIAN</v>
      </c>
    </row>
    <row r="2485" spans="1:10" x14ac:dyDescent="0.3">
      <c r="A2485" t="str">
        <f>""</f>
        <v/>
      </c>
      <c r="G2485" t="str">
        <f>""</f>
        <v/>
      </c>
      <c r="H2485" t="str">
        <f>""</f>
        <v/>
      </c>
      <c r="J2485" t="str">
        <f t="shared" si="32"/>
        <v>GUARDIAN</v>
      </c>
    </row>
    <row r="2486" spans="1:10" x14ac:dyDescent="0.3">
      <c r="A2486" t="str">
        <f>""</f>
        <v/>
      </c>
      <c r="G2486" t="str">
        <f>""</f>
        <v/>
      </c>
      <c r="H2486" t="str">
        <f>""</f>
        <v/>
      </c>
      <c r="J2486" t="str">
        <f t="shared" si="32"/>
        <v>GUARDIAN</v>
      </c>
    </row>
    <row r="2487" spans="1:10" x14ac:dyDescent="0.3">
      <c r="A2487" t="str">
        <f>""</f>
        <v/>
      </c>
      <c r="G2487" t="str">
        <f>""</f>
        <v/>
      </c>
      <c r="H2487" t="str">
        <f>""</f>
        <v/>
      </c>
      <c r="J2487" t="str">
        <f t="shared" si="32"/>
        <v>GUARDIAN</v>
      </c>
    </row>
    <row r="2488" spans="1:10" x14ac:dyDescent="0.3">
      <c r="A2488" t="str">
        <f>""</f>
        <v/>
      </c>
      <c r="G2488" t="str">
        <f>""</f>
        <v/>
      </c>
      <c r="H2488" t="str">
        <f>""</f>
        <v/>
      </c>
      <c r="J2488" t="str">
        <f t="shared" si="32"/>
        <v>GUARDIAN</v>
      </c>
    </row>
    <row r="2489" spans="1:10" x14ac:dyDescent="0.3">
      <c r="A2489" t="str">
        <f>""</f>
        <v/>
      </c>
      <c r="G2489" t="str">
        <f>""</f>
        <v/>
      </c>
      <c r="H2489" t="str">
        <f>""</f>
        <v/>
      </c>
      <c r="J2489" t="str">
        <f t="shared" si="32"/>
        <v>GUARDIAN</v>
      </c>
    </row>
    <row r="2490" spans="1:10" x14ac:dyDescent="0.3">
      <c r="A2490" t="str">
        <f>""</f>
        <v/>
      </c>
      <c r="G2490" t="str">
        <f>""</f>
        <v/>
      </c>
      <c r="H2490" t="str">
        <f>""</f>
        <v/>
      </c>
      <c r="J2490" t="str">
        <f t="shared" si="32"/>
        <v>GUARDIAN</v>
      </c>
    </row>
    <row r="2491" spans="1:10" x14ac:dyDescent="0.3">
      <c r="A2491" t="str">
        <f>""</f>
        <v/>
      </c>
      <c r="G2491" t="str">
        <f>""</f>
        <v/>
      </c>
      <c r="H2491" t="str">
        <f>""</f>
        <v/>
      </c>
      <c r="J2491" t="str">
        <f t="shared" si="32"/>
        <v>GUARDIAN</v>
      </c>
    </row>
    <row r="2492" spans="1:10" x14ac:dyDescent="0.3">
      <c r="A2492" t="str">
        <f>""</f>
        <v/>
      </c>
      <c r="G2492" t="str">
        <f>""</f>
        <v/>
      </c>
      <c r="H2492" t="str">
        <f>""</f>
        <v/>
      </c>
      <c r="J2492" t="str">
        <f t="shared" si="32"/>
        <v>GUARDIAN</v>
      </c>
    </row>
    <row r="2493" spans="1:10" x14ac:dyDescent="0.3">
      <c r="A2493" t="str">
        <f>""</f>
        <v/>
      </c>
      <c r="G2493" t="str">
        <f>""</f>
        <v/>
      </c>
      <c r="H2493" t="str">
        <f>""</f>
        <v/>
      </c>
      <c r="J2493" t="str">
        <f t="shared" si="32"/>
        <v>GUARDIAN</v>
      </c>
    </row>
    <row r="2494" spans="1:10" x14ac:dyDescent="0.3">
      <c r="A2494" t="str">
        <f>""</f>
        <v/>
      </c>
      <c r="G2494" t="str">
        <f>""</f>
        <v/>
      </c>
      <c r="H2494" t="str">
        <f>""</f>
        <v/>
      </c>
      <c r="J2494" t="str">
        <f t="shared" si="32"/>
        <v>GUARDIAN</v>
      </c>
    </row>
    <row r="2495" spans="1:10" x14ac:dyDescent="0.3">
      <c r="A2495" t="str">
        <f>""</f>
        <v/>
      </c>
      <c r="G2495" t="str">
        <f>""</f>
        <v/>
      </c>
      <c r="H2495" t="str">
        <f>""</f>
        <v/>
      </c>
      <c r="J2495" t="str">
        <f t="shared" si="32"/>
        <v>GUARDIAN</v>
      </c>
    </row>
    <row r="2496" spans="1:10" x14ac:dyDescent="0.3">
      <c r="A2496" t="str">
        <f>""</f>
        <v/>
      </c>
      <c r="G2496" t="str">
        <f>""</f>
        <v/>
      </c>
      <c r="H2496" t="str">
        <f>""</f>
        <v/>
      </c>
      <c r="J2496" t="str">
        <f t="shared" si="32"/>
        <v>GUARDIAN</v>
      </c>
    </row>
    <row r="2497" spans="1:10" x14ac:dyDescent="0.3">
      <c r="A2497" t="str">
        <f>""</f>
        <v/>
      </c>
      <c r="G2497" t="str">
        <f>""</f>
        <v/>
      </c>
      <c r="H2497" t="str">
        <f>""</f>
        <v/>
      </c>
      <c r="J2497" t="str">
        <f t="shared" si="32"/>
        <v>GUARDIAN</v>
      </c>
    </row>
    <row r="2498" spans="1:10" x14ac:dyDescent="0.3">
      <c r="A2498" t="str">
        <f>""</f>
        <v/>
      </c>
      <c r="G2498" t="str">
        <f>""</f>
        <v/>
      </c>
      <c r="H2498" t="str">
        <f>""</f>
        <v/>
      </c>
      <c r="J2498" t="str">
        <f t="shared" si="32"/>
        <v>GUARDIAN</v>
      </c>
    </row>
    <row r="2499" spans="1:10" x14ac:dyDescent="0.3">
      <c r="A2499" t="str">
        <f>""</f>
        <v/>
      </c>
      <c r="G2499" t="str">
        <f>""</f>
        <v/>
      </c>
      <c r="H2499" t="str">
        <f>""</f>
        <v/>
      </c>
      <c r="J2499" t="str">
        <f t="shared" si="32"/>
        <v>GUARDIAN</v>
      </c>
    </row>
    <row r="2500" spans="1:10" x14ac:dyDescent="0.3">
      <c r="A2500" t="str">
        <f>""</f>
        <v/>
      </c>
      <c r="G2500" t="str">
        <f>""</f>
        <v/>
      </c>
      <c r="H2500" t="str">
        <f>""</f>
        <v/>
      </c>
      <c r="J2500" t="str">
        <f t="shared" si="32"/>
        <v>GUARDIAN</v>
      </c>
    </row>
    <row r="2501" spans="1:10" x14ac:dyDescent="0.3">
      <c r="A2501" t="str">
        <f>""</f>
        <v/>
      </c>
      <c r="G2501" t="str">
        <f>""</f>
        <v/>
      </c>
      <c r="H2501" t="str">
        <f>""</f>
        <v/>
      </c>
      <c r="J2501" t="str">
        <f t="shared" si="32"/>
        <v>GUARDIAN</v>
      </c>
    </row>
    <row r="2502" spans="1:10" x14ac:dyDescent="0.3">
      <c r="A2502" t="str">
        <f>""</f>
        <v/>
      </c>
      <c r="G2502" t="str">
        <f>""</f>
        <v/>
      </c>
      <c r="H2502" t="str">
        <f>""</f>
        <v/>
      </c>
      <c r="J2502" t="str">
        <f t="shared" si="32"/>
        <v>GUARDIAN</v>
      </c>
    </row>
    <row r="2503" spans="1:10" x14ac:dyDescent="0.3">
      <c r="A2503" t="str">
        <f>""</f>
        <v/>
      </c>
      <c r="G2503" t="str">
        <f>""</f>
        <v/>
      </c>
      <c r="H2503" t="str">
        <f>""</f>
        <v/>
      </c>
      <c r="J2503" t="str">
        <f t="shared" si="32"/>
        <v>GUARDIAN</v>
      </c>
    </row>
    <row r="2504" spans="1:10" x14ac:dyDescent="0.3">
      <c r="A2504" t="str">
        <f>""</f>
        <v/>
      </c>
      <c r="G2504" t="str">
        <f>""</f>
        <v/>
      </c>
      <c r="H2504" t="str">
        <f>""</f>
        <v/>
      </c>
      <c r="J2504" t="str">
        <f t="shared" ref="J2504:J2535" si="33">"GUARDIAN"</f>
        <v>GUARDIAN</v>
      </c>
    </row>
    <row r="2505" spans="1:10" x14ac:dyDescent="0.3">
      <c r="A2505" t="str">
        <f>""</f>
        <v/>
      </c>
      <c r="G2505" t="str">
        <f>""</f>
        <v/>
      </c>
      <c r="H2505" t="str">
        <f>""</f>
        <v/>
      </c>
      <c r="J2505" t="str">
        <f t="shared" si="33"/>
        <v>GUARDIAN</v>
      </c>
    </row>
    <row r="2506" spans="1:10" x14ac:dyDescent="0.3">
      <c r="A2506" t="str">
        <f>""</f>
        <v/>
      </c>
      <c r="G2506" t="str">
        <f>""</f>
        <v/>
      </c>
      <c r="H2506" t="str">
        <f>""</f>
        <v/>
      </c>
      <c r="J2506" t="str">
        <f t="shared" si="33"/>
        <v>GUARDIAN</v>
      </c>
    </row>
    <row r="2507" spans="1:10" x14ac:dyDescent="0.3">
      <c r="A2507" t="str">
        <f>""</f>
        <v/>
      </c>
      <c r="G2507" t="str">
        <f>""</f>
        <v/>
      </c>
      <c r="H2507" t="str">
        <f>""</f>
        <v/>
      </c>
      <c r="J2507" t="str">
        <f t="shared" si="33"/>
        <v>GUARDIAN</v>
      </c>
    </row>
    <row r="2508" spans="1:10" x14ac:dyDescent="0.3">
      <c r="A2508" t="str">
        <f>""</f>
        <v/>
      </c>
      <c r="F2508" t="s">
        <v>10</v>
      </c>
      <c r="G2508" t="str">
        <f>"LIE201705312318"</f>
        <v>LIE201705312318</v>
      </c>
      <c r="H2508" t="str">
        <f>"GUARDIAN"</f>
        <v>GUARDIAN</v>
      </c>
      <c r="I2508" s="2">
        <v>134.1</v>
      </c>
      <c r="J2508" t="str">
        <f t="shared" si="33"/>
        <v>GUARDIAN</v>
      </c>
    </row>
    <row r="2509" spans="1:10" x14ac:dyDescent="0.3">
      <c r="A2509" t="str">
        <f>""</f>
        <v/>
      </c>
      <c r="G2509" t="str">
        <f>""</f>
        <v/>
      </c>
      <c r="H2509" t="str">
        <f>""</f>
        <v/>
      </c>
      <c r="J2509" t="str">
        <f t="shared" si="33"/>
        <v>GUARDIAN</v>
      </c>
    </row>
    <row r="2510" spans="1:10" x14ac:dyDescent="0.3">
      <c r="A2510" t="str">
        <f>""</f>
        <v/>
      </c>
      <c r="F2510" t="s">
        <v>10</v>
      </c>
      <c r="G2510" t="str">
        <f>"LIE201706143096"</f>
        <v>LIE201706143096</v>
      </c>
      <c r="H2510" t="str">
        <f>"GUARDIAN"</f>
        <v>GUARDIAN</v>
      </c>
      <c r="I2510" s="2">
        <v>3096.45</v>
      </c>
      <c r="J2510" t="str">
        <f t="shared" si="33"/>
        <v>GUARDIAN</v>
      </c>
    </row>
    <row r="2511" spans="1:10" x14ac:dyDescent="0.3">
      <c r="A2511" t="str">
        <f>""</f>
        <v/>
      </c>
      <c r="G2511" t="str">
        <f>""</f>
        <v/>
      </c>
      <c r="H2511" t="str">
        <f>""</f>
        <v/>
      </c>
      <c r="J2511" t="str">
        <f t="shared" si="33"/>
        <v>GUARDIAN</v>
      </c>
    </row>
    <row r="2512" spans="1:10" x14ac:dyDescent="0.3">
      <c r="A2512" t="str">
        <f>""</f>
        <v/>
      </c>
      <c r="G2512" t="str">
        <f>""</f>
        <v/>
      </c>
      <c r="H2512" t="str">
        <f>""</f>
        <v/>
      </c>
      <c r="J2512" t="str">
        <f t="shared" si="33"/>
        <v>GUARDIAN</v>
      </c>
    </row>
    <row r="2513" spans="1:10" x14ac:dyDescent="0.3">
      <c r="A2513" t="str">
        <f>""</f>
        <v/>
      </c>
      <c r="G2513" t="str">
        <f>""</f>
        <v/>
      </c>
      <c r="H2513" t="str">
        <f>""</f>
        <v/>
      </c>
      <c r="J2513" t="str">
        <f t="shared" si="33"/>
        <v>GUARDIAN</v>
      </c>
    </row>
    <row r="2514" spans="1:10" x14ac:dyDescent="0.3">
      <c r="A2514" t="str">
        <f>""</f>
        <v/>
      </c>
      <c r="G2514" t="str">
        <f>""</f>
        <v/>
      </c>
      <c r="H2514" t="str">
        <f>""</f>
        <v/>
      </c>
      <c r="J2514" t="str">
        <f t="shared" si="33"/>
        <v>GUARDIAN</v>
      </c>
    </row>
    <row r="2515" spans="1:10" x14ac:dyDescent="0.3">
      <c r="A2515" t="str">
        <f>""</f>
        <v/>
      </c>
      <c r="G2515" t="str">
        <f>""</f>
        <v/>
      </c>
      <c r="H2515" t="str">
        <f>""</f>
        <v/>
      </c>
      <c r="J2515" t="str">
        <f t="shared" si="33"/>
        <v>GUARDIAN</v>
      </c>
    </row>
    <row r="2516" spans="1:10" x14ac:dyDescent="0.3">
      <c r="A2516" t="str">
        <f>""</f>
        <v/>
      </c>
      <c r="G2516" t="str">
        <f>""</f>
        <v/>
      </c>
      <c r="H2516" t="str">
        <f>""</f>
        <v/>
      </c>
      <c r="J2516" t="str">
        <f t="shared" si="33"/>
        <v>GUARDIAN</v>
      </c>
    </row>
    <row r="2517" spans="1:10" x14ac:dyDescent="0.3">
      <c r="A2517" t="str">
        <f>""</f>
        <v/>
      </c>
      <c r="G2517" t="str">
        <f>""</f>
        <v/>
      </c>
      <c r="H2517" t="str">
        <f>""</f>
        <v/>
      </c>
      <c r="J2517" t="str">
        <f t="shared" si="33"/>
        <v>GUARDIAN</v>
      </c>
    </row>
    <row r="2518" spans="1:10" x14ac:dyDescent="0.3">
      <c r="A2518" t="str">
        <f>""</f>
        <v/>
      </c>
      <c r="G2518" t="str">
        <f>""</f>
        <v/>
      </c>
      <c r="H2518" t="str">
        <f>""</f>
        <v/>
      </c>
      <c r="J2518" t="str">
        <f t="shared" si="33"/>
        <v>GUARDIAN</v>
      </c>
    </row>
    <row r="2519" spans="1:10" x14ac:dyDescent="0.3">
      <c r="A2519" t="str">
        <f>""</f>
        <v/>
      </c>
      <c r="G2519" t="str">
        <f>""</f>
        <v/>
      </c>
      <c r="H2519" t="str">
        <f>""</f>
        <v/>
      </c>
      <c r="J2519" t="str">
        <f t="shared" si="33"/>
        <v>GUARDIAN</v>
      </c>
    </row>
    <row r="2520" spans="1:10" x14ac:dyDescent="0.3">
      <c r="A2520" t="str">
        <f>""</f>
        <v/>
      </c>
      <c r="G2520" t="str">
        <f>""</f>
        <v/>
      </c>
      <c r="H2520" t="str">
        <f>""</f>
        <v/>
      </c>
      <c r="J2520" t="str">
        <f t="shared" si="33"/>
        <v>GUARDIAN</v>
      </c>
    </row>
    <row r="2521" spans="1:10" x14ac:dyDescent="0.3">
      <c r="A2521" t="str">
        <f>""</f>
        <v/>
      </c>
      <c r="G2521" t="str">
        <f>""</f>
        <v/>
      </c>
      <c r="H2521" t="str">
        <f>""</f>
        <v/>
      </c>
      <c r="J2521" t="str">
        <f t="shared" si="33"/>
        <v>GUARDIAN</v>
      </c>
    </row>
    <row r="2522" spans="1:10" x14ac:dyDescent="0.3">
      <c r="A2522" t="str">
        <f>""</f>
        <v/>
      </c>
      <c r="G2522" t="str">
        <f>""</f>
        <v/>
      </c>
      <c r="H2522" t="str">
        <f>""</f>
        <v/>
      </c>
      <c r="J2522" t="str">
        <f t="shared" si="33"/>
        <v>GUARDIAN</v>
      </c>
    </row>
    <row r="2523" spans="1:10" x14ac:dyDescent="0.3">
      <c r="A2523" t="str">
        <f>""</f>
        <v/>
      </c>
      <c r="G2523" t="str">
        <f>""</f>
        <v/>
      </c>
      <c r="H2523" t="str">
        <f>""</f>
        <v/>
      </c>
      <c r="J2523" t="str">
        <f t="shared" si="33"/>
        <v>GUARDIAN</v>
      </c>
    </row>
    <row r="2524" spans="1:10" x14ac:dyDescent="0.3">
      <c r="A2524" t="str">
        <f>""</f>
        <v/>
      </c>
      <c r="G2524" t="str">
        <f>""</f>
        <v/>
      </c>
      <c r="H2524" t="str">
        <f>""</f>
        <v/>
      </c>
      <c r="J2524" t="str">
        <f t="shared" si="33"/>
        <v>GUARDIAN</v>
      </c>
    </row>
    <row r="2525" spans="1:10" x14ac:dyDescent="0.3">
      <c r="A2525" t="str">
        <f>""</f>
        <v/>
      </c>
      <c r="G2525" t="str">
        <f>""</f>
        <v/>
      </c>
      <c r="H2525" t="str">
        <f>""</f>
        <v/>
      </c>
      <c r="J2525" t="str">
        <f t="shared" si="33"/>
        <v>GUARDIAN</v>
      </c>
    </row>
    <row r="2526" spans="1:10" x14ac:dyDescent="0.3">
      <c r="A2526" t="str">
        <f>""</f>
        <v/>
      </c>
      <c r="G2526" t="str">
        <f>""</f>
        <v/>
      </c>
      <c r="H2526" t="str">
        <f>""</f>
        <v/>
      </c>
      <c r="J2526" t="str">
        <f t="shared" si="33"/>
        <v>GUARDIAN</v>
      </c>
    </row>
    <row r="2527" spans="1:10" x14ac:dyDescent="0.3">
      <c r="A2527" t="str">
        <f>""</f>
        <v/>
      </c>
      <c r="G2527" t="str">
        <f>""</f>
        <v/>
      </c>
      <c r="H2527" t="str">
        <f>""</f>
        <v/>
      </c>
      <c r="J2527" t="str">
        <f t="shared" si="33"/>
        <v>GUARDIAN</v>
      </c>
    </row>
    <row r="2528" spans="1:10" x14ac:dyDescent="0.3">
      <c r="A2528" t="str">
        <f>""</f>
        <v/>
      </c>
      <c r="G2528" t="str">
        <f>""</f>
        <v/>
      </c>
      <c r="H2528" t="str">
        <f>""</f>
        <v/>
      </c>
      <c r="J2528" t="str">
        <f t="shared" si="33"/>
        <v>GUARDIAN</v>
      </c>
    </row>
    <row r="2529" spans="1:10" x14ac:dyDescent="0.3">
      <c r="A2529" t="str">
        <f>""</f>
        <v/>
      </c>
      <c r="G2529" t="str">
        <f>""</f>
        <v/>
      </c>
      <c r="H2529" t="str">
        <f>""</f>
        <v/>
      </c>
      <c r="J2529" t="str">
        <f t="shared" si="33"/>
        <v>GUARDIAN</v>
      </c>
    </row>
    <row r="2530" spans="1:10" x14ac:dyDescent="0.3">
      <c r="A2530" t="str">
        <f>""</f>
        <v/>
      </c>
      <c r="G2530" t="str">
        <f>""</f>
        <v/>
      </c>
      <c r="H2530" t="str">
        <f>""</f>
        <v/>
      </c>
      <c r="J2530" t="str">
        <f t="shared" si="33"/>
        <v>GUARDIAN</v>
      </c>
    </row>
    <row r="2531" spans="1:10" x14ac:dyDescent="0.3">
      <c r="A2531" t="str">
        <f>""</f>
        <v/>
      </c>
      <c r="G2531" t="str">
        <f>""</f>
        <v/>
      </c>
      <c r="H2531" t="str">
        <f>""</f>
        <v/>
      </c>
      <c r="J2531" t="str">
        <f t="shared" si="33"/>
        <v>GUARDIAN</v>
      </c>
    </row>
    <row r="2532" spans="1:10" x14ac:dyDescent="0.3">
      <c r="A2532" t="str">
        <f>""</f>
        <v/>
      </c>
      <c r="G2532" t="str">
        <f>""</f>
        <v/>
      </c>
      <c r="H2532" t="str">
        <f>""</f>
        <v/>
      </c>
      <c r="J2532" t="str">
        <f t="shared" si="33"/>
        <v>GUARDIAN</v>
      </c>
    </row>
    <row r="2533" spans="1:10" x14ac:dyDescent="0.3">
      <c r="A2533" t="str">
        <f>""</f>
        <v/>
      </c>
      <c r="G2533" t="str">
        <f>""</f>
        <v/>
      </c>
      <c r="H2533" t="str">
        <f>""</f>
        <v/>
      </c>
      <c r="J2533" t="str">
        <f t="shared" si="33"/>
        <v>GUARDIAN</v>
      </c>
    </row>
    <row r="2534" spans="1:10" x14ac:dyDescent="0.3">
      <c r="A2534" t="str">
        <f>""</f>
        <v/>
      </c>
      <c r="G2534" t="str">
        <f>""</f>
        <v/>
      </c>
      <c r="H2534" t="str">
        <f>""</f>
        <v/>
      </c>
      <c r="J2534" t="str">
        <f t="shared" si="33"/>
        <v>GUARDIAN</v>
      </c>
    </row>
    <row r="2535" spans="1:10" x14ac:dyDescent="0.3">
      <c r="A2535" t="str">
        <f>""</f>
        <v/>
      </c>
      <c r="G2535" t="str">
        <f>""</f>
        <v/>
      </c>
      <c r="H2535" t="str">
        <f>""</f>
        <v/>
      </c>
      <c r="J2535" t="str">
        <f t="shared" si="33"/>
        <v>GUARDIAN</v>
      </c>
    </row>
    <row r="2536" spans="1:10" x14ac:dyDescent="0.3">
      <c r="A2536" t="str">
        <f>""</f>
        <v/>
      </c>
      <c r="G2536" t="str">
        <f>""</f>
        <v/>
      </c>
      <c r="H2536" t="str">
        <f>""</f>
        <v/>
      </c>
      <c r="J2536" t="str">
        <f t="shared" ref="J2536:J2567" si="34">"GUARDIAN"</f>
        <v>GUARDIAN</v>
      </c>
    </row>
    <row r="2537" spans="1:10" x14ac:dyDescent="0.3">
      <c r="A2537" t="str">
        <f>""</f>
        <v/>
      </c>
      <c r="G2537" t="str">
        <f>""</f>
        <v/>
      </c>
      <c r="H2537" t="str">
        <f>""</f>
        <v/>
      </c>
      <c r="J2537" t="str">
        <f t="shared" si="34"/>
        <v>GUARDIAN</v>
      </c>
    </row>
    <row r="2538" spans="1:10" x14ac:dyDescent="0.3">
      <c r="A2538" t="str">
        <f>""</f>
        <v/>
      </c>
      <c r="G2538" t="str">
        <f>""</f>
        <v/>
      </c>
      <c r="H2538" t="str">
        <f>""</f>
        <v/>
      </c>
      <c r="J2538" t="str">
        <f t="shared" si="34"/>
        <v>GUARDIAN</v>
      </c>
    </row>
    <row r="2539" spans="1:10" x14ac:dyDescent="0.3">
      <c r="A2539" t="str">
        <f>""</f>
        <v/>
      </c>
      <c r="G2539" t="str">
        <f>""</f>
        <v/>
      </c>
      <c r="H2539" t="str">
        <f>""</f>
        <v/>
      </c>
      <c r="J2539" t="str">
        <f t="shared" si="34"/>
        <v>GUARDIAN</v>
      </c>
    </row>
    <row r="2540" spans="1:10" x14ac:dyDescent="0.3">
      <c r="A2540" t="str">
        <f>""</f>
        <v/>
      </c>
      <c r="G2540" t="str">
        <f>""</f>
        <v/>
      </c>
      <c r="H2540" t="str">
        <f>""</f>
        <v/>
      </c>
      <c r="J2540" t="str">
        <f t="shared" si="34"/>
        <v>GUARDIAN</v>
      </c>
    </row>
    <row r="2541" spans="1:10" x14ac:dyDescent="0.3">
      <c r="A2541" t="str">
        <f>""</f>
        <v/>
      </c>
      <c r="G2541" t="str">
        <f>""</f>
        <v/>
      </c>
      <c r="H2541" t="str">
        <f>""</f>
        <v/>
      </c>
      <c r="J2541" t="str">
        <f t="shared" si="34"/>
        <v>GUARDIAN</v>
      </c>
    </row>
    <row r="2542" spans="1:10" x14ac:dyDescent="0.3">
      <c r="A2542" t="str">
        <f>""</f>
        <v/>
      </c>
      <c r="G2542" t="str">
        <f>""</f>
        <v/>
      </c>
      <c r="H2542" t="str">
        <f>""</f>
        <v/>
      </c>
      <c r="J2542" t="str">
        <f t="shared" si="34"/>
        <v>GUARDIAN</v>
      </c>
    </row>
    <row r="2543" spans="1:10" x14ac:dyDescent="0.3">
      <c r="A2543" t="str">
        <f>""</f>
        <v/>
      </c>
      <c r="G2543" t="str">
        <f>""</f>
        <v/>
      </c>
      <c r="H2543" t="str">
        <f>""</f>
        <v/>
      </c>
      <c r="J2543" t="str">
        <f t="shared" si="34"/>
        <v>GUARDIAN</v>
      </c>
    </row>
    <row r="2544" spans="1:10" x14ac:dyDescent="0.3">
      <c r="A2544" t="str">
        <f>""</f>
        <v/>
      </c>
      <c r="G2544" t="str">
        <f>""</f>
        <v/>
      </c>
      <c r="H2544" t="str">
        <f>""</f>
        <v/>
      </c>
      <c r="J2544" t="str">
        <f t="shared" si="34"/>
        <v>GUARDIAN</v>
      </c>
    </row>
    <row r="2545" spans="1:10" x14ac:dyDescent="0.3">
      <c r="A2545" t="str">
        <f>""</f>
        <v/>
      </c>
      <c r="G2545" t="str">
        <f>""</f>
        <v/>
      </c>
      <c r="H2545" t="str">
        <f>""</f>
        <v/>
      </c>
      <c r="J2545" t="str">
        <f t="shared" si="34"/>
        <v>GUARDIAN</v>
      </c>
    </row>
    <row r="2546" spans="1:10" x14ac:dyDescent="0.3">
      <c r="A2546" t="str">
        <f>""</f>
        <v/>
      </c>
      <c r="G2546" t="str">
        <f>""</f>
        <v/>
      </c>
      <c r="H2546" t="str">
        <f>""</f>
        <v/>
      </c>
      <c r="J2546" t="str">
        <f t="shared" si="34"/>
        <v>GUARDIAN</v>
      </c>
    </row>
    <row r="2547" spans="1:10" x14ac:dyDescent="0.3">
      <c r="A2547" t="str">
        <f>""</f>
        <v/>
      </c>
      <c r="G2547" t="str">
        <f>""</f>
        <v/>
      </c>
      <c r="H2547" t="str">
        <f>""</f>
        <v/>
      </c>
      <c r="J2547" t="str">
        <f t="shared" si="34"/>
        <v>GUARDIAN</v>
      </c>
    </row>
    <row r="2548" spans="1:10" x14ac:dyDescent="0.3">
      <c r="A2548" t="str">
        <f>""</f>
        <v/>
      </c>
      <c r="G2548" t="str">
        <f>""</f>
        <v/>
      </c>
      <c r="H2548" t="str">
        <f>""</f>
        <v/>
      </c>
      <c r="J2548" t="str">
        <f t="shared" si="34"/>
        <v>GUARDIAN</v>
      </c>
    </row>
    <row r="2549" spans="1:10" x14ac:dyDescent="0.3">
      <c r="A2549" t="str">
        <f>""</f>
        <v/>
      </c>
      <c r="G2549" t="str">
        <f>""</f>
        <v/>
      </c>
      <c r="H2549" t="str">
        <f>""</f>
        <v/>
      </c>
      <c r="J2549" t="str">
        <f t="shared" si="34"/>
        <v>GUARDIAN</v>
      </c>
    </row>
    <row r="2550" spans="1:10" x14ac:dyDescent="0.3">
      <c r="A2550" t="str">
        <f>""</f>
        <v/>
      </c>
      <c r="G2550" t="str">
        <f>""</f>
        <v/>
      </c>
      <c r="H2550" t="str">
        <f>""</f>
        <v/>
      </c>
      <c r="J2550" t="str">
        <f t="shared" si="34"/>
        <v>GUARDIAN</v>
      </c>
    </row>
    <row r="2551" spans="1:10" x14ac:dyDescent="0.3">
      <c r="A2551" t="str">
        <f>""</f>
        <v/>
      </c>
      <c r="G2551" t="str">
        <f>""</f>
        <v/>
      </c>
      <c r="H2551" t="str">
        <f>""</f>
        <v/>
      </c>
      <c r="J2551" t="str">
        <f t="shared" si="34"/>
        <v>GUARDIAN</v>
      </c>
    </row>
    <row r="2552" spans="1:10" x14ac:dyDescent="0.3">
      <c r="A2552" t="str">
        <f>""</f>
        <v/>
      </c>
      <c r="G2552" t="str">
        <f>""</f>
        <v/>
      </c>
      <c r="H2552" t="str">
        <f>""</f>
        <v/>
      </c>
      <c r="J2552" t="str">
        <f t="shared" si="34"/>
        <v>GUARDIAN</v>
      </c>
    </row>
    <row r="2553" spans="1:10" x14ac:dyDescent="0.3">
      <c r="A2553" t="str">
        <f>""</f>
        <v/>
      </c>
      <c r="G2553" t="str">
        <f>""</f>
        <v/>
      </c>
      <c r="H2553" t="str">
        <f>""</f>
        <v/>
      </c>
      <c r="J2553" t="str">
        <f t="shared" si="34"/>
        <v>GUARDIAN</v>
      </c>
    </row>
    <row r="2554" spans="1:10" x14ac:dyDescent="0.3">
      <c r="A2554" t="str">
        <f>""</f>
        <v/>
      </c>
      <c r="G2554" t="str">
        <f>""</f>
        <v/>
      </c>
      <c r="H2554" t="str">
        <f>""</f>
        <v/>
      </c>
      <c r="J2554" t="str">
        <f t="shared" si="34"/>
        <v>GUARDIAN</v>
      </c>
    </row>
    <row r="2555" spans="1:10" x14ac:dyDescent="0.3">
      <c r="A2555" t="str">
        <f>""</f>
        <v/>
      </c>
      <c r="G2555" t="str">
        <f>""</f>
        <v/>
      </c>
      <c r="H2555" t="str">
        <f>""</f>
        <v/>
      </c>
      <c r="J2555" t="str">
        <f t="shared" si="34"/>
        <v>GUARDIAN</v>
      </c>
    </row>
    <row r="2556" spans="1:10" x14ac:dyDescent="0.3">
      <c r="A2556" t="str">
        <f>""</f>
        <v/>
      </c>
      <c r="G2556" t="str">
        <f>""</f>
        <v/>
      </c>
      <c r="H2556" t="str">
        <f>""</f>
        <v/>
      </c>
      <c r="J2556" t="str">
        <f t="shared" si="34"/>
        <v>GUARDIAN</v>
      </c>
    </row>
    <row r="2557" spans="1:10" x14ac:dyDescent="0.3">
      <c r="A2557" t="str">
        <f>""</f>
        <v/>
      </c>
      <c r="G2557" t="str">
        <f>""</f>
        <v/>
      </c>
      <c r="H2557" t="str">
        <f>""</f>
        <v/>
      </c>
      <c r="J2557" t="str">
        <f t="shared" si="34"/>
        <v>GUARDIAN</v>
      </c>
    </row>
    <row r="2558" spans="1:10" x14ac:dyDescent="0.3">
      <c r="A2558" t="str">
        <f>""</f>
        <v/>
      </c>
      <c r="G2558" t="str">
        <f>""</f>
        <v/>
      </c>
      <c r="H2558" t="str">
        <f>""</f>
        <v/>
      </c>
      <c r="J2558" t="str">
        <f t="shared" si="34"/>
        <v>GUARDIAN</v>
      </c>
    </row>
    <row r="2559" spans="1:10" x14ac:dyDescent="0.3">
      <c r="A2559" t="str">
        <f>""</f>
        <v/>
      </c>
      <c r="G2559" t="str">
        <f>""</f>
        <v/>
      </c>
      <c r="H2559" t="str">
        <f>""</f>
        <v/>
      </c>
      <c r="J2559" t="str">
        <f t="shared" si="34"/>
        <v>GUARDIAN</v>
      </c>
    </row>
    <row r="2560" spans="1:10" x14ac:dyDescent="0.3">
      <c r="A2560" t="str">
        <f>""</f>
        <v/>
      </c>
      <c r="F2560" t="s">
        <v>10</v>
      </c>
      <c r="G2560" t="str">
        <f>"LIE201706143098"</f>
        <v>LIE201706143098</v>
      </c>
      <c r="H2560" t="str">
        <f>"GUARDIAN"</f>
        <v>GUARDIAN</v>
      </c>
      <c r="I2560" s="2">
        <v>134.1</v>
      </c>
      <c r="J2560" t="str">
        <f t="shared" si="34"/>
        <v>GUARDIAN</v>
      </c>
    </row>
    <row r="2561" spans="1:10" x14ac:dyDescent="0.3">
      <c r="A2561" t="str">
        <f>""</f>
        <v/>
      </c>
      <c r="G2561" t="str">
        <f>""</f>
        <v/>
      </c>
      <c r="H2561" t="str">
        <f>""</f>
        <v/>
      </c>
      <c r="J2561" t="str">
        <f t="shared" si="34"/>
        <v>GUARDIAN</v>
      </c>
    </row>
    <row r="2562" spans="1:10" x14ac:dyDescent="0.3">
      <c r="A2562" t="str">
        <f>""</f>
        <v/>
      </c>
      <c r="F2562" t="s">
        <v>10</v>
      </c>
      <c r="G2562" t="str">
        <f>"LIS201705312317"</f>
        <v>LIS201705312317</v>
      </c>
      <c r="H2562" t="str">
        <f t="shared" ref="H2562:H2573" si="35">"GUARDIAN"</f>
        <v>GUARDIAN</v>
      </c>
      <c r="I2562" s="2">
        <v>412.62</v>
      </c>
      <c r="J2562" t="str">
        <f t="shared" si="34"/>
        <v>GUARDIAN</v>
      </c>
    </row>
    <row r="2563" spans="1:10" x14ac:dyDescent="0.3">
      <c r="A2563" t="str">
        <f>""</f>
        <v/>
      </c>
      <c r="F2563" t="s">
        <v>10</v>
      </c>
      <c r="G2563" t="str">
        <f>"LIS201705312318"</f>
        <v>LIS201705312318</v>
      </c>
      <c r="H2563" t="str">
        <f t="shared" si="35"/>
        <v>GUARDIAN</v>
      </c>
      <c r="I2563" s="2">
        <v>33.33</v>
      </c>
      <c r="J2563" t="str">
        <f t="shared" si="34"/>
        <v>GUARDIAN</v>
      </c>
    </row>
    <row r="2564" spans="1:10" x14ac:dyDescent="0.3">
      <c r="A2564" t="str">
        <f>""</f>
        <v/>
      </c>
      <c r="F2564" t="s">
        <v>10</v>
      </c>
      <c r="G2564" t="str">
        <f>"LIS201706143096"</f>
        <v>LIS201706143096</v>
      </c>
      <c r="H2564" t="str">
        <f t="shared" si="35"/>
        <v>GUARDIAN</v>
      </c>
      <c r="I2564" s="2">
        <v>412.62</v>
      </c>
      <c r="J2564" t="str">
        <f t="shared" si="34"/>
        <v>GUARDIAN</v>
      </c>
    </row>
    <row r="2565" spans="1:10" x14ac:dyDescent="0.3">
      <c r="A2565" t="str">
        <f>""</f>
        <v/>
      </c>
      <c r="F2565" t="s">
        <v>10</v>
      </c>
      <c r="G2565" t="str">
        <f>"LIS201706143098"</f>
        <v>LIS201706143098</v>
      </c>
      <c r="H2565" t="str">
        <f t="shared" si="35"/>
        <v>GUARDIAN</v>
      </c>
      <c r="I2565" s="2">
        <v>33.33</v>
      </c>
      <c r="J2565" t="str">
        <f t="shared" si="34"/>
        <v>GUARDIAN</v>
      </c>
    </row>
    <row r="2566" spans="1:10" x14ac:dyDescent="0.3">
      <c r="A2566" t="str">
        <f>""</f>
        <v/>
      </c>
      <c r="F2566" t="s">
        <v>10</v>
      </c>
      <c r="G2566" t="str">
        <f>"LTD201705312317"</f>
        <v>LTD201705312317</v>
      </c>
      <c r="H2566" t="str">
        <f t="shared" si="35"/>
        <v>GUARDIAN</v>
      </c>
      <c r="I2566" s="2">
        <v>759.09</v>
      </c>
      <c r="J2566" t="str">
        <f t="shared" si="34"/>
        <v>GUARDIAN</v>
      </c>
    </row>
    <row r="2567" spans="1:10" x14ac:dyDescent="0.3">
      <c r="A2567" t="str">
        <f>""</f>
        <v/>
      </c>
      <c r="F2567" t="s">
        <v>10</v>
      </c>
      <c r="G2567" t="str">
        <f>"LTD201705312318"</f>
        <v>LTD201705312318</v>
      </c>
      <c r="H2567" t="str">
        <f t="shared" si="35"/>
        <v>GUARDIAN</v>
      </c>
      <c r="I2567" s="2">
        <v>62.54</v>
      </c>
      <c r="J2567" t="str">
        <f t="shared" si="34"/>
        <v>GUARDIAN</v>
      </c>
    </row>
    <row r="2568" spans="1:10" x14ac:dyDescent="0.3">
      <c r="A2568" t="str">
        <f>""</f>
        <v/>
      </c>
      <c r="F2568" t="s">
        <v>10</v>
      </c>
      <c r="G2568" t="str">
        <f>"LTD201706143096"</f>
        <v>LTD201706143096</v>
      </c>
      <c r="H2568" t="str">
        <f t="shared" si="35"/>
        <v>GUARDIAN</v>
      </c>
      <c r="I2568" s="2">
        <v>759.09</v>
      </c>
      <c r="J2568" t="str">
        <f t="shared" ref="J2568:J2573" si="36">"GUARDIAN"</f>
        <v>GUARDIAN</v>
      </c>
    </row>
    <row r="2569" spans="1:10" x14ac:dyDescent="0.3">
      <c r="A2569" t="str">
        <f>""</f>
        <v/>
      </c>
      <c r="F2569" t="s">
        <v>10</v>
      </c>
      <c r="G2569" t="str">
        <f>"LTD201706143098"</f>
        <v>LTD201706143098</v>
      </c>
      <c r="H2569" t="str">
        <f t="shared" si="35"/>
        <v>GUARDIAN</v>
      </c>
      <c r="I2569" s="2">
        <v>62.54</v>
      </c>
      <c r="J2569" t="str">
        <f t="shared" si="36"/>
        <v>GUARDIAN</v>
      </c>
    </row>
    <row r="2570" spans="1:10" x14ac:dyDescent="0.3">
      <c r="A2570" t="str">
        <f>"GUARDI"</f>
        <v>GUARDI</v>
      </c>
      <c r="B2570" t="s">
        <v>569</v>
      </c>
      <c r="C2570">
        <v>0</v>
      </c>
      <c r="D2570" s="2">
        <v>126.32</v>
      </c>
      <c r="E2570" s="1">
        <v>42912</v>
      </c>
      <c r="F2570" t="s">
        <v>10</v>
      </c>
      <c r="G2570" t="str">
        <f>"AEG201705312317"</f>
        <v>AEG201705312317</v>
      </c>
      <c r="H2570" t="str">
        <f t="shared" si="35"/>
        <v>GUARDIAN</v>
      </c>
      <c r="I2570" s="2">
        <v>9.51</v>
      </c>
      <c r="J2570" t="str">
        <f t="shared" si="36"/>
        <v>GUARDIAN</v>
      </c>
    </row>
    <row r="2571" spans="1:10" x14ac:dyDescent="0.3">
      <c r="A2571" t="str">
        <f>""</f>
        <v/>
      </c>
      <c r="F2571" t="s">
        <v>10</v>
      </c>
      <c r="G2571" t="str">
        <f>"AEG201706143096"</f>
        <v>AEG201706143096</v>
      </c>
      <c r="H2571" t="str">
        <f t="shared" si="35"/>
        <v>GUARDIAN</v>
      </c>
      <c r="I2571" s="2">
        <v>9.51</v>
      </c>
      <c r="J2571" t="str">
        <f t="shared" si="36"/>
        <v>GUARDIAN</v>
      </c>
    </row>
    <row r="2572" spans="1:10" x14ac:dyDescent="0.3">
      <c r="A2572" t="str">
        <f>""</f>
        <v/>
      </c>
      <c r="F2572" t="s">
        <v>10</v>
      </c>
      <c r="G2572" t="str">
        <f>"AFG201705312317"</f>
        <v>AFG201705312317</v>
      </c>
      <c r="H2572" t="str">
        <f t="shared" si="35"/>
        <v>GUARDIAN</v>
      </c>
      <c r="I2572" s="2">
        <v>53.65</v>
      </c>
      <c r="J2572" t="str">
        <f t="shared" si="36"/>
        <v>GUARDIAN</v>
      </c>
    </row>
    <row r="2573" spans="1:10" x14ac:dyDescent="0.3">
      <c r="A2573" t="str">
        <f>""</f>
        <v/>
      </c>
      <c r="F2573" t="s">
        <v>10</v>
      </c>
      <c r="G2573" t="str">
        <f>"AFG201706143096"</f>
        <v>AFG201706143096</v>
      </c>
      <c r="H2573" t="str">
        <f t="shared" si="35"/>
        <v>GUARDIAN</v>
      </c>
      <c r="I2573" s="2">
        <v>53.65</v>
      </c>
      <c r="J2573" t="str">
        <f t="shared" si="36"/>
        <v>GUARDIAN</v>
      </c>
    </row>
    <row r="2574" spans="1:10" x14ac:dyDescent="0.3">
      <c r="A2574" t="str">
        <f>"IRSACS"</f>
        <v>IRSACS</v>
      </c>
      <c r="B2574" t="s">
        <v>570</v>
      </c>
      <c r="C2574">
        <v>45633</v>
      </c>
      <c r="D2574" s="2">
        <v>238.43</v>
      </c>
      <c r="E2574" s="1">
        <v>42888</v>
      </c>
      <c r="F2574" t="s">
        <v>10</v>
      </c>
      <c r="G2574" t="str">
        <f>"IJ2201705312317"</f>
        <v>IJ2201705312317</v>
      </c>
      <c r="H2574" t="str">
        <f>"LISA JACKSON 2 IRS LEVY"</f>
        <v>LISA JACKSON 2 IRS LEVY</v>
      </c>
      <c r="I2574" s="2">
        <v>238.43</v>
      </c>
      <c r="J2574" t="str">
        <f>"LISA JACKSON 2 IRS LEVY"</f>
        <v>LISA JACKSON 2 IRS LEVY</v>
      </c>
    </row>
    <row r="2575" spans="1:10" x14ac:dyDescent="0.3">
      <c r="A2575" t="str">
        <f>"IRSACS"</f>
        <v>IRSACS</v>
      </c>
      <c r="B2575" t="s">
        <v>570</v>
      </c>
      <c r="C2575">
        <v>45660</v>
      </c>
      <c r="D2575" s="2">
        <v>238.43</v>
      </c>
      <c r="E2575" s="1">
        <v>42902</v>
      </c>
      <c r="F2575" t="s">
        <v>10</v>
      </c>
      <c r="G2575" t="str">
        <f>"IJ2201706143096"</f>
        <v>IJ2201706143096</v>
      </c>
      <c r="H2575" t="str">
        <f>"LISA JACKSON 2 IRS LEVY"</f>
        <v>LISA JACKSON 2 IRS LEVY</v>
      </c>
      <c r="I2575" s="2">
        <v>238.43</v>
      </c>
      <c r="J2575" t="str">
        <f>"LISA JACKSON 2 IRS LEVY"</f>
        <v>LISA JACKSON 2 IRS LEVY</v>
      </c>
    </row>
    <row r="2576" spans="1:10" x14ac:dyDescent="0.3">
      <c r="A2576" t="str">
        <f>"IRSACS"</f>
        <v>IRSACS</v>
      </c>
      <c r="B2576" t="s">
        <v>570</v>
      </c>
      <c r="C2576">
        <v>45687</v>
      </c>
      <c r="D2576" s="2">
        <v>238.43</v>
      </c>
      <c r="E2576" s="1">
        <v>42916</v>
      </c>
      <c r="F2576" t="s">
        <v>10</v>
      </c>
      <c r="G2576" t="str">
        <f>"IJ2201706273273"</f>
        <v>IJ2201706273273</v>
      </c>
      <c r="H2576" t="str">
        <f>"LISA JACKSON 2 IRS LEVY"</f>
        <v>LISA JACKSON 2 IRS LEVY</v>
      </c>
      <c r="I2576" s="2">
        <v>238.43</v>
      </c>
      <c r="J2576" t="str">
        <f>"LISA JACKSON 2 IRS LEVY"</f>
        <v>LISA JACKSON 2 IRS LEVY</v>
      </c>
    </row>
    <row r="2577" spans="1:10" x14ac:dyDescent="0.3">
      <c r="A2577" t="str">
        <f>"IRSPY"</f>
        <v>IRSPY</v>
      </c>
      <c r="B2577" t="s">
        <v>571</v>
      </c>
      <c r="C2577">
        <v>0</v>
      </c>
      <c r="D2577" s="2">
        <v>214887</v>
      </c>
      <c r="E2577" s="1">
        <v>42888</v>
      </c>
      <c r="F2577" t="s">
        <v>10</v>
      </c>
      <c r="G2577" t="str">
        <f>"T1 201705312317"</f>
        <v>T1 201705312317</v>
      </c>
      <c r="H2577" t="str">
        <f>"FEDERAL WITHHOLDING"</f>
        <v>FEDERAL WITHHOLDING</v>
      </c>
      <c r="I2577" s="2">
        <v>77242.34</v>
      </c>
      <c r="J2577" t="str">
        <f>"FEDERAL WITHHOLDING"</f>
        <v>FEDERAL WITHHOLDING</v>
      </c>
    </row>
    <row r="2578" spans="1:10" x14ac:dyDescent="0.3">
      <c r="A2578" t="str">
        <f>""</f>
        <v/>
      </c>
      <c r="F2578" t="s">
        <v>10</v>
      </c>
      <c r="G2578" t="str">
        <f>"T1 201705312318"</f>
        <v>T1 201705312318</v>
      </c>
      <c r="H2578" t="str">
        <f>"FEDERAL WITHHOLDING"</f>
        <v>FEDERAL WITHHOLDING</v>
      </c>
      <c r="I2578" s="2">
        <v>3396.11</v>
      </c>
      <c r="J2578" t="str">
        <f>"FEDERAL WITHHOLDING"</f>
        <v>FEDERAL WITHHOLDING</v>
      </c>
    </row>
    <row r="2579" spans="1:10" x14ac:dyDescent="0.3">
      <c r="A2579" t="str">
        <f>""</f>
        <v/>
      </c>
      <c r="F2579" t="s">
        <v>10</v>
      </c>
      <c r="G2579" t="str">
        <f>"T1 201705312319"</f>
        <v>T1 201705312319</v>
      </c>
      <c r="H2579" t="str">
        <f>"FEDERAL WITHHOLDING"</f>
        <v>FEDERAL WITHHOLDING</v>
      </c>
      <c r="I2579" s="2">
        <v>4385.3100000000004</v>
      </c>
      <c r="J2579" t="str">
        <f>"FEDERAL WITHHOLDING"</f>
        <v>FEDERAL WITHHOLDING</v>
      </c>
    </row>
    <row r="2580" spans="1:10" x14ac:dyDescent="0.3">
      <c r="A2580" t="str">
        <f>""</f>
        <v/>
      </c>
      <c r="F2580" t="s">
        <v>10</v>
      </c>
      <c r="G2580" t="str">
        <f>"T3 201705312317"</f>
        <v>T3 201705312317</v>
      </c>
      <c r="H2580" t="str">
        <f>"SOCIAL SECURITY TAXES"</f>
        <v>SOCIAL SECURITY TAXES</v>
      </c>
      <c r="I2580" s="2">
        <v>95962.4</v>
      </c>
      <c r="J2580" t="str">
        <f t="shared" ref="J2580:J2611" si="37">"SOCIAL SECURITY TAXES"</f>
        <v>SOCIAL SECURITY TAXES</v>
      </c>
    </row>
    <row r="2581" spans="1:10" x14ac:dyDescent="0.3">
      <c r="A2581" t="str">
        <f>""</f>
        <v/>
      </c>
      <c r="G2581" t="str">
        <f>""</f>
        <v/>
      </c>
      <c r="H2581" t="str">
        <f>""</f>
        <v/>
      </c>
      <c r="J2581" t="str">
        <f t="shared" si="37"/>
        <v>SOCIAL SECURITY TAXES</v>
      </c>
    </row>
    <row r="2582" spans="1:10" x14ac:dyDescent="0.3">
      <c r="A2582" t="str">
        <f>""</f>
        <v/>
      </c>
      <c r="G2582" t="str">
        <f>""</f>
        <v/>
      </c>
      <c r="H2582" t="str">
        <f>""</f>
        <v/>
      </c>
      <c r="J2582" t="str">
        <f t="shared" si="37"/>
        <v>SOCIAL SECURITY TAXES</v>
      </c>
    </row>
    <row r="2583" spans="1:10" x14ac:dyDescent="0.3">
      <c r="A2583" t="str">
        <f>""</f>
        <v/>
      </c>
      <c r="G2583" t="str">
        <f>""</f>
        <v/>
      </c>
      <c r="H2583" t="str">
        <f>""</f>
        <v/>
      </c>
      <c r="J2583" t="str">
        <f t="shared" si="37"/>
        <v>SOCIAL SECURITY TAXES</v>
      </c>
    </row>
    <row r="2584" spans="1:10" x14ac:dyDescent="0.3">
      <c r="A2584" t="str">
        <f>""</f>
        <v/>
      </c>
      <c r="G2584" t="str">
        <f>""</f>
        <v/>
      </c>
      <c r="H2584" t="str">
        <f>""</f>
        <v/>
      </c>
      <c r="J2584" t="str">
        <f t="shared" si="37"/>
        <v>SOCIAL SECURITY TAXES</v>
      </c>
    </row>
    <row r="2585" spans="1:10" x14ac:dyDescent="0.3">
      <c r="A2585" t="str">
        <f>""</f>
        <v/>
      </c>
      <c r="G2585" t="str">
        <f>""</f>
        <v/>
      </c>
      <c r="H2585" t="str">
        <f>""</f>
        <v/>
      </c>
      <c r="J2585" t="str">
        <f t="shared" si="37"/>
        <v>SOCIAL SECURITY TAXES</v>
      </c>
    </row>
    <row r="2586" spans="1:10" x14ac:dyDescent="0.3">
      <c r="A2586" t="str">
        <f>""</f>
        <v/>
      </c>
      <c r="G2586" t="str">
        <f>""</f>
        <v/>
      </c>
      <c r="H2586" t="str">
        <f>""</f>
        <v/>
      </c>
      <c r="J2586" t="str">
        <f t="shared" si="37"/>
        <v>SOCIAL SECURITY TAXES</v>
      </c>
    </row>
    <row r="2587" spans="1:10" x14ac:dyDescent="0.3">
      <c r="A2587" t="str">
        <f>""</f>
        <v/>
      </c>
      <c r="G2587" t="str">
        <f>""</f>
        <v/>
      </c>
      <c r="H2587" t="str">
        <f>""</f>
        <v/>
      </c>
      <c r="J2587" t="str">
        <f t="shared" si="37"/>
        <v>SOCIAL SECURITY TAXES</v>
      </c>
    </row>
    <row r="2588" spans="1:10" x14ac:dyDescent="0.3">
      <c r="A2588" t="str">
        <f>""</f>
        <v/>
      </c>
      <c r="G2588" t="str">
        <f>""</f>
        <v/>
      </c>
      <c r="H2588" t="str">
        <f>""</f>
        <v/>
      </c>
      <c r="J2588" t="str">
        <f t="shared" si="37"/>
        <v>SOCIAL SECURITY TAXES</v>
      </c>
    </row>
    <row r="2589" spans="1:10" x14ac:dyDescent="0.3">
      <c r="A2589" t="str">
        <f>""</f>
        <v/>
      </c>
      <c r="G2589" t="str">
        <f>""</f>
        <v/>
      </c>
      <c r="H2589" t="str">
        <f>""</f>
        <v/>
      </c>
      <c r="J2589" t="str">
        <f t="shared" si="37"/>
        <v>SOCIAL SECURITY TAXES</v>
      </c>
    </row>
    <row r="2590" spans="1:10" x14ac:dyDescent="0.3">
      <c r="A2590" t="str">
        <f>""</f>
        <v/>
      </c>
      <c r="G2590" t="str">
        <f>""</f>
        <v/>
      </c>
      <c r="H2590" t="str">
        <f>""</f>
        <v/>
      </c>
      <c r="J2590" t="str">
        <f t="shared" si="37"/>
        <v>SOCIAL SECURITY TAXES</v>
      </c>
    </row>
    <row r="2591" spans="1:10" x14ac:dyDescent="0.3">
      <c r="A2591" t="str">
        <f>""</f>
        <v/>
      </c>
      <c r="G2591" t="str">
        <f>""</f>
        <v/>
      </c>
      <c r="H2591" t="str">
        <f>""</f>
        <v/>
      </c>
      <c r="J2591" t="str">
        <f t="shared" si="37"/>
        <v>SOCIAL SECURITY TAXES</v>
      </c>
    </row>
    <row r="2592" spans="1:10" x14ac:dyDescent="0.3">
      <c r="A2592" t="str">
        <f>""</f>
        <v/>
      </c>
      <c r="G2592" t="str">
        <f>""</f>
        <v/>
      </c>
      <c r="H2592" t="str">
        <f>""</f>
        <v/>
      </c>
      <c r="J2592" t="str">
        <f t="shared" si="37"/>
        <v>SOCIAL SECURITY TAXES</v>
      </c>
    </row>
    <row r="2593" spans="1:10" x14ac:dyDescent="0.3">
      <c r="A2593" t="str">
        <f>""</f>
        <v/>
      </c>
      <c r="G2593" t="str">
        <f>""</f>
        <v/>
      </c>
      <c r="H2593" t="str">
        <f>""</f>
        <v/>
      </c>
      <c r="J2593" t="str">
        <f t="shared" si="37"/>
        <v>SOCIAL SECURITY TAXES</v>
      </c>
    </row>
    <row r="2594" spans="1:10" x14ac:dyDescent="0.3">
      <c r="A2594" t="str">
        <f>""</f>
        <v/>
      </c>
      <c r="G2594" t="str">
        <f>""</f>
        <v/>
      </c>
      <c r="H2594" t="str">
        <f>""</f>
        <v/>
      </c>
      <c r="J2594" t="str">
        <f t="shared" si="37"/>
        <v>SOCIAL SECURITY TAXES</v>
      </c>
    </row>
    <row r="2595" spans="1:10" x14ac:dyDescent="0.3">
      <c r="A2595" t="str">
        <f>""</f>
        <v/>
      </c>
      <c r="G2595" t="str">
        <f>""</f>
        <v/>
      </c>
      <c r="H2595" t="str">
        <f>""</f>
        <v/>
      </c>
      <c r="J2595" t="str">
        <f t="shared" si="37"/>
        <v>SOCIAL SECURITY TAXES</v>
      </c>
    </row>
    <row r="2596" spans="1:10" x14ac:dyDescent="0.3">
      <c r="A2596" t="str">
        <f>""</f>
        <v/>
      </c>
      <c r="G2596" t="str">
        <f>""</f>
        <v/>
      </c>
      <c r="H2596" t="str">
        <f>""</f>
        <v/>
      </c>
      <c r="J2596" t="str">
        <f t="shared" si="37"/>
        <v>SOCIAL SECURITY TAXES</v>
      </c>
    </row>
    <row r="2597" spans="1:10" x14ac:dyDescent="0.3">
      <c r="A2597" t="str">
        <f>""</f>
        <v/>
      </c>
      <c r="G2597" t="str">
        <f>""</f>
        <v/>
      </c>
      <c r="H2597" t="str">
        <f>""</f>
        <v/>
      </c>
      <c r="J2597" t="str">
        <f t="shared" si="37"/>
        <v>SOCIAL SECURITY TAXES</v>
      </c>
    </row>
    <row r="2598" spans="1:10" x14ac:dyDescent="0.3">
      <c r="A2598" t="str">
        <f>""</f>
        <v/>
      </c>
      <c r="G2598" t="str">
        <f>""</f>
        <v/>
      </c>
      <c r="H2598" t="str">
        <f>""</f>
        <v/>
      </c>
      <c r="J2598" t="str">
        <f t="shared" si="37"/>
        <v>SOCIAL SECURITY TAXES</v>
      </c>
    </row>
    <row r="2599" spans="1:10" x14ac:dyDescent="0.3">
      <c r="A2599" t="str">
        <f>""</f>
        <v/>
      </c>
      <c r="G2599" t="str">
        <f>""</f>
        <v/>
      </c>
      <c r="H2599" t="str">
        <f>""</f>
        <v/>
      </c>
      <c r="J2599" t="str">
        <f t="shared" si="37"/>
        <v>SOCIAL SECURITY TAXES</v>
      </c>
    </row>
    <row r="2600" spans="1:10" x14ac:dyDescent="0.3">
      <c r="A2600" t="str">
        <f>""</f>
        <v/>
      </c>
      <c r="G2600" t="str">
        <f>""</f>
        <v/>
      </c>
      <c r="H2600" t="str">
        <f>""</f>
        <v/>
      </c>
      <c r="J2600" t="str">
        <f t="shared" si="37"/>
        <v>SOCIAL SECURITY TAXES</v>
      </c>
    </row>
    <row r="2601" spans="1:10" x14ac:dyDescent="0.3">
      <c r="A2601" t="str">
        <f>""</f>
        <v/>
      </c>
      <c r="G2601" t="str">
        <f>""</f>
        <v/>
      </c>
      <c r="H2601" t="str">
        <f>""</f>
        <v/>
      </c>
      <c r="J2601" t="str">
        <f t="shared" si="37"/>
        <v>SOCIAL SECURITY TAXES</v>
      </c>
    </row>
    <row r="2602" spans="1:10" x14ac:dyDescent="0.3">
      <c r="A2602" t="str">
        <f>""</f>
        <v/>
      </c>
      <c r="G2602" t="str">
        <f>""</f>
        <v/>
      </c>
      <c r="H2602" t="str">
        <f>""</f>
        <v/>
      </c>
      <c r="J2602" t="str">
        <f t="shared" si="37"/>
        <v>SOCIAL SECURITY TAXES</v>
      </c>
    </row>
    <row r="2603" spans="1:10" x14ac:dyDescent="0.3">
      <c r="A2603" t="str">
        <f>""</f>
        <v/>
      </c>
      <c r="G2603" t="str">
        <f>""</f>
        <v/>
      </c>
      <c r="H2603" t="str">
        <f>""</f>
        <v/>
      </c>
      <c r="J2603" t="str">
        <f t="shared" si="37"/>
        <v>SOCIAL SECURITY TAXES</v>
      </c>
    </row>
    <row r="2604" spans="1:10" x14ac:dyDescent="0.3">
      <c r="A2604" t="str">
        <f>""</f>
        <v/>
      </c>
      <c r="G2604" t="str">
        <f>""</f>
        <v/>
      </c>
      <c r="H2604" t="str">
        <f>""</f>
        <v/>
      </c>
      <c r="J2604" t="str">
        <f t="shared" si="37"/>
        <v>SOCIAL SECURITY TAXES</v>
      </c>
    </row>
    <row r="2605" spans="1:10" x14ac:dyDescent="0.3">
      <c r="A2605" t="str">
        <f>""</f>
        <v/>
      </c>
      <c r="G2605" t="str">
        <f>""</f>
        <v/>
      </c>
      <c r="H2605" t="str">
        <f>""</f>
        <v/>
      </c>
      <c r="J2605" t="str">
        <f t="shared" si="37"/>
        <v>SOCIAL SECURITY TAXES</v>
      </c>
    </row>
    <row r="2606" spans="1:10" x14ac:dyDescent="0.3">
      <c r="A2606" t="str">
        <f>""</f>
        <v/>
      </c>
      <c r="G2606" t="str">
        <f>""</f>
        <v/>
      </c>
      <c r="H2606" t="str">
        <f>""</f>
        <v/>
      </c>
      <c r="J2606" t="str">
        <f t="shared" si="37"/>
        <v>SOCIAL SECURITY TAXES</v>
      </c>
    </row>
    <row r="2607" spans="1:10" x14ac:dyDescent="0.3">
      <c r="A2607" t="str">
        <f>""</f>
        <v/>
      </c>
      <c r="G2607" t="str">
        <f>""</f>
        <v/>
      </c>
      <c r="H2607" t="str">
        <f>""</f>
        <v/>
      </c>
      <c r="J2607" t="str">
        <f t="shared" si="37"/>
        <v>SOCIAL SECURITY TAXES</v>
      </c>
    </row>
    <row r="2608" spans="1:10" x14ac:dyDescent="0.3">
      <c r="A2608" t="str">
        <f>""</f>
        <v/>
      </c>
      <c r="G2608" t="str">
        <f>""</f>
        <v/>
      </c>
      <c r="H2608" t="str">
        <f>""</f>
        <v/>
      </c>
      <c r="J2608" t="str">
        <f t="shared" si="37"/>
        <v>SOCIAL SECURITY TAXES</v>
      </c>
    </row>
    <row r="2609" spans="1:10" x14ac:dyDescent="0.3">
      <c r="A2609" t="str">
        <f>""</f>
        <v/>
      </c>
      <c r="G2609" t="str">
        <f>""</f>
        <v/>
      </c>
      <c r="H2609" t="str">
        <f>""</f>
        <v/>
      </c>
      <c r="J2609" t="str">
        <f t="shared" si="37"/>
        <v>SOCIAL SECURITY TAXES</v>
      </c>
    </row>
    <row r="2610" spans="1:10" x14ac:dyDescent="0.3">
      <c r="A2610" t="str">
        <f>""</f>
        <v/>
      </c>
      <c r="G2610" t="str">
        <f>""</f>
        <v/>
      </c>
      <c r="H2610" t="str">
        <f>""</f>
        <v/>
      </c>
      <c r="J2610" t="str">
        <f t="shared" si="37"/>
        <v>SOCIAL SECURITY TAXES</v>
      </c>
    </row>
    <row r="2611" spans="1:10" x14ac:dyDescent="0.3">
      <c r="A2611" t="str">
        <f>""</f>
        <v/>
      </c>
      <c r="G2611" t="str">
        <f>""</f>
        <v/>
      </c>
      <c r="H2611" t="str">
        <f>""</f>
        <v/>
      </c>
      <c r="J2611" t="str">
        <f t="shared" si="37"/>
        <v>SOCIAL SECURITY TAXES</v>
      </c>
    </row>
    <row r="2612" spans="1:10" x14ac:dyDescent="0.3">
      <c r="A2612" t="str">
        <f>""</f>
        <v/>
      </c>
      <c r="G2612" t="str">
        <f>""</f>
        <v/>
      </c>
      <c r="H2612" t="str">
        <f>""</f>
        <v/>
      </c>
      <c r="J2612" t="str">
        <f t="shared" ref="J2612:J2635" si="38">"SOCIAL SECURITY TAXES"</f>
        <v>SOCIAL SECURITY TAXES</v>
      </c>
    </row>
    <row r="2613" spans="1:10" x14ac:dyDescent="0.3">
      <c r="A2613" t="str">
        <f>""</f>
        <v/>
      </c>
      <c r="G2613" t="str">
        <f>""</f>
        <v/>
      </c>
      <c r="H2613" t="str">
        <f>""</f>
        <v/>
      </c>
      <c r="J2613" t="str">
        <f t="shared" si="38"/>
        <v>SOCIAL SECURITY TAXES</v>
      </c>
    </row>
    <row r="2614" spans="1:10" x14ac:dyDescent="0.3">
      <c r="A2614" t="str">
        <f>""</f>
        <v/>
      </c>
      <c r="G2614" t="str">
        <f>""</f>
        <v/>
      </c>
      <c r="H2614" t="str">
        <f>""</f>
        <v/>
      </c>
      <c r="J2614" t="str">
        <f t="shared" si="38"/>
        <v>SOCIAL SECURITY TAXES</v>
      </c>
    </row>
    <row r="2615" spans="1:10" x14ac:dyDescent="0.3">
      <c r="A2615" t="str">
        <f>""</f>
        <v/>
      </c>
      <c r="G2615" t="str">
        <f>""</f>
        <v/>
      </c>
      <c r="H2615" t="str">
        <f>""</f>
        <v/>
      </c>
      <c r="J2615" t="str">
        <f t="shared" si="38"/>
        <v>SOCIAL SECURITY TAXES</v>
      </c>
    </row>
    <row r="2616" spans="1:10" x14ac:dyDescent="0.3">
      <c r="A2616" t="str">
        <f>""</f>
        <v/>
      </c>
      <c r="G2616" t="str">
        <f>""</f>
        <v/>
      </c>
      <c r="H2616" t="str">
        <f>""</f>
        <v/>
      </c>
      <c r="J2616" t="str">
        <f t="shared" si="38"/>
        <v>SOCIAL SECURITY TAXES</v>
      </c>
    </row>
    <row r="2617" spans="1:10" x14ac:dyDescent="0.3">
      <c r="A2617" t="str">
        <f>""</f>
        <v/>
      </c>
      <c r="G2617" t="str">
        <f>""</f>
        <v/>
      </c>
      <c r="H2617" t="str">
        <f>""</f>
        <v/>
      </c>
      <c r="J2617" t="str">
        <f t="shared" si="38"/>
        <v>SOCIAL SECURITY TAXES</v>
      </c>
    </row>
    <row r="2618" spans="1:10" x14ac:dyDescent="0.3">
      <c r="A2618" t="str">
        <f>""</f>
        <v/>
      </c>
      <c r="G2618" t="str">
        <f>""</f>
        <v/>
      </c>
      <c r="H2618" t="str">
        <f>""</f>
        <v/>
      </c>
      <c r="J2618" t="str">
        <f t="shared" si="38"/>
        <v>SOCIAL SECURITY TAXES</v>
      </c>
    </row>
    <row r="2619" spans="1:10" x14ac:dyDescent="0.3">
      <c r="A2619" t="str">
        <f>""</f>
        <v/>
      </c>
      <c r="G2619" t="str">
        <f>""</f>
        <v/>
      </c>
      <c r="H2619" t="str">
        <f>""</f>
        <v/>
      </c>
      <c r="J2619" t="str">
        <f t="shared" si="38"/>
        <v>SOCIAL SECURITY TAXES</v>
      </c>
    </row>
    <row r="2620" spans="1:10" x14ac:dyDescent="0.3">
      <c r="A2620" t="str">
        <f>""</f>
        <v/>
      </c>
      <c r="G2620" t="str">
        <f>""</f>
        <v/>
      </c>
      <c r="H2620" t="str">
        <f>""</f>
        <v/>
      </c>
      <c r="J2620" t="str">
        <f t="shared" si="38"/>
        <v>SOCIAL SECURITY TAXES</v>
      </c>
    </row>
    <row r="2621" spans="1:10" x14ac:dyDescent="0.3">
      <c r="A2621" t="str">
        <f>""</f>
        <v/>
      </c>
      <c r="G2621" t="str">
        <f>""</f>
        <v/>
      </c>
      <c r="H2621" t="str">
        <f>""</f>
        <v/>
      </c>
      <c r="J2621" t="str">
        <f t="shared" si="38"/>
        <v>SOCIAL SECURITY TAXES</v>
      </c>
    </row>
    <row r="2622" spans="1:10" x14ac:dyDescent="0.3">
      <c r="A2622" t="str">
        <f>""</f>
        <v/>
      </c>
      <c r="G2622" t="str">
        <f>""</f>
        <v/>
      </c>
      <c r="H2622" t="str">
        <f>""</f>
        <v/>
      </c>
      <c r="J2622" t="str">
        <f t="shared" si="38"/>
        <v>SOCIAL SECURITY TAXES</v>
      </c>
    </row>
    <row r="2623" spans="1:10" x14ac:dyDescent="0.3">
      <c r="A2623" t="str">
        <f>""</f>
        <v/>
      </c>
      <c r="G2623" t="str">
        <f>""</f>
        <v/>
      </c>
      <c r="H2623" t="str">
        <f>""</f>
        <v/>
      </c>
      <c r="J2623" t="str">
        <f t="shared" si="38"/>
        <v>SOCIAL SECURITY TAXES</v>
      </c>
    </row>
    <row r="2624" spans="1:10" x14ac:dyDescent="0.3">
      <c r="A2624" t="str">
        <f>""</f>
        <v/>
      </c>
      <c r="G2624" t="str">
        <f>""</f>
        <v/>
      </c>
      <c r="H2624" t="str">
        <f>""</f>
        <v/>
      </c>
      <c r="J2624" t="str">
        <f t="shared" si="38"/>
        <v>SOCIAL SECURITY TAXES</v>
      </c>
    </row>
    <row r="2625" spans="1:10" x14ac:dyDescent="0.3">
      <c r="A2625" t="str">
        <f>""</f>
        <v/>
      </c>
      <c r="G2625" t="str">
        <f>""</f>
        <v/>
      </c>
      <c r="H2625" t="str">
        <f>""</f>
        <v/>
      </c>
      <c r="J2625" t="str">
        <f t="shared" si="38"/>
        <v>SOCIAL SECURITY TAXES</v>
      </c>
    </row>
    <row r="2626" spans="1:10" x14ac:dyDescent="0.3">
      <c r="A2626" t="str">
        <f>""</f>
        <v/>
      </c>
      <c r="G2626" t="str">
        <f>""</f>
        <v/>
      </c>
      <c r="H2626" t="str">
        <f>""</f>
        <v/>
      </c>
      <c r="J2626" t="str">
        <f t="shared" si="38"/>
        <v>SOCIAL SECURITY TAXES</v>
      </c>
    </row>
    <row r="2627" spans="1:10" x14ac:dyDescent="0.3">
      <c r="A2627" t="str">
        <f>""</f>
        <v/>
      </c>
      <c r="G2627" t="str">
        <f>""</f>
        <v/>
      </c>
      <c r="H2627" t="str">
        <f>""</f>
        <v/>
      </c>
      <c r="J2627" t="str">
        <f t="shared" si="38"/>
        <v>SOCIAL SECURITY TAXES</v>
      </c>
    </row>
    <row r="2628" spans="1:10" x14ac:dyDescent="0.3">
      <c r="A2628" t="str">
        <f>""</f>
        <v/>
      </c>
      <c r="G2628" t="str">
        <f>""</f>
        <v/>
      </c>
      <c r="H2628" t="str">
        <f>""</f>
        <v/>
      </c>
      <c r="J2628" t="str">
        <f t="shared" si="38"/>
        <v>SOCIAL SECURITY TAXES</v>
      </c>
    </row>
    <row r="2629" spans="1:10" x14ac:dyDescent="0.3">
      <c r="A2629" t="str">
        <f>""</f>
        <v/>
      </c>
      <c r="G2629" t="str">
        <f>""</f>
        <v/>
      </c>
      <c r="H2629" t="str">
        <f>""</f>
        <v/>
      </c>
      <c r="J2629" t="str">
        <f t="shared" si="38"/>
        <v>SOCIAL SECURITY TAXES</v>
      </c>
    </row>
    <row r="2630" spans="1:10" x14ac:dyDescent="0.3">
      <c r="A2630" t="str">
        <f>""</f>
        <v/>
      </c>
      <c r="G2630" t="str">
        <f>""</f>
        <v/>
      </c>
      <c r="H2630" t="str">
        <f>""</f>
        <v/>
      </c>
      <c r="J2630" t="str">
        <f t="shared" si="38"/>
        <v>SOCIAL SECURITY TAXES</v>
      </c>
    </row>
    <row r="2631" spans="1:10" x14ac:dyDescent="0.3">
      <c r="A2631" t="str">
        <f>""</f>
        <v/>
      </c>
      <c r="G2631" t="str">
        <f>""</f>
        <v/>
      </c>
      <c r="H2631" t="str">
        <f>""</f>
        <v/>
      </c>
      <c r="J2631" t="str">
        <f t="shared" si="38"/>
        <v>SOCIAL SECURITY TAXES</v>
      </c>
    </row>
    <row r="2632" spans="1:10" x14ac:dyDescent="0.3">
      <c r="A2632" t="str">
        <f>""</f>
        <v/>
      </c>
      <c r="F2632" t="s">
        <v>10</v>
      </c>
      <c r="G2632" t="str">
        <f>"T3 201705312318"</f>
        <v>T3 201705312318</v>
      </c>
      <c r="H2632" t="str">
        <f>"SOCIAL SECURITY TAXES"</f>
        <v>SOCIAL SECURITY TAXES</v>
      </c>
      <c r="I2632" s="2">
        <v>3878.22</v>
      </c>
      <c r="J2632" t="str">
        <f t="shared" si="38"/>
        <v>SOCIAL SECURITY TAXES</v>
      </c>
    </row>
    <row r="2633" spans="1:10" x14ac:dyDescent="0.3">
      <c r="A2633" t="str">
        <f>""</f>
        <v/>
      </c>
      <c r="G2633" t="str">
        <f>""</f>
        <v/>
      </c>
      <c r="H2633" t="str">
        <f>""</f>
        <v/>
      </c>
      <c r="J2633" t="str">
        <f t="shared" si="38"/>
        <v>SOCIAL SECURITY TAXES</v>
      </c>
    </row>
    <row r="2634" spans="1:10" x14ac:dyDescent="0.3">
      <c r="A2634" t="str">
        <f>""</f>
        <v/>
      </c>
      <c r="F2634" t="s">
        <v>10</v>
      </c>
      <c r="G2634" t="str">
        <f>"T3 201705312319"</f>
        <v>T3 201705312319</v>
      </c>
      <c r="H2634" t="str">
        <f>"SOCIAL SECURITY TAXES"</f>
        <v>SOCIAL SECURITY TAXES</v>
      </c>
      <c r="I2634" s="2">
        <v>5408</v>
      </c>
      <c r="J2634" t="str">
        <f t="shared" si="38"/>
        <v>SOCIAL SECURITY TAXES</v>
      </c>
    </row>
    <row r="2635" spans="1:10" x14ac:dyDescent="0.3">
      <c r="A2635" t="str">
        <f>""</f>
        <v/>
      </c>
      <c r="G2635" t="str">
        <f>""</f>
        <v/>
      </c>
      <c r="H2635" t="str">
        <f>""</f>
        <v/>
      </c>
      <c r="J2635" t="str">
        <f t="shared" si="38"/>
        <v>SOCIAL SECURITY TAXES</v>
      </c>
    </row>
    <row r="2636" spans="1:10" x14ac:dyDescent="0.3">
      <c r="A2636" t="str">
        <f>""</f>
        <v/>
      </c>
      <c r="F2636" t="s">
        <v>10</v>
      </c>
      <c r="G2636" t="str">
        <f>"T4 201705312317"</f>
        <v>T4 201705312317</v>
      </c>
      <c r="H2636" t="str">
        <f>"MEDICARE TAXES"</f>
        <v>MEDICARE TAXES</v>
      </c>
      <c r="I2636" s="2">
        <v>22442.82</v>
      </c>
      <c r="J2636" t="str">
        <f t="shared" ref="J2636:J2667" si="39">"MEDICARE TAXES"</f>
        <v>MEDICARE TAXES</v>
      </c>
    </row>
    <row r="2637" spans="1:10" x14ac:dyDescent="0.3">
      <c r="A2637" t="str">
        <f>""</f>
        <v/>
      </c>
      <c r="G2637" t="str">
        <f>""</f>
        <v/>
      </c>
      <c r="H2637" t="str">
        <f>""</f>
        <v/>
      </c>
      <c r="J2637" t="str">
        <f t="shared" si="39"/>
        <v>MEDICARE TAXES</v>
      </c>
    </row>
    <row r="2638" spans="1:10" x14ac:dyDescent="0.3">
      <c r="A2638" t="str">
        <f>""</f>
        <v/>
      </c>
      <c r="G2638" t="str">
        <f>""</f>
        <v/>
      </c>
      <c r="H2638" t="str">
        <f>""</f>
        <v/>
      </c>
      <c r="J2638" t="str">
        <f t="shared" si="39"/>
        <v>MEDICARE TAXES</v>
      </c>
    </row>
    <row r="2639" spans="1:10" x14ac:dyDescent="0.3">
      <c r="A2639" t="str">
        <f>""</f>
        <v/>
      </c>
      <c r="G2639" t="str">
        <f>""</f>
        <v/>
      </c>
      <c r="H2639" t="str">
        <f>""</f>
        <v/>
      </c>
      <c r="J2639" t="str">
        <f t="shared" si="39"/>
        <v>MEDICARE TAXES</v>
      </c>
    </row>
    <row r="2640" spans="1:10" x14ac:dyDescent="0.3">
      <c r="A2640" t="str">
        <f>""</f>
        <v/>
      </c>
      <c r="G2640" t="str">
        <f>""</f>
        <v/>
      </c>
      <c r="H2640" t="str">
        <f>""</f>
        <v/>
      </c>
      <c r="J2640" t="str">
        <f t="shared" si="39"/>
        <v>MEDICARE TAXES</v>
      </c>
    </row>
    <row r="2641" spans="1:10" x14ac:dyDescent="0.3">
      <c r="A2641" t="str">
        <f>""</f>
        <v/>
      </c>
      <c r="G2641" t="str">
        <f>""</f>
        <v/>
      </c>
      <c r="H2641" t="str">
        <f>""</f>
        <v/>
      </c>
      <c r="J2641" t="str">
        <f t="shared" si="39"/>
        <v>MEDICARE TAXES</v>
      </c>
    </row>
    <row r="2642" spans="1:10" x14ac:dyDescent="0.3">
      <c r="A2642" t="str">
        <f>""</f>
        <v/>
      </c>
      <c r="G2642" t="str">
        <f>""</f>
        <v/>
      </c>
      <c r="H2642" t="str">
        <f>""</f>
        <v/>
      </c>
      <c r="J2642" t="str">
        <f t="shared" si="39"/>
        <v>MEDICARE TAXES</v>
      </c>
    </row>
    <row r="2643" spans="1:10" x14ac:dyDescent="0.3">
      <c r="A2643" t="str">
        <f>""</f>
        <v/>
      </c>
      <c r="G2643" t="str">
        <f>""</f>
        <v/>
      </c>
      <c r="H2643" t="str">
        <f>""</f>
        <v/>
      </c>
      <c r="J2643" t="str">
        <f t="shared" si="39"/>
        <v>MEDICARE TAXES</v>
      </c>
    </row>
    <row r="2644" spans="1:10" x14ac:dyDescent="0.3">
      <c r="A2644" t="str">
        <f>""</f>
        <v/>
      </c>
      <c r="G2644" t="str">
        <f>""</f>
        <v/>
      </c>
      <c r="H2644" t="str">
        <f>""</f>
        <v/>
      </c>
      <c r="J2644" t="str">
        <f t="shared" si="39"/>
        <v>MEDICARE TAXES</v>
      </c>
    </row>
    <row r="2645" spans="1:10" x14ac:dyDescent="0.3">
      <c r="A2645" t="str">
        <f>""</f>
        <v/>
      </c>
      <c r="G2645" t="str">
        <f>""</f>
        <v/>
      </c>
      <c r="H2645" t="str">
        <f>""</f>
        <v/>
      </c>
      <c r="J2645" t="str">
        <f t="shared" si="39"/>
        <v>MEDICARE TAXES</v>
      </c>
    </row>
    <row r="2646" spans="1:10" x14ac:dyDescent="0.3">
      <c r="A2646" t="str">
        <f>""</f>
        <v/>
      </c>
      <c r="G2646" t="str">
        <f>""</f>
        <v/>
      </c>
      <c r="H2646" t="str">
        <f>""</f>
        <v/>
      </c>
      <c r="J2646" t="str">
        <f t="shared" si="39"/>
        <v>MEDICARE TAXES</v>
      </c>
    </row>
    <row r="2647" spans="1:10" x14ac:dyDescent="0.3">
      <c r="A2647" t="str">
        <f>""</f>
        <v/>
      </c>
      <c r="G2647" t="str">
        <f>""</f>
        <v/>
      </c>
      <c r="H2647" t="str">
        <f>""</f>
        <v/>
      </c>
      <c r="J2647" t="str">
        <f t="shared" si="39"/>
        <v>MEDICARE TAXES</v>
      </c>
    </row>
    <row r="2648" spans="1:10" x14ac:dyDescent="0.3">
      <c r="A2648" t="str">
        <f>""</f>
        <v/>
      </c>
      <c r="G2648" t="str">
        <f>""</f>
        <v/>
      </c>
      <c r="H2648" t="str">
        <f>""</f>
        <v/>
      </c>
      <c r="J2648" t="str">
        <f t="shared" si="39"/>
        <v>MEDICARE TAXES</v>
      </c>
    </row>
    <row r="2649" spans="1:10" x14ac:dyDescent="0.3">
      <c r="A2649" t="str">
        <f>""</f>
        <v/>
      </c>
      <c r="G2649" t="str">
        <f>""</f>
        <v/>
      </c>
      <c r="H2649" t="str">
        <f>""</f>
        <v/>
      </c>
      <c r="J2649" t="str">
        <f t="shared" si="39"/>
        <v>MEDICARE TAXES</v>
      </c>
    </row>
    <row r="2650" spans="1:10" x14ac:dyDescent="0.3">
      <c r="A2650" t="str">
        <f>""</f>
        <v/>
      </c>
      <c r="G2650" t="str">
        <f>""</f>
        <v/>
      </c>
      <c r="H2650" t="str">
        <f>""</f>
        <v/>
      </c>
      <c r="J2650" t="str">
        <f t="shared" si="39"/>
        <v>MEDICARE TAXES</v>
      </c>
    </row>
    <row r="2651" spans="1:10" x14ac:dyDescent="0.3">
      <c r="A2651" t="str">
        <f>""</f>
        <v/>
      </c>
      <c r="G2651" t="str">
        <f>""</f>
        <v/>
      </c>
      <c r="H2651" t="str">
        <f>""</f>
        <v/>
      </c>
      <c r="J2651" t="str">
        <f t="shared" si="39"/>
        <v>MEDICARE TAXES</v>
      </c>
    </row>
    <row r="2652" spans="1:10" x14ac:dyDescent="0.3">
      <c r="A2652" t="str">
        <f>""</f>
        <v/>
      </c>
      <c r="G2652" t="str">
        <f>""</f>
        <v/>
      </c>
      <c r="H2652" t="str">
        <f>""</f>
        <v/>
      </c>
      <c r="J2652" t="str">
        <f t="shared" si="39"/>
        <v>MEDICARE TAXES</v>
      </c>
    </row>
    <row r="2653" spans="1:10" x14ac:dyDescent="0.3">
      <c r="A2653" t="str">
        <f>""</f>
        <v/>
      </c>
      <c r="G2653" t="str">
        <f>""</f>
        <v/>
      </c>
      <c r="H2653" t="str">
        <f>""</f>
        <v/>
      </c>
      <c r="J2653" t="str">
        <f t="shared" si="39"/>
        <v>MEDICARE TAXES</v>
      </c>
    </row>
    <row r="2654" spans="1:10" x14ac:dyDescent="0.3">
      <c r="A2654" t="str">
        <f>""</f>
        <v/>
      </c>
      <c r="G2654" t="str">
        <f>""</f>
        <v/>
      </c>
      <c r="H2654" t="str">
        <f>""</f>
        <v/>
      </c>
      <c r="J2654" t="str">
        <f t="shared" si="39"/>
        <v>MEDICARE TAXES</v>
      </c>
    </row>
    <row r="2655" spans="1:10" x14ac:dyDescent="0.3">
      <c r="A2655" t="str">
        <f>""</f>
        <v/>
      </c>
      <c r="G2655" t="str">
        <f>""</f>
        <v/>
      </c>
      <c r="H2655" t="str">
        <f>""</f>
        <v/>
      </c>
      <c r="J2655" t="str">
        <f t="shared" si="39"/>
        <v>MEDICARE TAXES</v>
      </c>
    </row>
    <row r="2656" spans="1:10" x14ac:dyDescent="0.3">
      <c r="A2656" t="str">
        <f>""</f>
        <v/>
      </c>
      <c r="G2656" t="str">
        <f>""</f>
        <v/>
      </c>
      <c r="H2656" t="str">
        <f>""</f>
        <v/>
      </c>
      <c r="J2656" t="str">
        <f t="shared" si="39"/>
        <v>MEDICARE TAXES</v>
      </c>
    </row>
    <row r="2657" spans="1:10" x14ac:dyDescent="0.3">
      <c r="A2657" t="str">
        <f>""</f>
        <v/>
      </c>
      <c r="G2657" t="str">
        <f>""</f>
        <v/>
      </c>
      <c r="H2657" t="str">
        <f>""</f>
        <v/>
      </c>
      <c r="J2657" t="str">
        <f t="shared" si="39"/>
        <v>MEDICARE TAXES</v>
      </c>
    </row>
    <row r="2658" spans="1:10" x14ac:dyDescent="0.3">
      <c r="A2658" t="str">
        <f>""</f>
        <v/>
      </c>
      <c r="G2658" t="str">
        <f>""</f>
        <v/>
      </c>
      <c r="H2658" t="str">
        <f>""</f>
        <v/>
      </c>
      <c r="J2658" t="str">
        <f t="shared" si="39"/>
        <v>MEDICARE TAXES</v>
      </c>
    </row>
    <row r="2659" spans="1:10" x14ac:dyDescent="0.3">
      <c r="A2659" t="str">
        <f>""</f>
        <v/>
      </c>
      <c r="G2659" t="str">
        <f>""</f>
        <v/>
      </c>
      <c r="H2659" t="str">
        <f>""</f>
        <v/>
      </c>
      <c r="J2659" t="str">
        <f t="shared" si="39"/>
        <v>MEDICARE TAXES</v>
      </c>
    </row>
    <row r="2660" spans="1:10" x14ac:dyDescent="0.3">
      <c r="A2660" t="str">
        <f>""</f>
        <v/>
      </c>
      <c r="G2660" t="str">
        <f>""</f>
        <v/>
      </c>
      <c r="H2660" t="str">
        <f>""</f>
        <v/>
      </c>
      <c r="J2660" t="str">
        <f t="shared" si="39"/>
        <v>MEDICARE TAXES</v>
      </c>
    </row>
    <row r="2661" spans="1:10" x14ac:dyDescent="0.3">
      <c r="A2661" t="str">
        <f>""</f>
        <v/>
      </c>
      <c r="G2661" t="str">
        <f>""</f>
        <v/>
      </c>
      <c r="H2661" t="str">
        <f>""</f>
        <v/>
      </c>
      <c r="J2661" t="str">
        <f t="shared" si="39"/>
        <v>MEDICARE TAXES</v>
      </c>
    </row>
    <row r="2662" spans="1:10" x14ac:dyDescent="0.3">
      <c r="A2662" t="str">
        <f>""</f>
        <v/>
      </c>
      <c r="G2662" t="str">
        <f>""</f>
        <v/>
      </c>
      <c r="H2662" t="str">
        <f>""</f>
        <v/>
      </c>
      <c r="J2662" t="str">
        <f t="shared" si="39"/>
        <v>MEDICARE TAXES</v>
      </c>
    </row>
    <row r="2663" spans="1:10" x14ac:dyDescent="0.3">
      <c r="A2663" t="str">
        <f>""</f>
        <v/>
      </c>
      <c r="G2663" t="str">
        <f>""</f>
        <v/>
      </c>
      <c r="H2663" t="str">
        <f>""</f>
        <v/>
      </c>
      <c r="J2663" t="str">
        <f t="shared" si="39"/>
        <v>MEDICARE TAXES</v>
      </c>
    </row>
    <row r="2664" spans="1:10" x14ac:dyDescent="0.3">
      <c r="A2664" t="str">
        <f>""</f>
        <v/>
      </c>
      <c r="G2664" t="str">
        <f>""</f>
        <v/>
      </c>
      <c r="H2664" t="str">
        <f>""</f>
        <v/>
      </c>
      <c r="J2664" t="str">
        <f t="shared" si="39"/>
        <v>MEDICARE TAXES</v>
      </c>
    </row>
    <row r="2665" spans="1:10" x14ac:dyDescent="0.3">
      <c r="A2665" t="str">
        <f>""</f>
        <v/>
      </c>
      <c r="G2665" t="str">
        <f>""</f>
        <v/>
      </c>
      <c r="H2665" t="str">
        <f>""</f>
        <v/>
      </c>
      <c r="J2665" t="str">
        <f t="shared" si="39"/>
        <v>MEDICARE TAXES</v>
      </c>
    </row>
    <row r="2666" spans="1:10" x14ac:dyDescent="0.3">
      <c r="A2666" t="str">
        <f>""</f>
        <v/>
      </c>
      <c r="G2666" t="str">
        <f>""</f>
        <v/>
      </c>
      <c r="H2666" t="str">
        <f>""</f>
        <v/>
      </c>
      <c r="J2666" t="str">
        <f t="shared" si="39"/>
        <v>MEDICARE TAXES</v>
      </c>
    </row>
    <row r="2667" spans="1:10" x14ac:dyDescent="0.3">
      <c r="A2667" t="str">
        <f>""</f>
        <v/>
      </c>
      <c r="G2667" t="str">
        <f>""</f>
        <v/>
      </c>
      <c r="H2667" t="str">
        <f>""</f>
        <v/>
      </c>
      <c r="J2667" t="str">
        <f t="shared" si="39"/>
        <v>MEDICARE TAXES</v>
      </c>
    </row>
    <row r="2668" spans="1:10" x14ac:dyDescent="0.3">
      <c r="A2668" t="str">
        <f>""</f>
        <v/>
      </c>
      <c r="G2668" t="str">
        <f>""</f>
        <v/>
      </c>
      <c r="H2668" t="str">
        <f>""</f>
        <v/>
      </c>
      <c r="J2668" t="str">
        <f t="shared" ref="J2668:J2691" si="40">"MEDICARE TAXES"</f>
        <v>MEDICARE TAXES</v>
      </c>
    </row>
    <row r="2669" spans="1:10" x14ac:dyDescent="0.3">
      <c r="A2669" t="str">
        <f>""</f>
        <v/>
      </c>
      <c r="G2669" t="str">
        <f>""</f>
        <v/>
      </c>
      <c r="H2669" t="str">
        <f>""</f>
        <v/>
      </c>
      <c r="J2669" t="str">
        <f t="shared" si="40"/>
        <v>MEDICARE TAXES</v>
      </c>
    </row>
    <row r="2670" spans="1:10" x14ac:dyDescent="0.3">
      <c r="A2670" t="str">
        <f>""</f>
        <v/>
      </c>
      <c r="G2670" t="str">
        <f>""</f>
        <v/>
      </c>
      <c r="H2670" t="str">
        <f>""</f>
        <v/>
      </c>
      <c r="J2670" t="str">
        <f t="shared" si="40"/>
        <v>MEDICARE TAXES</v>
      </c>
    </row>
    <row r="2671" spans="1:10" x14ac:dyDescent="0.3">
      <c r="A2671" t="str">
        <f>""</f>
        <v/>
      </c>
      <c r="G2671" t="str">
        <f>""</f>
        <v/>
      </c>
      <c r="H2671" t="str">
        <f>""</f>
        <v/>
      </c>
      <c r="J2671" t="str">
        <f t="shared" si="40"/>
        <v>MEDICARE TAXES</v>
      </c>
    </row>
    <row r="2672" spans="1:10" x14ac:dyDescent="0.3">
      <c r="A2672" t="str">
        <f>""</f>
        <v/>
      </c>
      <c r="G2672" t="str">
        <f>""</f>
        <v/>
      </c>
      <c r="H2672" t="str">
        <f>""</f>
        <v/>
      </c>
      <c r="J2672" t="str">
        <f t="shared" si="40"/>
        <v>MEDICARE TAXES</v>
      </c>
    </row>
    <row r="2673" spans="1:10" x14ac:dyDescent="0.3">
      <c r="A2673" t="str">
        <f>""</f>
        <v/>
      </c>
      <c r="G2673" t="str">
        <f>""</f>
        <v/>
      </c>
      <c r="H2673" t="str">
        <f>""</f>
        <v/>
      </c>
      <c r="J2673" t="str">
        <f t="shared" si="40"/>
        <v>MEDICARE TAXES</v>
      </c>
    </row>
    <row r="2674" spans="1:10" x14ac:dyDescent="0.3">
      <c r="A2674" t="str">
        <f>""</f>
        <v/>
      </c>
      <c r="G2674" t="str">
        <f>""</f>
        <v/>
      </c>
      <c r="H2674" t="str">
        <f>""</f>
        <v/>
      </c>
      <c r="J2674" t="str">
        <f t="shared" si="40"/>
        <v>MEDICARE TAXES</v>
      </c>
    </row>
    <row r="2675" spans="1:10" x14ac:dyDescent="0.3">
      <c r="A2675" t="str">
        <f>""</f>
        <v/>
      </c>
      <c r="G2675" t="str">
        <f>""</f>
        <v/>
      </c>
      <c r="H2675" t="str">
        <f>""</f>
        <v/>
      </c>
      <c r="J2675" t="str">
        <f t="shared" si="40"/>
        <v>MEDICARE TAXES</v>
      </c>
    </row>
    <row r="2676" spans="1:10" x14ac:dyDescent="0.3">
      <c r="A2676" t="str">
        <f>""</f>
        <v/>
      </c>
      <c r="G2676" t="str">
        <f>""</f>
        <v/>
      </c>
      <c r="H2676" t="str">
        <f>""</f>
        <v/>
      </c>
      <c r="J2676" t="str">
        <f t="shared" si="40"/>
        <v>MEDICARE TAXES</v>
      </c>
    </row>
    <row r="2677" spans="1:10" x14ac:dyDescent="0.3">
      <c r="A2677" t="str">
        <f>""</f>
        <v/>
      </c>
      <c r="G2677" t="str">
        <f>""</f>
        <v/>
      </c>
      <c r="H2677" t="str">
        <f>""</f>
        <v/>
      </c>
      <c r="J2677" t="str">
        <f t="shared" si="40"/>
        <v>MEDICARE TAXES</v>
      </c>
    </row>
    <row r="2678" spans="1:10" x14ac:dyDescent="0.3">
      <c r="A2678" t="str">
        <f>""</f>
        <v/>
      </c>
      <c r="G2678" t="str">
        <f>""</f>
        <v/>
      </c>
      <c r="H2678" t="str">
        <f>""</f>
        <v/>
      </c>
      <c r="J2678" t="str">
        <f t="shared" si="40"/>
        <v>MEDICARE TAXES</v>
      </c>
    </row>
    <row r="2679" spans="1:10" x14ac:dyDescent="0.3">
      <c r="A2679" t="str">
        <f>""</f>
        <v/>
      </c>
      <c r="G2679" t="str">
        <f>""</f>
        <v/>
      </c>
      <c r="H2679" t="str">
        <f>""</f>
        <v/>
      </c>
      <c r="J2679" t="str">
        <f t="shared" si="40"/>
        <v>MEDICARE TAXES</v>
      </c>
    </row>
    <row r="2680" spans="1:10" x14ac:dyDescent="0.3">
      <c r="A2680" t="str">
        <f>""</f>
        <v/>
      </c>
      <c r="G2680" t="str">
        <f>""</f>
        <v/>
      </c>
      <c r="H2680" t="str">
        <f>""</f>
        <v/>
      </c>
      <c r="J2680" t="str">
        <f t="shared" si="40"/>
        <v>MEDICARE TAXES</v>
      </c>
    </row>
    <row r="2681" spans="1:10" x14ac:dyDescent="0.3">
      <c r="A2681" t="str">
        <f>""</f>
        <v/>
      </c>
      <c r="G2681" t="str">
        <f>""</f>
        <v/>
      </c>
      <c r="H2681" t="str">
        <f>""</f>
        <v/>
      </c>
      <c r="J2681" t="str">
        <f t="shared" si="40"/>
        <v>MEDICARE TAXES</v>
      </c>
    </row>
    <row r="2682" spans="1:10" x14ac:dyDescent="0.3">
      <c r="A2682" t="str">
        <f>""</f>
        <v/>
      </c>
      <c r="G2682" t="str">
        <f>""</f>
        <v/>
      </c>
      <c r="H2682" t="str">
        <f>""</f>
        <v/>
      </c>
      <c r="J2682" t="str">
        <f t="shared" si="40"/>
        <v>MEDICARE TAXES</v>
      </c>
    </row>
    <row r="2683" spans="1:10" x14ac:dyDescent="0.3">
      <c r="A2683" t="str">
        <f>""</f>
        <v/>
      </c>
      <c r="G2683" t="str">
        <f>""</f>
        <v/>
      </c>
      <c r="H2683" t="str">
        <f>""</f>
        <v/>
      </c>
      <c r="J2683" t="str">
        <f t="shared" si="40"/>
        <v>MEDICARE TAXES</v>
      </c>
    </row>
    <row r="2684" spans="1:10" x14ac:dyDescent="0.3">
      <c r="A2684" t="str">
        <f>""</f>
        <v/>
      </c>
      <c r="G2684" t="str">
        <f>""</f>
        <v/>
      </c>
      <c r="H2684" t="str">
        <f>""</f>
        <v/>
      </c>
      <c r="J2684" t="str">
        <f t="shared" si="40"/>
        <v>MEDICARE TAXES</v>
      </c>
    </row>
    <row r="2685" spans="1:10" x14ac:dyDescent="0.3">
      <c r="A2685" t="str">
        <f>""</f>
        <v/>
      </c>
      <c r="G2685" t="str">
        <f>""</f>
        <v/>
      </c>
      <c r="H2685" t="str">
        <f>""</f>
        <v/>
      </c>
      <c r="J2685" t="str">
        <f t="shared" si="40"/>
        <v>MEDICARE TAXES</v>
      </c>
    </row>
    <row r="2686" spans="1:10" x14ac:dyDescent="0.3">
      <c r="A2686" t="str">
        <f>""</f>
        <v/>
      </c>
      <c r="G2686" t="str">
        <f>""</f>
        <v/>
      </c>
      <c r="H2686" t="str">
        <f>""</f>
        <v/>
      </c>
      <c r="J2686" t="str">
        <f t="shared" si="40"/>
        <v>MEDICARE TAXES</v>
      </c>
    </row>
    <row r="2687" spans="1:10" x14ac:dyDescent="0.3">
      <c r="A2687" t="str">
        <f>""</f>
        <v/>
      </c>
      <c r="G2687" t="str">
        <f>""</f>
        <v/>
      </c>
      <c r="H2687" t="str">
        <f>""</f>
        <v/>
      </c>
      <c r="J2687" t="str">
        <f t="shared" si="40"/>
        <v>MEDICARE TAXES</v>
      </c>
    </row>
    <row r="2688" spans="1:10" x14ac:dyDescent="0.3">
      <c r="A2688" t="str">
        <f>""</f>
        <v/>
      </c>
      <c r="F2688" t="s">
        <v>10</v>
      </c>
      <c r="G2688" t="str">
        <f>"T4 201705312318"</f>
        <v>T4 201705312318</v>
      </c>
      <c r="H2688" t="str">
        <f>"MEDICARE TAXES"</f>
        <v>MEDICARE TAXES</v>
      </c>
      <c r="I2688" s="2">
        <v>907.02</v>
      </c>
      <c r="J2688" t="str">
        <f t="shared" si="40"/>
        <v>MEDICARE TAXES</v>
      </c>
    </row>
    <row r="2689" spans="1:10" x14ac:dyDescent="0.3">
      <c r="A2689" t="str">
        <f>""</f>
        <v/>
      </c>
      <c r="G2689" t="str">
        <f>""</f>
        <v/>
      </c>
      <c r="H2689" t="str">
        <f>""</f>
        <v/>
      </c>
      <c r="J2689" t="str">
        <f t="shared" si="40"/>
        <v>MEDICARE TAXES</v>
      </c>
    </row>
    <row r="2690" spans="1:10" x14ac:dyDescent="0.3">
      <c r="A2690" t="str">
        <f>""</f>
        <v/>
      </c>
      <c r="F2690" t="s">
        <v>10</v>
      </c>
      <c r="G2690" t="str">
        <f>"T4 201705312319"</f>
        <v>T4 201705312319</v>
      </c>
      <c r="H2690" t="str">
        <f>"MEDICARE TAXES"</f>
        <v>MEDICARE TAXES</v>
      </c>
      <c r="I2690" s="2">
        <v>1264.78</v>
      </c>
      <c r="J2690" t="str">
        <f t="shared" si="40"/>
        <v>MEDICARE TAXES</v>
      </c>
    </row>
    <row r="2691" spans="1:10" x14ac:dyDescent="0.3">
      <c r="A2691" t="str">
        <f>""</f>
        <v/>
      </c>
      <c r="G2691" t="str">
        <f>""</f>
        <v/>
      </c>
      <c r="H2691" t="str">
        <f>""</f>
        <v/>
      </c>
      <c r="J2691" t="str">
        <f t="shared" si="40"/>
        <v>MEDICARE TAXES</v>
      </c>
    </row>
    <row r="2692" spans="1:10" x14ac:dyDescent="0.3">
      <c r="A2692" t="str">
        <f>"IRSPY"</f>
        <v>IRSPY</v>
      </c>
      <c r="B2692" t="s">
        <v>571</v>
      </c>
      <c r="C2692">
        <v>0</v>
      </c>
      <c r="D2692" s="2">
        <v>216546.24</v>
      </c>
      <c r="E2692" s="1">
        <v>42902</v>
      </c>
      <c r="F2692" t="s">
        <v>10</v>
      </c>
      <c r="G2692" t="str">
        <f>"T1 201706143096"</f>
        <v>T1 201706143096</v>
      </c>
      <c r="H2692" t="str">
        <f>"FEDERAL WITHHOLDING"</f>
        <v>FEDERAL WITHHOLDING</v>
      </c>
      <c r="I2692" s="2">
        <v>78075.06</v>
      </c>
      <c r="J2692" t="str">
        <f>"FEDERAL WITHHOLDING"</f>
        <v>FEDERAL WITHHOLDING</v>
      </c>
    </row>
    <row r="2693" spans="1:10" x14ac:dyDescent="0.3">
      <c r="A2693" t="str">
        <f>""</f>
        <v/>
      </c>
      <c r="F2693" t="s">
        <v>10</v>
      </c>
      <c r="G2693" t="str">
        <f>"T1 201706143098"</f>
        <v>T1 201706143098</v>
      </c>
      <c r="H2693" t="str">
        <f>"FEDERAL WITHHOLDING"</f>
        <v>FEDERAL WITHHOLDING</v>
      </c>
      <c r="I2693" s="2">
        <v>3390.04</v>
      </c>
      <c r="J2693" t="str">
        <f>"FEDERAL WITHHOLDING"</f>
        <v>FEDERAL WITHHOLDING</v>
      </c>
    </row>
    <row r="2694" spans="1:10" x14ac:dyDescent="0.3">
      <c r="A2694" t="str">
        <f>""</f>
        <v/>
      </c>
      <c r="F2694" t="s">
        <v>10</v>
      </c>
      <c r="G2694" t="str">
        <f>"T1 201706143099"</f>
        <v>T1 201706143099</v>
      </c>
      <c r="H2694" t="str">
        <f>"FEDERAL WITHHOLDING"</f>
        <v>FEDERAL WITHHOLDING</v>
      </c>
      <c r="I2694" s="2">
        <v>4571.42</v>
      </c>
      <c r="J2694" t="str">
        <f>"FEDERAL WITHHOLDING"</f>
        <v>FEDERAL WITHHOLDING</v>
      </c>
    </row>
    <row r="2695" spans="1:10" x14ac:dyDescent="0.3">
      <c r="A2695" t="str">
        <f>""</f>
        <v/>
      </c>
      <c r="F2695" t="s">
        <v>10</v>
      </c>
      <c r="G2695" t="str">
        <f>"T3 201706143096"</f>
        <v>T3 201706143096</v>
      </c>
      <c r="H2695" t="str">
        <f>"SOCIAL SECURITY TAXES"</f>
        <v>SOCIAL SECURITY TAXES</v>
      </c>
      <c r="I2695" s="2">
        <v>96254.64</v>
      </c>
      <c r="J2695" t="str">
        <f t="shared" ref="J2695:J2726" si="41">"SOCIAL SECURITY TAXES"</f>
        <v>SOCIAL SECURITY TAXES</v>
      </c>
    </row>
    <row r="2696" spans="1:10" x14ac:dyDescent="0.3">
      <c r="A2696" t="str">
        <f>""</f>
        <v/>
      </c>
      <c r="G2696" t="str">
        <f>""</f>
        <v/>
      </c>
      <c r="H2696" t="str">
        <f>""</f>
        <v/>
      </c>
      <c r="J2696" t="str">
        <f t="shared" si="41"/>
        <v>SOCIAL SECURITY TAXES</v>
      </c>
    </row>
    <row r="2697" spans="1:10" x14ac:dyDescent="0.3">
      <c r="A2697" t="str">
        <f>""</f>
        <v/>
      </c>
      <c r="G2697" t="str">
        <f>""</f>
        <v/>
      </c>
      <c r="H2697" t="str">
        <f>""</f>
        <v/>
      </c>
      <c r="J2697" t="str">
        <f t="shared" si="41"/>
        <v>SOCIAL SECURITY TAXES</v>
      </c>
    </row>
    <row r="2698" spans="1:10" x14ac:dyDescent="0.3">
      <c r="A2698" t="str">
        <f>""</f>
        <v/>
      </c>
      <c r="G2698" t="str">
        <f>""</f>
        <v/>
      </c>
      <c r="H2698" t="str">
        <f>""</f>
        <v/>
      </c>
      <c r="J2698" t="str">
        <f t="shared" si="41"/>
        <v>SOCIAL SECURITY TAXES</v>
      </c>
    </row>
    <row r="2699" spans="1:10" x14ac:dyDescent="0.3">
      <c r="A2699" t="str">
        <f>""</f>
        <v/>
      </c>
      <c r="G2699" t="str">
        <f>""</f>
        <v/>
      </c>
      <c r="H2699" t="str">
        <f>""</f>
        <v/>
      </c>
      <c r="J2699" t="str">
        <f t="shared" si="41"/>
        <v>SOCIAL SECURITY TAXES</v>
      </c>
    </row>
    <row r="2700" spans="1:10" x14ac:dyDescent="0.3">
      <c r="A2700" t="str">
        <f>""</f>
        <v/>
      </c>
      <c r="G2700" t="str">
        <f>""</f>
        <v/>
      </c>
      <c r="H2700" t="str">
        <f>""</f>
        <v/>
      </c>
      <c r="J2700" t="str">
        <f t="shared" si="41"/>
        <v>SOCIAL SECURITY TAXES</v>
      </c>
    </row>
    <row r="2701" spans="1:10" x14ac:dyDescent="0.3">
      <c r="A2701" t="str">
        <f>""</f>
        <v/>
      </c>
      <c r="G2701" t="str">
        <f>""</f>
        <v/>
      </c>
      <c r="H2701" t="str">
        <f>""</f>
        <v/>
      </c>
      <c r="J2701" t="str">
        <f t="shared" si="41"/>
        <v>SOCIAL SECURITY TAXES</v>
      </c>
    </row>
    <row r="2702" spans="1:10" x14ac:dyDescent="0.3">
      <c r="A2702" t="str">
        <f>""</f>
        <v/>
      </c>
      <c r="G2702" t="str">
        <f>""</f>
        <v/>
      </c>
      <c r="H2702" t="str">
        <f>""</f>
        <v/>
      </c>
      <c r="J2702" t="str">
        <f t="shared" si="41"/>
        <v>SOCIAL SECURITY TAXES</v>
      </c>
    </row>
    <row r="2703" spans="1:10" x14ac:dyDescent="0.3">
      <c r="A2703" t="str">
        <f>""</f>
        <v/>
      </c>
      <c r="G2703" t="str">
        <f>""</f>
        <v/>
      </c>
      <c r="H2703" t="str">
        <f>""</f>
        <v/>
      </c>
      <c r="J2703" t="str">
        <f t="shared" si="41"/>
        <v>SOCIAL SECURITY TAXES</v>
      </c>
    </row>
    <row r="2704" spans="1:10" x14ac:dyDescent="0.3">
      <c r="A2704" t="str">
        <f>""</f>
        <v/>
      </c>
      <c r="G2704" t="str">
        <f>""</f>
        <v/>
      </c>
      <c r="H2704" t="str">
        <f>""</f>
        <v/>
      </c>
      <c r="J2704" t="str">
        <f t="shared" si="41"/>
        <v>SOCIAL SECURITY TAXES</v>
      </c>
    </row>
    <row r="2705" spans="1:10" x14ac:dyDescent="0.3">
      <c r="A2705" t="str">
        <f>""</f>
        <v/>
      </c>
      <c r="G2705" t="str">
        <f>""</f>
        <v/>
      </c>
      <c r="H2705" t="str">
        <f>""</f>
        <v/>
      </c>
      <c r="J2705" t="str">
        <f t="shared" si="41"/>
        <v>SOCIAL SECURITY TAXES</v>
      </c>
    </row>
    <row r="2706" spans="1:10" x14ac:dyDescent="0.3">
      <c r="A2706" t="str">
        <f>""</f>
        <v/>
      </c>
      <c r="G2706" t="str">
        <f>""</f>
        <v/>
      </c>
      <c r="H2706" t="str">
        <f>""</f>
        <v/>
      </c>
      <c r="J2706" t="str">
        <f t="shared" si="41"/>
        <v>SOCIAL SECURITY TAXES</v>
      </c>
    </row>
    <row r="2707" spans="1:10" x14ac:dyDescent="0.3">
      <c r="A2707" t="str">
        <f>""</f>
        <v/>
      </c>
      <c r="G2707" t="str">
        <f>""</f>
        <v/>
      </c>
      <c r="H2707" t="str">
        <f>""</f>
        <v/>
      </c>
      <c r="J2707" t="str">
        <f t="shared" si="41"/>
        <v>SOCIAL SECURITY TAXES</v>
      </c>
    </row>
    <row r="2708" spans="1:10" x14ac:dyDescent="0.3">
      <c r="A2708" t="str">
        <f>""</f>
        <v/>
      </c>
      <c r="G2708" t="str">
        <f>""</f>
        <v/>
      </c>
      <c r="H2708" t="str">
        <f>""</f>
        <v/>
      </c>
      <c r="J2708" t="str">
        <f t="shared" si="41"/>
        <v>SOCIAL SECURITY TAXES</v>
      </c>
    </row>
    <row r="2709" spans="1:10" x14ac:dyDescent="0.3">
      <c r="A2709" t="str">
        <f>""</f>
        <v/>
      </c>
      <c r="G2709" t="str">
        <f>""</f>
        <v/>
      </c>
      <c r="H2709" t="str">
        <f>""</f>
        <v/>
      </c>
      <c r="J2709" t="str">
        <f t="shared" si="41"/>
        <v>SOCIAL SECURITY TAXES</v>
      </c>
    </row>
    <row r="2710" spans="1:10" x14ac:dyDescent="0.3">
      <c r="A2710" t="str">
        <f>""</f>
        <v/>
      </c>
      <c r="G2710" t="str">
        <f>""</f>
        <v/>
      </c>
      <c r="H2710" t="str">
        <f>""</f>
        <v/>
      </c>
      <c r="J2710" t="str">
        <f t="shared" si="41"/>
        <v>SOCIAL SECURITY TAXES</v>
      </c>
    </row>
    <row r="2711" spans="1:10" x14ac:dyDescent="0.3">
      <c r="A2711" t="str">
        <f>""</f>
        <v/>
      </c>
      <c r="G2711" t="str">
        <f>""</f>
        <v/>
      </c>
      <c r="H2711" t="str">
        <f>""</f>
        <v/>
      </c>
      <c r="J2711" t="str">
        <f t="shared" si="41"/>
        <v>SOCIAL SECURITY TAXES</v>
      </c>
    </row>
    <row r="2712" spans="1:10" x14ac:dyDescent="0.3">
      <c r="A2712" t="str">
        <f>""</f>
        <v/>
      </c>
      <c r="G2712" t="str">
        <f>""</f>
        <v/>
      </c>
      <c r="H2712" t="str">
        <f>""</f>
        <v/>
      </c>
      <c r="J2712" t="str">
        <f t="shared" si="41"/>
        <v>SOCIAL SECURITY TAXES</v>
      </c>
    </row>
    <row r="2713" spans="1:10" x14ac:dyDescent="0.3">
      <c r="A2713" t="str">
        <f>""</f>
        <v/>
      </c>
      <c r="G2713" t="str">
        <f>""</f>
        <v/>
      </c>
      <c r="H2713" t="str">
        <f>""</f>
        <v/>
      </c>
      <c r="J2713" t="str">
        <f t="shared" si="41"/>
        <v>SOCIAL SECURITY TAXES</v>
      </c>
    </row>
    <row r="2714" spans="1:10" x14ac:dyDescent="0.3">
      <c r="A2714" t="str">
        <f>""</f>
        <v/>
      </c>
      <c r="G2714" t="str">
        <f>""</f>
        <v/>
      </c>
      <c r="H2714" t="str">
        <f>""</f>
        <v/>
      </c>
      <c r="J2714" t="str">
        <f t="shared" si="41"/>
        <v>SOCIAL SECURITY TAXES</v>
      </c>
    </row>
    <row r="2715" spans="1:10" x14ac:dyDescent="0.3">
      <c r="A2715" t="str">
        <f>""</f>
        <v/>
      </c>
      <c r="G2715" t="str">
        <f>""</f>
        <v/>
      </c>
      <c r="H2715" t="str">
        <f>""</f>
        <v/>
      </c>
      <c r="J2715" t="str">
        <f t="shared" si="41"/>
        <v>SOCIAL SECURITY TAXES</v>
      </c>
    </row>
    <row r="2716" spans="1:10" x14ac:dyDescent="0.3">
      <c r="A2716" t="str">
        <f>""</f>
        <v/>
      </c>
      <c r="G2716" t="str">
        <f>""</f>
        <v/>
      </c>
      <c r="H2716" t="str">
        <f>""</f>
        <v/>
      </c>
      <c r="J2716" t="str">
        <f t="shared" si="41"/>
        <v>SOCIAL SECURITY TAXES</v>
      </c>
    </row>
    <row r="2717" spans="1:10" x14ac:dyDescent="0.3">
      <c r="A2717" t="str">
        <f>""</f>
        <v/>
      </c>
      <c r="G2717" t="str">
        <f>""</f>
        <v/>
      </c>
      <c r="H2717" t="str">
        <f>""</f>
        <v/>
      </c>
      <c r="J2717" t="str">
        <f t="shared" si="41"/>
        <v>SOCIAL SECURITY TAXES</v>
      </c>
    </row>
    <row r="2718" spans="1:10" x14ac:dyDescent="0.3">
      <c r="A2718" t="str">
        <f>""</f>
        <v/>
      </c>
      <c r="G2718" t="str">
        <f>""</f>
        <v/>
      </c>
      <c r="H2718" t="str">
        <f>""</f>
        <v/>
      </c>
      <c r="J2718" t="str">
        <f t="shared" si="41"/>
        <v>SOCIAL SECURITY TAXES</v>
      </c>
    </row>
    <row r="2719" spans="1:10" x14ac:dyDescent="0.3">
      <c r="A2719" t="str">
        <f>""</f>
        <v/>
      </c>
      <c r="G2719" t="str">
        <f>""</f>
        <v/>
      </c>
      <c r="H2719" t="str">
        <f>""</f>
        <v/>
      </c>
      <c r="J2719" t="str">
        <f t="shared" si="41"/>
        <v>SOCIAL SECURITY TAXES</v>
      </c>
    </row>
    <row r="2720" spans="1:10" x14ac:dyDescent="0.3">
      <c r="A2720" t="str">
        <f>""</f>
        <v/>
      </c>
      <c r="G2720" t="str">
        <f>""</f>
        <v/>
      </c>
      <c r="H2720" t="str">
        <f>""</f>
        <v/>
      </c>
      <c r="J2720" t="str">
        <f t="shared" si="41"/>
        <v>SOCIAL SECURITY TAXES</v>
      </c>
    </row>
    <row r="2721" spans="1:10" x14ac:dyDescent="0.3">
      <c r="A2721" t="str">
        <f>""</f>
        <v/>
      </c>
      <c r="G2721" t="str">
        <f>""</f>
        <v/>
      </c>
      <c r="H2721" t="str">
        <f>""</f>
        <v/>
      </c>
      <c r="J2721" t="str">
        <f t="shared" si="41"/>
        <v>SOCIAL SECURITY TAXES</v>
      </c>
    </row>
    <row r="2722" spans="1:10" x14ac:dyDescent="0.3">
      <c r="A2722" t="str">
        <f>""</f>
        <v/>
      </c>
      <c r="G2722" t="str">
        <f>""</f>
        <v/>
      </c>
      <c r="H2722" t="str">
        <f>""</f>
        <v/>
      </c>
      <c r="J2722" t="str">
        <f t="shared" si="41"/>
        <v>SOCIAL SECURITY TAXES</v>
      </c>
    </row>
    <row r="2723" spans="1:10" x14ac:dyDescent="0.3">
      <c r="A2723" t="str">
        <f>""</f>
        <v/>
      </c>
      <c r="G2723" t="str">
        <f>""</f>
        <v/>
      </c>
      <c r="H2723" t="str">
        <f>""</f>
        <v/>
      </c>
      <c r="J2723" t="str">
        <f t="shared" si="41"/>
        <v>SOCIAL SECURITY TAXES</v>
      </c>
    </row>
    <row r="2724" spans="1:10" x14ac:dyDescent="0.3">
      <c r="A2724" t="str">
        <f>""</f>
        <v/>
      </c>
      <c r="G2724" t="str">
        <f>""</f>
        <v/>
      </c>
      <c r="H2724" t="str">
        <f>""</f>
        <v/>
      </c>
      <c r="J2724" t="str">
        <f t="shared" si="41"/>
        <v>SOCIAL SECURITY TAXES</v>
      </c>
    </row>
    <row r="2725" spans="1:10" x14ac:dyDescent="0.3">
      <c r="A2725" t="str">
        <f>""</f>
        <v/>
      </c>
      <c r="G2725" t="str">
        <f>""</f>
        <v/>
      </c>
      <c r="H2725" t="str">
        <f>""</f>
        <v/>
      </c>
      <c r="J2725" t="str">
        <f t="shared" si="41"/>
        <v>SOCIAL SECURITY TAXES</v>
      </c>
    </row>
    <row r="2726" spans="1:10" x14ac:dyDescent="0.3">
      <c r="A2726" t="str">
        <f>""</f>
        <v/>
      </c>
      <c r="G2726" t="str">
        <f>""</f>
        <v/>
      </c>
      <c r="H2726" t="str">
        <f>""</f>
        <v/>
      </c>
      <c r="J2726" t="str">
        <f t="shared" si="41"/>
        <v>SOCIAL SECURITY TAXES</v>
      </c>
    </row>
    <row r="2727" spans="1:10" x14ac:dyDescent="0.3">
      <c r="A2727" t="str">
        <f>""</f>
        <v/>
      </c>
      <c r="G2727" t="str">
        <f>""</f>
        <v/>
      </c>
      <c r="H2727" t="str">
        <f>""</f>
        <v/>
      </c>
      <c r="J2727" t="str">
        <f t="shared" ref="J2727:J2750" si="42">"SOCIAL SECURITY TAXES"</f>
        <v>SOCIAL SECURITY TAXES</v>
      </c>
    </row>
    <row r="2728" spans="1:10" x14ac:dyDescent="0.3">
      <c r="A2728" t="str">
        <f>""</f>
        <v/>
      </c>
      <c r="G2728" t="str">
        <f>""</f>
        <v/>
      </c>
      <c r="H2728" t="str">
        <f>""</f>
        <v/>
      </c>
      <c r="J2728" t="str">
        <f t="shared" si="42"/>
        <v>SOCIAL SECURITY TAXES</v>
      </c>
    </row>
    <row r="2729" spans="1:10" x14ac:dyDescent="0.3">
      <c r="A2729" t="str">
        <f>""</f>
        <v/>
      </c>
      <c r="G2729" t="str">
        <f>""</f>
        <v/>
      </c>
      <c r="H2729" t="str">
        <f>""</f>
        <v/>
      </c>
      <c r="J2729" t="str">
        <f t="shared" si="42"/>
        <v>SOCIAL SECURITY TAXES</v>
      </c>
    </row>
    <row r="2730" spans="1:10" x14ac:dyDescent="0.3">
      <c r="A2730" t="str">
        <f>""</f>
        <v/>
      </c>
      <c r="G2730" t="str">
        <f>""</f>
        <v/>
      </c>
      <c r="H2730" t="str">
        <f>""</f>
        <v/>
      </c>
      <c r="J2730" t="str">
        <f t="shared" si="42"/>
        <v>SOCIAL SECURITY TAXES</v>
      </c>
    </row>
    <row r="2731" spans="1:10" x14ac:dyDescent="0.3">
      <c r="A2731" t="str">
        <f>""</f>
        <v/>
      </c>
      <c r="G2731" t="str">
        <f>""</f>
        <v/>
      </c>
      <c r="H2731" t="str">
        <f>""</f>
        <v/>
      </c>
      <c r="J2731" t="str">
        <f t="shared" si="42"/>
        <v>SOCIAL SECURITY TAXES</v>
      </c>
    </row>
    <row r="2732" spans="1:10" x14ac:dyDescent="0.3">
      <c r="A2732" t="str">
        <f>""</f>
        <v/>
      </c>
      <c r="G2732" t="str">
        <f>""</f>
        <v/>
      </c>
      <c r="H2732" t="str">
        <f>""</f>
        <v/>
      </c>
      <c r="J2732" t="str">
        <f t="shared" si="42"/>
        <v>SOCIAL SECURITY TAXES</v>
      </c>
    </row>
    <row r="2733" spans="1:10" x14ac:dyDescent="0.3">
      <c r="A2733" t="str">
        <f>""</f>
        <v/>
      </c>
      <c r="G2733" t="str">
        <f>""</f>
        <v/>
      </c>
      <c r="H2733" t="str">
        <f>""</f>
        <v/>
      </c>
      <c r="J2733" t="str">
        <f t="shared" si="42"/>
        <v>SOCIAL SECURITY TAXES</v>
      </c>
    </row>
    <row r="2734" spans="1:10" x14ac:dyDescent="0.3">
      <c r="A2734" t="str">
        <f>""</f>
        <v/>
      </c>
      <c r="G2734" t="str">
        <f>""</f>
        <v/>
      </c>
      <c r="H2734" t="str">
        <f>""</f>
        <v/>
      </c>
      <c r="J2734" t="str">
        <f t="shared" si="42"/>
        <v>SOCIAL SECURITY TAXES</v>
      </c>
    </row>
    <row r="2735" spans="1:10" x14ac:dyDescent="0.3">
      <c r="A2735" t="str">
        <f>""</f>
        <v/>
      </c>
      <c r="G2735" t="str">
        <f>""</f>
        <v/>
      </c>
      <c r="H2735" t="str">
        <f>""</f>
        <v/>
      </c>
      <c r="J2735" t="str">
        <f t="shared" si="42"/>
        <v>SOCIAL SECURITY TAXES</v>
      </c>
    </row>
    <row r="2736" spans="1:10" x14ac:dyDescent="0.3">
      <c r="A2736" t="str">
        <f>""</f>
        <v/>
      </c>
      <c r="G2736" t="str">
        <f>""</f>
        <v/>
      </c>
      <c r="H2736" t="str">
        <f>""</f>
        <v/>
      </c>
      <c r="J2736" t="str">
        <f t="shared" si="42"/>
        <v>SOCIAL SECURITY TAXES</v>
      </c>
    </row>
    <row r="2737" spans="1:10" x14ac:dyDescent="0.3">
      <c r="A2737" t="str">
        <f>""</f>
        <v/>
      </c>
      <c r="G2737" t="str">
        <f>""</f>
        <v/>
      </c>
      <c r="H2737" t="str">
        <f>""</f>
        <v/>
      </c>
      <c r="J2737" t="str">
        <f t="shared" si="42"/>
        <v>SOCIAL SECURITY TAXES</v>
      </c>
    </row>
    <row r="2738" spans="1:10" x14ac:dyDescent="0.3">
      <c r="A2738" t="str">
        <f>""</f>
        <v/>
      </c>
      <c r="G2738" t="str">
        <f>""</f>
        <v/>
      </c>
      <c r="H2738" t="str">
        <f>""</f>
        <v/>
      </c>
      <c r="J2738" t="str">
        <f t="shared" si="42"/>
        <v>SOCIAL SECURITY TAXES</v>
      </c>
    </row>
    <row r="2739" spans="1:10" x14ac:dyDescent="0.3">
      <c r="A2739" t="str">
        <f>""</f>
        <v/>
      </c>
      <c r="G2739" t="str">
        <f>""</f>
        <v/>
      </c>
      <c r="H2739" t="str">
        <f>""</f>
        <v/>
      </c>
      <c r="J2739" t="str">
        <f t="shared" si="42"/>
        <v>SOCIAL SECURITY TAXES</v>
      </c>
    </row>
    <row r="2740" spans="1:10" x14ac:dyDescent="0.3">
      <c r="A2740" t="str">
        <f>""</f>
        <v/>
      </c>
      <c r="G2740" t="str">
        <f>""</f>
        <v/>
      </c>
      <c r="H2740" t="str">
        <f>""</f>
        <v/>
      </c>
      <c r="J2740" t="str">
        <f t="shared" si="42"/>
        <v>SOCIAL SECURITY TAXES</v>
      </c>
    </row>
    <row r="2741" spans="1:10" x14ac:dyDescent="0.3">
      <c r="A2741" t="str">
        <f>""</f>
        <v/>
      </c>
      <c r="G2741" t="str">
        <f>""</f>
        <v/>
      </c>
      <c r="H2741" t="str">
        <f>""</f>
        <v/>
      </c>
      <c r="J2741" t="str">
        <f t="shared" si="42"/>
        <v>SOCIAL SECURITY TAXES</v>
      </c>
    </row>
    <row r="2742" spans="1:10" x14ac:dyDescent="0.3">
      <c r="A2742" t="str">
        <f>""</f>
        <v/>
      </c>
      <c r="G2742" t="str">
        <f>""</f>
        <v/>
      </c>
      <c r="H2742" t="str">
        <f>""</f>
        <v/>
      </c>
      <c r="J2742" t="str">
        <f t="shared" si="42"/>
        <v>SOCIAL SECURITY TAXES</v>
      </c>
    </row>
    <row r="2743" spans="1:10" x14ac:dyDescent="0.3">
      <c r="A2743" t="str">
        <f>""</f>
        <v/>
      </c>
      <c r="G2743" t="str">
        <f>""</f>
        <v/>
      </c>
      <c r="H2743" t="str">
        <f>""</f>
        <v/>
      </c>
      <c r="J2743" t="str">
        <f t="shared" si="42"/>
        <v>SOCIAL SECURITY TAXES</v>
      </c>
    </row>
    <row r="2744" spans="1:10" x14ac:dyDescent="0.3">
      <c r="A2744" t="str">
        <f>""</f>
        <v/>
      </c>
      <c r="G2744" t="str">
        <f>""</f>
        <v/>
      </c>
      <c r="H2744" t="str">
        <f>""</f>
        <v/>
      </c>
      <c r="J2744" t="str">
        <f t="shared" si="42"/>
        <v>SOCIAL SECURITY TAXES</v>
      </c>
    </row>
    <row r="2745" spans="1:10" x14ac:dyDescent="0.3">
      <c r="A2745" t="str">
        <f>""</f>
        <v/>
      </c>
      <c r="G2745" t="str">
        <f>""</f>
        <v/>
      </c>
      <c r="H2745" t="str">
        <f>""</f>
        <v/>
      </c>
      <c r="J2745" t="str">
        <f t="shared" si="42"/>
        <v>SOCIAL SECURITY TAXES</v>
      </c>
    </row>
    <row r="2746" spans="1:10" x14ac:dyDescent="0.3">
      <c r="A2746" t="str">
        <f>""</f>
        <v/>
      </c>
      <c r="G2746" t="str">
        <f>""</f>
        <v/>
      </c>
      <c r="H2746" t="str">
        <f>""</f>
        <v/>
      </c>
      <c r="J2746" t="str">
        <f t="shared" si="42"/>
        <v>SOCIAL SECURITY TAXES</v>
      </c>
    </row>
    <row r="2747" spans="1:10" x14ac:dyDescent="0.3">
      <c r="A2747" t="str">
        <f>""</f>
        <v/>
      </c>
      <c r="F2747" t="s">
        <v>10</v>
      </c>
      <c r="G2747" t="str">
        <f>"T3 201706143098"</f>
        <v>T3 201706143098</v>
      </c>
      <c r="H2747" t="str">
        <f>"SOCIAL SECURITY TAXES"</f>
        <v>SOCIAL SECURITY TAXES</v>
      </c>
      <c r="I2747" s="2">
        <v>3873.26</v>
      </c>
      <c r="J2747" t="str">
        <f t="shared" si="42"/>
        <v>SOCIAL SECURITY TAXES</v>
      </c>
    </row>
    <row r="2748" spans="1:10" x14ac:dyDescent="0.3">
      <c r="A2748" t="str">
        <f>""</f>
        <v/>
      </c>
      <c r="G2748" t="str">
        <f>""</f>
        <v/>
      </c>
      <c r="H2748" t="str">
        <f>""</f>
        <v/>
      </c>
      <c r="J2748" t="str">
        <f t="shared" si="42"/>
        <v>SOCIAL SECURITY TAXES</v>
      </c>
    </row>
    <row r="2749" spans="1:10" x14ac:dyDescent="0.3">
      <c r="A2749" t="str">
        <f>""</f>
        <v/>
      </c>
      <c r="F2749" t="s">
        <v>10</v>
      </c>
      <c r="G2749" t="str">
        <f>"T3 201706143099"</f>
        <v>T3 201706143099</v>
      </c>
      <c r="H2749" t="str">
        <f>"SOCIAL SECURITY TAXES"</f>
        <v>SOCIAL SECURITY TAXES</v>
      </c>
      <c r="I2749" s="2">
        <v>5644.68</v>
      </c>
      <c r="J2749" t="str">
        <f t="shared" si="42"/>
        <v>SOCIAL SECURITY TAXES</v>
      </c>
    </row>
    <row r="2750" spans="1:10" x14ac:dyDescent="0.3">
      <c r="A2750" t="str">
        <f>""</f>
        <v/>
      </c>
      <c r="G2750" t="str">
        <f>""</f>
        <v/>
      </c>
      <c r="H2750" t="str">
        <f>""</f>
        <v/>
      </c>
      <c r="J2750" t="str">
        <f t="shared" si="42"/>
        <v>SOCIAL SECURITY TAXES</v>
      </c>
    </row>
    <row r="2751" spans="1:10" x14ac:dyDescent="0.3">
      <c r="A2751" t="str">
        <f>""</f>
        <v/>
      </c>
      <c r="F2751" t="s">
        <v>10</v>
      </c>
      <c r="G2751" t="str">
        <f>"T4 201706143096"</f>
        <v>T4 201706143096</v>
      </c>
      <c r="H2751" t="str">
        <f>"MEDICARE TAXES"</f>
        <v>MEDICARE TAXES</v>
      </c>
      <c r="I2751" s="2">
        <v>22511.16</v>
      </c>
      <c r="J2751" t="str">
        <f t="shared" ref="J2751:J2782" si="43">"MEDICARE TAXES"</f>
        <v>MEDICARE TAXES</v>
      </c>
    </row>
    <row r="2752" spans="1:10" x14ac:dyDescent="0.3">
      <c r="A2752" t="str">
        <f>""</f>
        <v/>
      </c>
      <c r="G2752" t="str">
        <f>""</f>
        <v/>
      </c>
      <c r="H2752" t="str">
        <f>""</f>
        <v/>
      </c>
      <c r="J2752" t="str">
        <f t="shared" si="43"/>
        <v>MEDICARE TAXES</v>
      </c>
    </row>
    <row r="2753" spans="1:10" x14ac:dyDescent="0.3">
      <c r="A2753" t="str">
        <f>""</f>
        <v/>
      </c>
      <c r="G2753" t="str">
        <f>""</f>
        <v/>
      </c>
      <c r="H2753" t="str">
        <f>""</f>
        <v/>
      </c>
      <c r="J2753" t="str">
        <f t="shared" si="43"/>
        <v>MEDICARE TAXES</v>
      </c>
    </row>
    <row r="2754" spans="1:10" x14ac:dyDescent="0.3">
      <c r="A2754" t="str">
        <f>""</f>
        <v/>
      </c>
      <c r="G2754" t="str">
        <f>""</f>
        <v/>
      </c>
      <c r="H2754" t="str">
        <f>""</f>
        <v/>
      </c>
      <c r="J2754" t="str">
        <f t="shared" si="43"/>
        <v>MEDICARE TAXES</v>
      </c>
    </row>
    <row r="2755" spans="1:10" x14ac:dyDescent="0.3">
      <c r="A2755" t="str">
        <f>""</f>
        <v/>
      </c>
      <c r="G2755" t="str">
        <f>""</f>
        <v/>
      </c>
      <c r="H2755" t="str">
        <f>""</f>
        <v/>
      </c>
      <c r="J2755" t="str">
        <f t="shared" si="43"/>
        <v>MEDICARE TAXES</v>
      </c>
    </row>
    <row r="2756" spans="1:10" x14ac:dyDescent="0.3">
      <c r="A2756" t="str">
        <f>""</f>
        <v/>
      </c>
      <c r="G2756" t="str">
        <f>""</f>
        <v/>
      </c>
      <c r="H2756" t="str">
        <f>""</f>
        <v/>
      </c>
      <c r="J2756" t="str">
        <f t="shared" si="43"/>
        <v>MEDICARE TAXES</v>
      </c>
    </row>
    <row r="2757" spans="1:10" x14ac:dyDescent="0.3">
      <c r="A2757" t="str">
        <f>""</f>
        <v/>
      </c>
      <c r="G2757" t="str">
        <f>""</f>
        <v/>
      </c>
      <c r="H2757" t="str">
        <f>""</f>
        <v/>
      </c>
      <c r="J2757" t="str">
        <f t="shared" si="43"/>
        <v>MEDICARE TAXES</v>
      </c>
    </row>
    <row r="2758" spans="1:10" x14ac:dyDescent="0.3">
      <c r="A2758" t="str">
        <f>""</f>
        <v/>
      </c>
      <c r="G2758" t="str">
        <f>""</f>
        <v/>
      </c>
      <c r="H2758" t="str">
        <f>""</f>
        <v/>
      </c>
      <c r="J2758" t="str">
        <f t="shared" si="43"/>
        <v>MEDICARE TAXES</v>
      </c>
    </row>
    <row r="2759" spans="1:10" x14ac:dyDescent="0.3">
      <c r="A2759" t="str">
        <f>""</f>
        <v/>
      </c>
      <c r="G2759" t="str">
        <f>""</f>
        <v/>
      </c>
      <c r="H2759" t="str">
        <f>""</f>
        <v/>
      </c>
      <c r="J2759" t="str">
        <f t="shared" si="43"/>
        <v>MEDICARE TAXES</v>
      </c>
    </row>
    <row r="2760" spans="1:10" x14ac:dyDescent="0.3">
      <c r="A2760" t="str">
        <f>""</f>
        <v/>
      </c>
      <c r="G2760" t="str">
        <f>""</f>
        <v/>
      </c>
      <c r="H2760" t="str">
        <f>""</f>
        <v/>
      </c>
      <c r="J2760" t="str">
        <f t="shared" si="43"/>
        <v>MEDICARE TAXES</v>
      </c>
    </row>
    <row r="2761" spans="1:10" x14ac:dyDescent="0.3">
      <c r="A2761" t="str">
        <f>""</f>
        <v/>
      </c>
      <c r="G2761" t="str">
        <f>""</f>
        <v/>
      </c>
      <c r="H2761" t="str">
        <f>""</f>
        <v/>
      </c>
      <c r="J2761" t="str">
        <f t="shared" si="43"/>
        <v>MEDICARE TAXES</v>
      </c>
    </row>
    <row r="2762" spans="1:10" x14ac:dyDescent="0.3">
      <c r="A2762" t="str">
        <f>""</f>
        <v/>
      </c>
      <c r="G2762" t="str">
        <f>""</f>
        <v/>
      </c>
      <c r="H2762" t="str">
        <f>""</f>
        <v/>
      </c>
      <c r="J2762" t="str">
        <f t="shared" si="43"/>
        <v>MEDICARE TAXES</v>
      </c>
    </row>
    <row r="2763" spans="1:10" x14ac:dyDescent="0.3">
      <c r="A2763" t="str">
        <f>""</f>
        <v/>
      </c>
      <c r="G2763" t="str">
        <f>""</f>
        <v/>
      </c>
      <c r="H2763" t="str">
        <f>""</f>
        <v/>
      </c>
      <c r="J2763" t="str">
        <f t="shared" si="43"/>
        <v>MEDICARE TAXES</v>
      </c>
    </row>
    <row r="2764" spans="1:10" x14ac:dyDescent="0.3">
      <c r="A2764" t="str">
        <f>""</f>
        <v/>
      </c>
      <c r="G2764" t="str">
        <f>""</f>
        <v/>
      </c>
      <c r="H2764" t="str">
        <f>""</f>
        <v/>
      </c>
      <c r="J2764" t="str">
        <f t="shared" si="43"/>
        <v>MEDICARE TAXES</v>
      </c>
    </row>
    <row r="2765" spans="1:10" x14ac:dyDescent="0.3">
      <c r="A2765" t="str">
        <f>""</f>
        <v/>
      </c>
      <c r="G2765" t="str">
        <f>""</f>
        <v/>
      </c>
      <c r="H2765" t="str">
        <f>""</f>
        <v/>
      </c>
      <c r="J2765" t="str">
        <f t="shared" si="43"/>
        <v>MEDICARE TAXES</v>
      </c>
    </row>
    <row r="2766" spans="1:10" x14ac:dyDescent="0.3">
      <c r="A2766" t="str">
        <f>""</f>
        <v/>
      </c>
      <c r="G2766" t="str">
        <f>""</f>
        <v/>
      </c>
      <c r="H2766" t="str">
        <f>""</f>
        <v/>
      </c>
      <c r="J2766" t="str">
        <f t="shared" si="43"/>
        <v>MEDICARE TAXES</v>
      </c>
    </row>
    <row r="2767" spans="1:10" x14ac:dyDescent="0.3">
      <c r="A2767" t="str">
        <f>""</f>
        <v/>
      </c>
      <c r="G2767" t="str">
        <f>""</f>
        <v/>
      </c>
      <c r="H2767" t="str">
        <f>""</f>
        <v/>
      </c>
      <c r="J2767" t="str">
        <f t="shared" si="43"/>
        <v>MEDICARE TAXES</v>
      </c>
    </row>
    <row r="2768" spans="1:10" x14ac:dyDescent="0.3">
      <c r="A2768" t="str">
        <f>""</f>
        <v/>
      </c>
      <c r="G2768" t="str">
        <f>""</f>
        <v/>
      </c>
      <c r="H2768" t="str">
        <f>""</f>
        <v/>
      </c>
      <c r="J2768" t="str">
        <f t="shared" si="43"/>
        <v>MEDICARE TAXES</v>
      </c>
    </row>
    <row r="2769" spans="1:10" x14ac:dyDescent="0.3">
      <c r="A2769" t="str">
        <f>""</f>
        <v/>
      </c>
      <c r="G2769" t="str">
        <f>""</f>
        <v/>
      </c>
      <c r="H2769" t="str">
        <f>""</f>
        <v/>
      </c>
      <c r="J2769" t="str">
        <f t="shared" si="43"/>
        <v>MEDICARE TAXES</v>
      </c>
    </row>
    <row r="2770" spans="1:10" x14ac:dyDescent="0.3">
      <c r="A2770" t="str">
        <f>""</f>
        <v/>
      </c>
      <c r="G2770" t="str">
        <f>""</f>
        <v/>
      </c>
      <c r="H2770" t="str">
        <f>""</f>
        <v/>
      </c>
      <c r="J2770" t="str">
        <f t="shared" si="43"/>
        <v>MEDICARE TAXES</v>
      </c>
    </row>
    <row r="2771" spans="1:10" x14ac:dyDescent="0.3">
      <c r="A2771" t="str">
        <f>""</f>
        <v/>
      </c>
      <c r="G2771" t="str">
        <f>""</f>
        <v/>
      </c>
      <c r="H2771" t="str">
        <f>""</f>
        <v/>
      </c>
      <c r="J2771" t="str">
        <f t="shared" si="43"/>
        <v>MEDICARE TAXES</v>
      </c>
    </row>
    <row r="2772" spans="1:10" x14ac:dyDescent="0.3">
      <c r="A2772" t="str">
        <f>""</f>
        <v/>
      </c>
      <c r="G2772" t="str">
        <f>""</f>
        <v/>
      </c>
      <c r="H2772" t="str">
        <f>""</f>
        <v/>
      </c>
      <c r="J2772" t="str">
        <f t="shared" si="43"/>
        <v>MEDICARE TAXES</v>
      </c>
    </row>
    <row r="2773" spans="1:10" x14ac:dyDescent="0.3">
      <c r="A2773" t="str">
        <f>""</f>
        <v/>
      </c>
      <c r="G2773" t="str">
        <f>""</f>
        <v/>
      </c>
      <c r="H2773" t="str">
        <f>""</f>
        <v/>
      </c>
      <c r="J2773" t="str">
        <f t="shared" si="43"/>
        <v>MEDICARE TAXES</v>
      </c>
    </row>
    <row r="2774" spans="1:10" x14ac:dyDescent="0.3">
      <c r="A2774" t="str">
        <f>""</f>
        <v/>
      </c>
      <c r="G2774" t="str">
        <f>""</f>
        <v/>
      </c>
      <c r="H2774" t="str">
        <f>""</f>
        <v/>
      </c>
      <c r="J2774" t="str">
        <f t="shared" si="43"/>
        <v>MEDICARE TAXES</v>
      </c>
    </row>
    <row r="2775" spans="1:10" x14ac:dyDescent="0.3">
      <c r="A2775" t="str">
        <f>""</f>
        <v/>
      </c>
      <c r="G2775" t="str">
        <f>""</f>
        <v/>
      </c>
      <c r="H2775" t="str">
        <f>""</f>
        <v/>
      </c>
      <c r="J2775" t="str">
        <f t="shared" si="43"/>
        <v>MEDICARE TAXES</v>
      </c>
    </row>
    <row r="2776" spans="1:10" x14ac:dyDescent="0.3">
      <c r="A2776" t="str">
        <f>""</f>
        <v/>
      </c>
      <c r="G2776" t="str">
        <f>""</f>
        <v/>
      </c>
      <c r="H2776" t="str">
        <f>""</f>
        <v/>
      </c>
      <c r="J2776" t="str">
        <f t="shared" si="43"/>
        <v>MEDICARE TAXES</v>
      </c>
    </row>
    <row r="2777" spans="1:10" x14ac:dyDescent="0.3">
      <c r="A2777" t="str">
        <f>""</f>
        <v/>
      </c>
      <c r="G2777" t="str">
        <f>""</f>
        <v/>
      </c>
      <c r="H2777" t="str">
        <f>""</f>
        <v/>
      </c>
      <c r="J2777" t="str">
        <f t="shared" si="43"/>
        <v>MEDICARE TAXES</v>
      </c>
    </row>
    <row r="2778" spans="1:10" x14ac:dyDescent="0.3">
      <c r="A2778" t="str">
        <f>""</f>
        <v/>
      </c>
      <c r="G2778" t="str">
        <f>""</f>
        <v/>
      </c>
      <c r="H2778" t="str">
        <f>""</f>
        <v/>
      </c>
      <c r="J2778" t="str">
        <f t="shared" si="43"/>
        <v>MEDICARE TAXES</v>
      </c>
    </row>
    <row r="2779" spans="1:10" x14ac:dyDescent="0.3">
      <c r="A2779" t="str">
        <f>""</f>
        <v/>
      </c>
      <c r="G2779" t="str">
        <f>""</f>
        <v/>
      </c>
      <c r="H2779" t="str">
        <f>""</f>
        <v/>
      </c>
      <c r="J2779" t="str">
        <f t="shared" si="43"/>
        <v>MEDICARE TAXES</v>
      </c>
    </row>
    <row r="2780" spans="1:10" x14ac:dyDescent="0.3">
      <c r="A2780" t="str">
        <f>""</f>
        <v/>
      </c>
      <c r="G2780" t="str">
        <f>""</f>
        <v/>
      </c>
      <c r="H2780" t="str">
        <f>""</f>
        <v/>
      </c>
      <c r="J2780" t="str">
        <f t="shared" si="43"/>
        <v>MEDICARE TAXES</v>
      </c>
    </row>
    <row r="2781" spans="1:10" x14ac:dyDescent="0.3">
      <c r="A2781" t="str">
        <f>""</f>
        <v/>
      </c>
      <c r="G2781" t="str">
        <f>""</f>
        <v/>
      </c>
      <c r="H2781" t="str">
        <f>""</f>
        <v/>
      </c>
      <c r="J2781" t="str">
        <f t="shared" si="43"/>
        <v>MEDICARE TAXES</v>
      </c>
    </row>
    <row r="2782" spans="1:10" x14ac:dyDescent="0.3">
      <c r="A2782" t="str">
        <f>""</f>
        <v/>
      </c>
      <c r="G2782" t="str">
        <f>""</f>
        <v/>
      </c>
      <c r="H2782" t="str">
        <f>""</f>
        <v/>
      </c>
      <c r="J2782" t="str">
        <f t="shared" si="43"/>
        <v>MEDICARE TAXES</v>
      </c>
    </row>
    <row r="2783" spans="1:10" x14ac:dyDescent="0.3">
      <c r="A2783" t="str">
        <f>""</f>
        <v/>
      </c>
      <c r="G2783" t="str">
        <f>""</f>
        <v/>
      </c>
      <c r="H2783" t="str">
        <f>""</f>
        <v/>
      </c>
      <c r="J2783" t="str">
        <f t="shared" ref="J2783:J2806" si="44">"MEDICARE TAXES"</f>
        <v>MEDICARE TAXES</v>
      </c>
    </row>
    <row r="2784" spans="1:10" x14ac:dyDescent="0.3">
      <c r="A2784" t="str">
        <f>""</f>
        <v/>
      </c>
      <c r="G2784" t="str">
        <f>""</f>
        <v/>
      </c>
      <c r="H2784" t="str">
        <f>""</f>
        <v/>
      </c>
      <c r="J2784" t="str">
        <f t="shared" si="44"/>
        <v>MEDICARE TAXES</v>
      </c>
    </row>
    <row r="2785" spans="1:10" x14ac:dyDescent="0.3">
      <c r="A2785" t="str">
        <f>""</f>
        <v/>
      </c>
      <c r="G2785" t="str">
        <f>""</f>
        <v/>
      </c>
      <c r="H2785" t="str">
        <f>""</f>
        <v/>
      </c>
      <c r="J2785" t="str">
        <f t="shared" si="44"/>
        <v>MEDICARE TAXES</v>
      </c>
    </row>
    <row r="2786" spans="1:10" x14ac:dyDescent="0.3">
      <c r="A2786" t="str">
        <f>""</f>
        <v/>
      </c>
      <c r="G2786" t="str">
        <f>""</f>
        <v/>
      </c>
      <c r="H2786" t="str">
        <f>""</f>
        <v/>
      </c>
      <c r="J2786" t="str">
        <f t="shared" si="44"/>
        <v>MEDICARE TAXES</v>
      </c>
    </row>
    <row r="2787" spans="1:10" x14ac:dyDescent="0.3">
      <c r="A2787" t="str">
        <f>""</f>
        <v/>
      </c>
      <c r="G2787" t="str">
        <f>""</f>
        <v/>
      </c>
      <c r="H2787" t="str">
        <f>""</f>
        <v/>
      </c>
      <c r="J2787" t="str">
        <f t="shared" si="44"/>
        <v>MEDICARE TAXES</v>
      </c>
    </row>
    <row r="2788" spans="1:10" x14ac:dyDescent="0.3">
      <c r="A2788" t="str">
        <f>""</f>
        <v/>
      </c>
      <c r="G2788" t="str">
        <f>""</f>
        <v/>
      </c>
      <c r="H2788" t="str">
        <f>""</f>
        <v/>
      </c>
      <c r="J2788" t="str">
        <f t="shared" si="44"/>
        <v>MEDICARE TAXES</v>
      </c>
    </row>
    <row r="2789" spans="1:10" x14ac:dyDescent="0.3">
      <c r="A2789" t="str">
        <f>""</f>
        <v/>
      </c>
      <c r="G2789" t="str">
        <f>""</f>
        <v/>
      </c>
      <c r="H2789" t="str">
        <f>""</f>
        <v/>
      </c>
      <c r="J2789" t="str">
        <f t="shared" si="44"/>
        <v>MEDICARE TAXES</v>
      </c>
    </row>
    <row r="2790" spans="1:10" x14ac:dyDescent="0.3">
      <c r="A2790" t="str">
        <f>""</f>
        <v/>
      </c>
      <c r="G2790" t="str">
        <f>""</f>
        <v/>
      </c>
      <c r="H2790" t="str">
        <f>""</f>
        <v/>
      </c>
      <c r="J2790" t="str">
        <f t="shared" si="44"/>
        <v>MEDICARE TAXES</v>
      </c>
    </row>
    <row r="2791" spans="1:10" x14ac:dyDescent="0.3">
      <c r="A2791" t="str">
        <f>""</f>
        <v/>
      </c>
      <c r="G2791" t="str">
        <f>""</f>
        <v/>
      </c>
      <c r="H2791" t="str">
        <f>""</f>
        <v/>
      </c>
      <c r="J2791" t="str">
        <f t="shared" si="44"/>
        <v>MEDICARE TAXES</v>
      </c>
    </row>
    <row r="2792" spans="1:10" x14ac:dyDescent="0.3">
      <c r="A2792" t="str">
        <f>""</f>
        <v/>
      </c>
      <c r="G2792" t="str">
        <f>""</f>
        <v/>
      </c>
      <c r="H2792" t="str">
        <f>""</f>
        <v/>
      </c>
      <c r="J2792" t="str">
        <f t="shared" si="44"/>
        <v>MEDICARE TAXES</v>
      </c>
    </row>
    <row r="2793" spans="1:10" x14ac:dyDescent="0.3">
      <c r="A2793" t="str">
        <f>""</f>
        <v/>
      </c>
      <c r="G2793" t="str">
        <f>""</f>
        <v/>
      </c>
      <c r="H2793" t="str">
        <f>""</f>
        <v/>
      </c>
      <c r="J2793" t="str">
        <f t="shared" si="44"/>
        <v>MEDICARE TAXES</v>
      </c>
    </row>
    <row r="2794" spans="1:10" x14ac:dyDescent="0.3">
      <c r="A2794" t="str">
        <f>""</f>
        <v/>
      </c>
      <c r="G2794" t="str">
        <f>""</f>
        <v/>
      </c>
      <c r="H2794" t="str">
        <f>""</f>
        <v/>
      </c>
      <c r="J2794" t="str">
        <f t="shared" si="44"/>
        <v>MEDICARE TAXES</v>
      </c>
    </row>
    <row r="2795" spans="1:10" x14ac:dyDescent="0.3">
      <c r="A2795" t="str">
        <f>""</f>
        <v/>
      </c>
      <c r="G2795" t="str">
        <f>""</f>
        <v/>
      </c>
      <c r="H2795" t="str">
        <f>""</f>
        <v/>
      </c>
      <c r="J2795" t="str">
        <f t="shared" si="44"/>
        <v>MEDICARE TAXES</v>
      </c>
    </row>
    <row r="2796" spans="1:10" x14ac:dyDescent="0.3">
      <c r="A2796" t="str">
        <f>""</f>
        <v/>
      </c>
      <c r="G2796" t="str">
        <f>""</f>
        <v/>
      </c>
      <c r="H2796" t="str">
        <f>""</f>
        <v/>
      </c>
      <c r="J2796" t="str">
        <f t="shared" si="44"/>
        <v>MEDICARE TAXES</v>
      </c>
    </row>
    <row r="2797" spans="1:10" x14ac:dyDescent="0.3">
      <c r="A2797" t="str">
        <f>""</f>
        <v/>
      </c>
      <c r="G2797" t="str">
        <f>""</f>
        <v/>
      </c>
      <c r="H2797" t="str">
        <f>""</f>
        <v/>
      </c>
      <c r="J2797" t="str">
        <f t="shared" si="44"/>
        <v>MEDICARE TAXES</v>
      </c>
    </row>
    <row r="2798" spans="1:10" x14ac:dyDescent="0.3">
      <c r="A2798" t="str">
        <f>""</f>
        <v/>
      </c>
      <c r="G2798" t="str">
        <f>""</f>
        <v/>
      </c>
      <c r="H2798" t="str">
        <f>""</f>
        <v/>
      </c>
      <c r="J2798" t="str">
        <f t="shared" si="44"/>
        <v>MEDICARE TAXES</v>
      </c>
    </row>
    <row r="2799" spans="1:10" x14ac:dyDescent="0.3">
      <c r="A2799" t="str">
        <f>""</f>
        <v/>
      </c>
      <c r="G2799" t="str">
        <f>""</f>
        <v/>
      </c>
      <c r="H2799" t="str">
        <f>""</f>
        <v/>
      </c>
      <c r="J2799" t="str">
        <f t="shared" si="44"/>
        <v>MEDICARE TAXES</v>
      </c>
    </row>
    <row r="2800" spans="1:10" x14ac:dyDescent="0.3">
      <c r="A2800" t="str">
        <f>""</f>
        <v/>
      </c>
      <c r="G2800" t="str">
        <f>""</f>
        <v/>
      </c>
      <c r="H2800" t="str">
        <f>""</f>
        <v/>
      </c>
      <c r="J2800" t="str">
        <f t="shared" si="44"/>
        <v>MEDICARE TAXES</v>
      </c>
    </row>
    <row r="2801" spans="1:10" x14ac:dyDescent="0.3">
      <c r="A2801" t="str">
        <f>""</f>
        <v/>
      </c>
      <c r="G2801" t="str">
        <f>""</f>
        <v/>
      </c>
      <c r="H2801" t="str">
        <f>""</f>
        <v/>
      </c>
      <c r="J2801" t="str">
        <f t="shared" si="44"/>
        <v>MEDICARE TAXES</v>
      </c>
    </row>
    <row r="2802" spans="1:10" x14ac:dyDescent="0.3">
      <c r="A2802" t="str">
        <f>""</f>
        <v/>
      </c>
      <c r="G2802" t="str">
        <f>""</f>
        <v/>
      </c>
      <c r="H2802" t="str">
        <f>""</f>
        <v/>
      </c>
      <c r="J2802" t="str">
        <f t="shared" si="44"/>
        <v>MEDICARE TAXES</v>
      </c>
    </row>
    <row r="2803" spans="1:10" x14ac:dyDescent="0.3">
      <c r="A2803" t="str">
        <f>""</f>
        <v/>
      </c>
      <c r="F2803" t="s">
        <v>10</v>
      </c>
      <c r="G2803" t="str">
        <f>"T4 201706143098"</f>
        <v>T4 201706143098</v>
      </c>
      <c r="H2803" t="str">
        <f>"MEDICARE TAXES"</f>
        <v>MEDICARE TAXES</v>
      </c>
      <c r="I2803" s="2">
        <v>905.86</v>
      </c>
      <c r="J2803" t="str">
        <f t="shared" si="44"/>
        <v>MEDICARE TAXES</v>
      </c>
    </row>
    <row r="2804" spans="1:10" x14ac:dyDescent="0.3">
      <c r="A2804" t="str">
        <f>""</f>
        <v/>
      </c>
      <c r="G2804" t="str">
        <f>""</f>
        <v/>
      </c>
      <c r="H2804" t="str">
        <f>""</f>
        <v/>
      </c>
      <c r="J2804" t="str">
        <f t="shared" si="44"/>
        <v>MEDICARE TAXES</v>
      </c>
    </row>
    <row r="2805" spans="1:10" x14ac:dyDescent="0.3">
      <c r="A2805" t="str">
        <f>""</f>
        <v/>
      </c>
      <c r="F2805" t="s">
        <v>10</v>
      </c>
      <c r="G2805" t="str">
        <f>"T4 201706143099"</f>
        <v>T4 201706143099</v>
      </c>
      <c r="H2805" t="str">
        <f>"MEDICARE TAXES"</f>
        <v>MEDICARE TAXES</v>
      </c>
      <c r="I2805" s="2">
        <v>1320.12</v>
      </c>
      <c r="J2805" t="str">
        <f t="shared" si="44"/>
        <v>MEDICARE TAXES</v>
      </c>
    </row>
    <row r="2806" spans="1:10" x14ac:dyDescent="0.3">
      <c r="A2806" t="str">
        <f>""</f>
        <v/>
      </c>
      <c r="G2806" t="str">
        <f>""</f>
        <v/>
      </c>
      <c r="H2806" t="str">
        <f>""</f>
        <v/>
      </c>
      <c r="J2806" t="str">
        <f t="shared" si="44"/>
        <v>MEDICARE TAXES</v>
      </c>
    </row>
    <row r="2807" spans="1:10" x14ac:dyDescent="0.3">
      <c r="A2807" t="str">
        <f>"IRSPY"</f>
        <v>IRSPY</v>
      </c>
      <c r="B2807" t="s">
        <v>571</v>
      </c>
      <c r="C2807">
        <v>0</v>
      </c>
      <c r="D2807" s="2">
        <v>222535.86</v>
      </c>
      <c r="E2807" s="1">
        <v>42916</v>
      </c>
      <c r="F2807" t="s">
        <v>10</v>
      </c>
      <c r="G2807" t="str">
        <f>"T1 201706273273"</f>
        <v>T1 201706273273</v>
      </c>
      <c r="H2807" t="str">
        <f>"FEDERAL WITHHOLDING"</f>
        <v>FEDERAL WITHHOLDING</v>
      </c>
      <c r="I2807" s="2">
        <v>81141.73</v>
      </c>
      <c r="J2807" t="str">
        <f>"FEDERAL WITHHOLDING"</f>
        <v>FEDERAL WITHHOLDING</v>
      </c>
    </row>
    <row r="2808" spans="1:10" x14ac:dyDescent="0.3">
      <c r="A2808" t="str">
        <f>""</f>
        <v/>
      </c>
      <c r="F2808" t="s">
        <v>10</v>
      </c>
      <c r="G2808" t="str">
        <f>"T1 201706273274"</f>
        <v>T1 201706273274</v>
      </c>
      <c r="H2808" t="str">
        <f>"FEDERAL WITHHOLDING"</f>
        <v>FEDERAL WITHHOLDING</v>
      </c>
      <c r="I2808" s="2">
        <v>3658.08</v>
      </c>
      <c r="J2808" t="str">
        <f>"FEDERAL WITHHOLDING"</f>
        <v>FEDERAL WITHHOLDING</v>
      </c>
    </row>
    <row r="2809" spans="1:10" x14ac:dyDescent="0.3">
      <c r="A2809" t="str">
        <f>""</f>
        <v/>
      </c>
      <c r="F2809" t="s">
        <v>10</v>
      </c>
      <c r="G2809" t="str">
        <f>"T1 201706273275"</f>
        <v>T1 201706273275</v>
      </c>
      <c r="H2809" t="str">
        <f>"FEDERAL WITHHOLDING"</f>
        <v>FEDERAL WITHHOLDING</v>
      </c>
      <c r="I2809" s="2">
        <v>4748.8500000000004</v>
      </c>
      <c r="J2809" t="str">
        <f>"FEDERAL WITHHOLDING"</f>
        <v>FEDERAL WITHHOLDING</v>
      </c>
    </row>
    <row r="2810" spans="1:10" x14ac:dyDescent="0.3">
      <c r="A2810" t="str">
        <f>""</f>
        <v/>
      </c>
      <c r="F2810" t="s">
        <v>10</v>
      </c>
      <c r="G2810" t="str">
        <f>"T3 201706273273"</f>
        <v>T3 201706273273</v>
      </c>
      <c r="H2810" t="str">
        <f>"SOCIAL SECURITY TAXES"</f>
        <v>SOCIAL SECURITY TAXES</v>
      </c>
      <c r="I2810" s="2">
        <v>98083.3</v>
      </c>
      <c r="J2810" t="str">
        <f t="shared" ref="J2810:J2841" si="45">"SOCIAL SECURITY TAXES"</f>
        <v>SOCIAL SECURITY TAXES</v>
      </c>
    </row>
    <row r="2811" spans="1:10" x14ac:dyDescent="0.3">
      <c r="A2811" t="str">
        <f>""</f>
        <v/>
      </c>
      <c r="G2811" t="str">
        <f>""</f>
        <v/>
      </c>
      <c r="H2811" t="str">
        <f>""</f>
        <v/>
      </c>
      <c r="J2811" t="str">
        <f t="shared" si="45"/>
        <v>SOCIAL SECURITY TAXES</v>
      </c>
    </row>
    <row r="2812" spans="1:10" x14ac:dyDescent="0.3">
      <c r="A2812" t="str">
        <f>""</f>
        <v/>
      </c>
      <c r="G2812" t="str">
        <f>""</f>
        <v/>
      </c>
      <c r="H2812" t="str">
        <f>""</f>
        <v/>
      </c>
      <c r="J2812" t="str">
        <f t="shared" si="45"/>
        <v>SOCIAL SECURITY TAXES</v>
      </c>
    </row>
    <row r="2813" spans="1:10" x14ac:dyDescent="0.3">
      <c r="A2813" t="str">
        <f>""</f>
        <v/>
      </c>
      <c r="G2813" t="str">
        <f>""</f>
        <v/>
      </c>
      <c r="H2813" t="str">
        <f>""</f>
        <v/>
      </c>
      <c r="J2813" t="str">
        <f t="shared" si="45"/>
        <v>SOCIAL SECURITY TAXES</v>
      </c>
    </row>
    <row r="2814" spans="1:10" x14ac:dyDescent="0.3">
      <c r="A2814" t="str">
        <f>""</f>
        <v/>
      </c>
      <c r="G2814" t="str">
        <f>""</f>
        <v/>
      </c>
      <c r="H2814" t="str">
        <f>""</f>
        <v/>
      </c>
      <c r="J2814" t="str">
        <f t="shared" si="45"/>
        <v>SOCIAL SECURITY TAXES</v>
      </c>
    </row>
    <row r="2815" spans="1:10" x14ac:dyDescent="0.3">
      <c r="A2815" t="str">
        <f>""</f>
        <v/>
      </c>
      <c r="G2815" t="str">
        <f>""</f>
        <v/>
      </c>
      <c r="H2815" t="str">
        <f>""</f>
        <v/>
      </c>
      <c r="J2815" t="str">
        <f t="shared" si="45"/>
        <v>SOCIAL SECURITY TAXES</v>
      </c>
    </row>
    <row r="2816" spans="1:10" x14ac:dyDescent="0.3">
      <c r="A2816" t="str">
        <f>""</f>
        <v/>
      </c>
      <c r="G2816" t="str">
        <f>""</f>
        <v/>
      </c>
      <c r="H2816" t="str">
        <f>""</f>
        <v/>
      </c>
      <c r="J2816" t="str">
        <f t="shared" si="45"/>
        <v>SOCIAL SECURITY TAXES</v>
      </c>
    </row>
    <row r="2817" spans="1:10" x14ac:dyDescent="0.3">
      <c r="A2817" t="str">
        <f>""</f>
        <v/>
      </c>
      <c r="G2817" t="str">
        <f>""</f>
        <v/>
      </c>
      <c r="H2817" t="str">
        <f>""</f>
        <v/>
      </c>
      <c r="J2817" t="str">
        <f t="shared" si="45"/>
        <v>SOCIAL SECURITY TAXES</v>
      </c>
    </row>
    <row r="2818" spans="1:10" x14ac:dyDescent="0.3">
      <c r="A2818" t="str">
        <f>""</f>
        <v/>
      </c>
      <c r="G2818" t="str">
        <f>""</f>
        <v/>
      </c>
      <c r="H2818" t="str">
        <f>""</f>
        <v/>
      </c>
      <c r="J2818" t="str">
        <f t="shared" si="45"/>
        <v>SOCIAL SECURITY TAXES</v>
      </c>
    </row>
    <row r="2819" spans="1:10" x14ac:dyDescent="0.3">
      <c r="A2819" t="str">
        <f>""</f>
        <v/>
      </c>
      <c r="G2819" t="str">
        <f>""</f>
        <v/>
      </c>
      <c r="H2819" t="str">
        <f>""</f>
        <v/>
      </c>
      <c r="J2819" t="str">
        <f t="shared" si="45"/>
        <v>SOCIAL SECURITY TAXES</v>
      </c>
    </row>
    <row r="2820" spans="1:10" x14ac:dyDescent="0.3">
      <c r="A2820" t="str">
        <f>""</f>
        <v/>
      </c>
      <c r="G2820" t="str">
        <f>""</f>
        <v/>
      </c>
      <c r="H2820" t="str">
        <f>""</f>
        <v/>
      </c>
      <c r="J2820" t="str">
        <f t="shared" si="45"/>
        <v>SOCIAL SECURITY TAXES</v>
      </c>
    </row>
    <row r="2821" spans="1:10" x14ac:dyDescent="0.3">
      <c r="A2821" t="str">
        <f>""</f>
        <v/>
      </c>
      <c r="G2821" t="str">
        <f>""</f>
        <v/>
      </c>
      <c r="H2821" t="str">
        <f>""</f>
        <v/>
      </c>
      <c r="J2821" t="str">
        <f t="shared" si="45"/>
        <v>SOCIAL SECURITY TAXES</v>
      </c>
    </row>
    <row r="2822" spans="1:10" x14ac:dyDescent="0.3">
      <c r="A2822" t="str">
        <f>""</f>
        <v/>
      </c>
      <c r="G2822" t="str">
        <f>""</f>
        <v/>
      </c>
      <c r="H2822" t="str">
        <f>""</f>
        <v/>
      </c>
      <c r="J2822" t="str">
        <f t="shared" si="45"/>
        <v>SOCIAL SECURITY TAXES</v>
      </c>
    </row>
    <row r="2823" spans="1:10" x14ac:dyDescent="0.3">
      <c r="A2823" t="str">
        <f>""</f>
        <v/>
      </c>
      <c r="G2823" t="str">
        <f>""</f>
        <v/>
      </c>
      <c r="H2823" t="str">
        <f>""</f>
        <v/>
      </c>
      <c r="J2823" t="str">
        <f t="shared" si="45"/>
        <v>SOCIAL SECURITY TAXES</v>
      </c>
    </row>
    <row r="2824" spans="1:10" x14ac:dyDescent="0.3">
      <c r="A2824" t="str">
        <f>""</f>
        <v/>
      </c>
      <c r="G2824" t="str">
        <f>""</f>
        <v/>
      </c>
      <c r="H2824" t="str">
        <f>""</f>
        <v/>
      </c>
      <c r="J2824" t="str">
        <f t="shared" si="45"/>
        <v>SOCIAL SECURITY TAXES</v>
      </c>
    </row>
    <row r="2825" spans="1:10" x14ac:dyDescent="0.3">
      <c r="A2825" t="str">
        <f>""</f>
        <v/>
      </c>
      <c r="G2825" t="str">
        <f>""</f>
        <v/>
      </c>
      <c r="H2825" t="str">
        <f>""</f>
        <v/>
      </c>
      <c r="J2825" t="str">
        <f t="shared" si="45"/>
        <v>SOCIAL SECURITY TAXES</v>
      </c>
    </row>
    <row r="2826" spans="1:10" x14ac:dyDescent="0.3">
      <c r="A2826" t="str">
        <f>""</f>
        <v/>
      </c>
      <c r="G2826" t="str">
        <f>""</f>
        <v/>
      </c>
      <c r="H2826" t="str">
        <f>""</f>
        <v/>
      </c>
      <c r="J2826" t="str">
        <f t="shared" si="45"/>
        <v>SOCIAL SECURITY TAXES</v>
      </c>
    </row>
    <row r="2827" spans="1:10" x14ac:dyDescent="0.3">
      <c r="A2827" t="str">
        <f>""</f>
        <v/>
      </c>
      <c r="G2827" t="str">
        <f>""</f>
        <v/>
      </c>
      <c r="H2827" t="str">
        <f>""</f>
        <v/>
      </c>
      <c r="J2827" t="str">
        <f t="shared" si="45"/>
        <v>SOCIAL SECURITY TAXES</v>
      </c>
    </row>
    <row r="2828" spans="1:10" x14ac:dyDescent="0.3">
      <c r="A2828" t="str">
        <f>""</f>
        <v/>
      </c>
      <c r="G2828" t="str">
        <f>""</f>
        <v/>
      </c>
      <c r="H2828" t="str">
        <f>""</f>
        <v/>
      </c>
      <c r="J2828" t="str">
        <f t="shared" si="45"/>
        <v>SOCIAL SECURITY TAXES</v>
      </c>
    </row>
    <row r="2829" spans="1:10" x14ac:dyDescent="0.3">
      <c r="A2829" t="str">
        <f>""</f>
        <v/>
      </c>
      <c r="G2829" t="str">
        <f>""</f>
        <v/>
      </c>
      <c r="H2829" t="str">
        <f>""</f>
        <v/>
      </c>
      <c r="J2829" t="str">
        <f t="shared" si="45"/>
        <v>SOCIAL SECURITY TAXES</v>
      </c>
    </row>
    <row r="2830" spans="1:10" x14ac:dyDescent="0.3">
      <c r="A2830" t="str">
        <f>""</f>
        <v/>
      </c>
      <c r="G2830" t="str">
        <f>""</f>
        <v/>
      </c>
      <c r="H2830" t="str">
        <f>""</f>
        <v/>
      </c>
      <c r="J2830" t="str">
        <f t="shared" si="45"/>
        <v>SOCIAL SECURITY TAXES</v>
      </c>
    </row>
    <row r="2831" spans="1:10" x14ac:dyDescent="0.3">
      <c r="A2831" t="str">
        <f>""</f>
        <v/>
      </c>
      <c r="G2831" t="str">
        <f>""</f>
        <v/>
      </c>
      <c r="H2831" t="str">
        <f>""</f>
        <v/>
      </c>
      <c r="J2831" t="str">
        <f t="shared" si="45"/>
        <v>SOCIAL SECURITY TAXES</v>
      </c>
    </row>
    <row r="2832" spans="1:10" x14ac:dyDescent="0.3">
      <c r="A2832" t="str">
        <f>""</f>
        <v/>
      </c>
      <c r="G2832" t="str">
        <f>""</f>
        <v/>
      </c>
      <c r="H2832" t="str">
        <f>""</f>
        <v/>
      </c>
      <c r="J2832" t="str">
        <f t="shared" si="45"/>
        <v>SOCIAL SECURITY TAXES</v>
      </c>
    </row>
    <row r="2833" spans="1:10" x14ac:dyDescent="0.3">
      <c r="A2833" t="str">
        <f>""</f>
        <v/>
      </c>
      <c r="G2833" t="str">
        <f>""</f>
        <v/>
      </c>
      <c r="H2833" t="str">
        <f>""</f>
        <v/>
      </c>
      <c r="J2833" t="str">
        <f t="shared" si="45"/>
        <v>SOCIAL SECURITY TAXES</v>
      </c>
    </row>
    <row r="2834" spans="1:10" x14ac:dyDescent="0.3">
      <c r="A2834" t="str">
        <f>""</f>
        <v/>
      </c>
      <c r="G2834" t="str">
        <f>""</f>
        <v/>
      </c>
      <c r="H2834" t="str">
        <f>""</f>
        <v/>
      </c>
      <c r="J2834" t="str">
        <f t="shared" si="45"/>
        <v>SOCIAL SECURITY TAXES</v>
      </c>
    </row>
    <row r="2835" spans="1:10" x14ac:dyDescent="0.3">
      <c r="A2835" t="str">
        <f>""</f>
        <v/>
      </c>
      <c r="G2835" t="str">
        <f>""</f>
        <v/>
      </c>
      <c r="H2835" t="str">
        <f>""</f>
        <v/>
      </c>
      <c r="J2835" t="str">
        <f t="shared" si="45"/>
        <v>SOCIAL SECURITY TAXES</v>
      </c>
    </row>
    <row r="2836" spans="1:10" x14ac:dyDescent="0.3">
      <c r="A2836" t="str">
        <f>""</f>
        <v/>
      </c>
      <c r="G2836" t="str">
        <f>""</f>
        <v/>
      </c>
      <c r="H2836" t="str">
        <f>""</f>
        <v/>
      </c>
      <c r="J2836" t="str">
        <f t="shared" si="45"/>
        <v>SOCIAL SECURITY TAXES</v>
      </c>
    </row>
    <row r="2837" spans="1:10" x14ac:dyDescent="0.3">
      <c r="A2837" t="str">
        <f>""</f>
        <v/>
      </c>
      <c r="G2837" t="str">
        <f>""</f>
        <v/>
      </c>
      <c r="H2837" t="str">
        <f>""</f>
        <v/>
      </c>
      <c r="J2837" t="str">
        <f t="shared" si="45"/>
        <v>SOCIAL SECURITY TAXES</v>
      </c>
    </row>
    <row r="2838" spans="1:10" x14ac:dyDescent="0.3">
      <c r="A2838" t="str">
        <f>""</f>
        <v/>
      </c>
      <c r="G2838" t="str">
        <f>""</f>
        <v/>
      </c>
      <c r="H2838" t="str">
        <f>""</f>
        <v/>
      </c>
      <c r="J2838" t="str">
        <f t="shared" si="45"/>
        <v>SOCIAL SECURITY TAXES</v>
      </c>
    </row>
    <row r="2839" spans="1:10" x14ac:dyDescent="0.3">
      <c r="A2839" t="str">
        <f>""</f>
        <v/>
      </c>
      <c r="G2839" t="str">
        <f>""</f>
        <v/>
      </c>
      <c r="H2839" t="str">
        <f>""</f>
        <v/>
      </c>
      <c r="J2839" t="str">
        <f t="shared" si="45"/>
        <v>SOCIAL SECURITY TAXES</v>
      </c>
    </row>
    <row r="2840" spans="1:10" x14ac:dyDescent="0.3">
      <c r="A2840" t="str">
        <f>""</f>
        <v/>
      </c>
      <c r="G2840" t="str">
        <f>""</f>
        <v/>
      </c>
      <c r="H2840" t="str">
        <f>""</f>
        <v/>
      </c>
      <c r="J2840" t="str">
        <f t="shared" si="45"/>
        <v>SOCIAL SECURITY TAXES</v>
      </c>
    </row>
    <row r="2841" spans="1:10" x14ac:dyDescent="0.3">
      <c r="A2841" t="str">
        <f>""</f>
        <v/>
      </c>
      <c r="G2841" t="str">
        <f>""</f>
        <v/>
      </c>
      <c r="H2841" t="str">
        <f>""</f>
        <v/>
      </c>
      <c r="J2841" t="str">
        <f t="shared" si="45"/>
        <v>SOCIAL SECURITY TAXES</v>
      </c>
    </row>
    <row r="2842" spans="1:10" x14ac:dyDescent="0.3">
      <c r="A2842" t="str">
        <f>""</f>
        <v/>
      </c>
      <c r="G2842" t="str">
        <f>""</f>
        <v/>
      </c>
      <c r="H2842" t="str">
        <f>""</f>
        <v/>
      </c>
      <c r="J2842" t="str">
        <f t="shared" ref="J2842:J2865" si="46">"SOCIAL SECURITY TAXES"</f>
        <v>SOCIAL SECURITY TAXES</v>
      </c>
    </row>
    <row r="2843" spans="1:10" x14ac:dyDescent="0.3">
      <c r="A2843" t="str">
        <f>""</f>
        <v/>
      </c>
      <c r="G2843" t="str">
        <f>""</f>
        <v/>
      </c>
      <c r="H2843" t="str">
        <f>""</f>
        <v/>
      </c>
      <c r="J2843" t="str">
        <f t="shared" si="46"/>
        <v>SOCIAL SECURITY TAXES</v>
      </c>
    </row>
    <row r="2844" spans="1:10" x14ac:dyDescent="0.3">
      <c r="A2844" t="str">
        <f>""</f>
        <v/>
      </c>
      <c r="G2844" t="str">
        <f>""</f>
        <v/>
      </c>
      <c r="H2844" t="str">
        <f>""</f>
        <v/>
      </c>
      <c r="J2844" t="str">
        <f t="shared" si="46"/>
        <v>SOCIAL SECURITY TAXES</v>
      </c>
    </row>
    <row r="2845" spans="1:10" x14ac:dyDescent="0.3">
      <c r="A2845" t="str">
        <f>""</f>
        <v/>
      </c>
      <c r="G2845" t="str">
        <f>""</f>
        <v/>
      </c>
      <c r="H2845" t="str">
        <f>""</f>
        <v/>
      </c>
      <c r="J2845" t="str">
        <f t="shared" si="46"/>
        <v>SOCIAL SECURITY TAXES</v>
      </c>
    </row>
    <row r="2846" spans="1:10" x14ac:dyDescent="0.3">
      <c r="A2846" t="str">
        <f>""</f>
        <v/>
      </c>
      <c r="G2846" t="str">
        <f>""</f>
        <v/>
      </c>
      <c r="H2846" t="str">
        <f>""</f>
        <v/>
      </c>
      <c r="J2846" t="str">
        <f t="shared" si="46"/>
        <v>SOCIAL SECURITY TAXES</v>
      </c>
    </row>
    <row r="2847" spans="1:10" x14ac:dyDescent="0.3">
      <c r="A2847" t="str">
        <f>""</f>
        <v/>
      </c>
      <c r="G2847" t="str">
        <f>""</f>
        <v/>
      </c>
      <c r="H2847" t="str">
        <f>""</f>
        <v/>
      </c>
      <c r="J2847" t="str">
        <f t="shared" si="46"/>
        <v>SOCIAL SECURITY TAXES</v>
      </c>
    </row>
    <row r="2848" spans="1:10" x14ac:dyDescent="0.3">
      <c r="A2848" t="str">
        <f>""</f>
        <v/>
      </c>
      <c r="G2848" t="str">
        <f>""</f>
        <v/>
      </c>
      <c r="H2848" t="str">
        <f>""</f>
        <v/>
      </c>
      <c r="J2848" t="str">
        <f t="shared" si="46"/>
        <v>SOCIAL SECURITY TAXES</v>
      </c>
    </row>
    <row r="2849" spans="1:10" x14ac:dyDescent="0.3">
      <c r="A2849" t="str">
        <f>""</f>
        <v/>
      </c>
      <c r="G2849" t="str">
        <f>""</f>
        <v/>
      </c>
      <c r="H2849" t="str">
        <f>""</f>
        <v/>
      </c>
      <c r="J2849" t="str">
        <f t="shared" si="46"/>
        <v>SOCIAL SECURITY TAXES</v>
      </c>
    </row>
    <row r="2850" spans="1:10" x14ac:dyDescent="0.3">
      <c r="A2850" t="str">
        <f>""</f>
        <v/>
      </c>
      <c r="G2850" t="str">
        <f>""</f>
        <v/>
      </c>
      <c r="H2850" t="str">
        <f>""</f>
        <v/>
      </c>
      <c r="J2850" t="str">
        <f t="shared" si="46"/>
        <v>SOCIAL SECURITY TAXES</v>
      </c>
    </row>
    <row r="2851" spans="1:10" x14ac:dyDescent="0.3">
      <c r="A2851" t="str">
        <f>""</f>
        <v/>
      </c>
      <c r="G2851" t="str">
        <f>""</f>
        <v/>
      </c>
      <c r="H2851" t="str">
        <f>""</f>
        <v/>
      </c>
      <c r="J2851" t="str">
        <f t="shared" si="46"/>
        <v>SOCIAL SECURITY TAXES</v>
      </c>
    </row>
    <row r="2852" spans="1:10" x14ac:dyDescent="0.3">
      <c r="A2852" t="str">
        <f>""</f>
        <v/>
      </c>
      <c r="G2852" t="str">
        <f>""</f>
        <v/>
      </c>
      <c r="H2852" t="str">
        <f>""</f>
        <v/>
      </c>
      <c r="J2852" t="str">
        <f t="shared" si="46"/>
        <v>SOCIAL SECURITY TAXES</v>
      </c>
    </row>
    <row r="2853" spans="1:10" x14ac:dyDescent="0.3">
      <c r="A2853" t="str">
        <f>""</f>
        <v/>
      </c>
      <c r="G2853" t="str">
        <f>""</f>
        <v/>
      </c>
      <c r="H2853" t="str">
        <f>""</f>
        <v/>
      </c>
      <c r="J2853" t="str">
        <f t="shared" si="46"/>
        <v>SOCIAL SECURITY TAXES</v>
      </c>
    </row>
    <row r="2854" spans="1:10" x14ac:dyDescent="0.3">
      <c r="A2854" t="str">
        <f>""</f>
        <v/>
      </c>
      <c r="G2854" t="str">
        <f>""</f>
        <v/>
      </c>
      <c r="H2854" t="str">
        <f>""</f>
        <v/>
      </c>
      <c r="J2854" t="str">
        <f t="shared" si="46"/>
        <v>SOCIAL SECURITY TAXES</v>
      </c>
    </row>
    <row r="2855" spans="1:10" x14ac:dyDescent="0.3">
      <c r="A2855" t="str">
        <f>""</f>
        <v/>
      </c>
      <c r="G2855" t="str">
        <f>""</f>
        <v/>
      </c>
      <c r="H2855" t="str">
        <f>""</f>
        <v/>
      </c>
      <c r="J2855" t="str">
        <f t="shared" si="46"/>
        <v>SOCIAL SECURITY TAXES</v>
      </c>
    </row>
    <row r="2856" spans="1:10" x14ac:dyDescent="0.3">
      <c r="A2856" t="str">
        <f>""</f>
        <v/>
      </c>
      <c r="G2856" t="str">
        <f>""</f>
        <v/>
      </c>
      <c r="H2856" t="str">
        <f>""</f>
        <v/>
      </c>
      <c r="J2856" t="str">
        <f t="shared" si="46"/>
        <v>SOCIAL SECURITY TAXES</v>
      </c>
    </row>
    <row r="2857" spans="1:10" x14ac:dyDescent="0.3">
      <c r="A2857" t="str">
        <f>""</f>
        <v/>
      </c>
      <c r="G2857" t="str">
        <f>""</f>
        <v/>
      </c>
      <c r="H2857" t="str">
        <f>""</f>
        <v/>
      </c>
      <c r="J2857" t="str">
        <f t="shared" si="46"/>
        <v>SOCIAL SECURITY TAXES</v>
      </c>
    </row>
    <row r="2858" spans="1:10" x14ac:dyDescent="0.3">
      <c r="A2858" t="str">
        <f>""</f>
        <v/>
      </c>
      <c r="G2858" t="str">
        <f>""</f>
        <v/>
      </c>
      <c r="H2858" t="str">
        <f>""</f>
        <v/>
      </c>
      <c r="J2858" t="str">
        <f t="shared" si="46"/>
        <v>SOCIAL SECURITY TAXES</v>
      </c>
    </row>
    <row r="2859" spans="1:10" x14ac:dyDescent="0.3">
      <c r="A2859" t="str">
        <f>""</f>
        <v/>
      </c>
      <c r="G2859" t="str">
        <f>""</f>
        <v/>
      </c>
      <c r="H2859" t="str">
        <f>""</f>
        <v/>
      </c>
      <c r="J2859" t="str">
        <f t="shared" si="46"/>
        <v>SOCIAL SECURITY TAXES</v>
      </c>
    </row>
    <row r="2860" spans="1:10" x14ac:dyDescent="0.3">
      <c r="A2860" t="str">
        <f>""</f>
        <v/>
      </c>
      <c r="G2860" t="str">
        <f>""</f>
        <v/>
      </c>
      <c r="H2860" t="str">
        <f>""</f>
        <v/>
      </c>
      <c r="J2860" t="str">
        <f t="shared" si="46"/>
        <v>SOCIAL SECURITY TAXES</v>
      </c>
    </row>
    <row r="2861" spans="1:10" x14ac:dyDescent="0.3">
      <c r="A2861" t="str">
        <f>""</f>
        <v/>
      </c>
      <c r="G2861" t="str">
        <f>""</f>
        <v/>
      </c>
      <c r="H2861" t="str">
        <f>""</f>
        <v/>
      </c>
      <c r="J2861" t="str">
        <f t="shared" si="46"/>
        <v>SOCIAL SECURITY TAXES</v>
      </c>
    </row>
    <row r="2862" spans="1:10" x14ac:dyDescent="0.3">
      <c r="A2862" t="str">
        <f>""</f>
        <v/>
      </c>
      <c r="F2862" t="s">
        <v>10</v>
      </c>
      <c r="G2862" t="str">
        <f>"T3 201706273274"</f>
        <v>T3 201706273274</v>
      </c>
      <c r="H2862" t="str">
        <f>"SOCIAL SECURITY TAXES"</f>
        <v>SOCIAL SECURITY TAXES</v>
      </c>
      <c r="I2862" s="2">
        <v>4050.96</v>
      </c>
      <c r="J2862" t="str">
        <f t="shared" si="46"/>
        <v>SOCIAL SECURITY TAXES</v>
      </c>
    </row>
    <row r="2863" spans="1:10" x14ac:dyDescent="0.3">
      <c r="A2863" t="str">
        <f>""</f>
        <v/>
      </c>
      <c r="G2863" t="str">
        <f>""</f>
        <v/>
      </c>
      <c r="H2863" t="str">
        <f>""</f>
        <v/>
      </c>
      <c r="J2863" t="str">
        <f t="shared" si="46"/>
        <v>SOCIAL SECURITY TAXES</v>
      </c>
    </row>
    <row r="2864" spans="1:10" x14ac:dyDescent="0.3">
      <c r="A2864" t="str">
        <f>""</f>
        <v/>
      </c>
      <c r="F2864" t="s">
        <v>10</v>
      </c>
      <c r="G2864" t="str">
        <f>"T3 201706273275"</f>
        <v>T3 201706273275</v>
      </c>
      <c r="H2864" t="str">
        <f>"SOCIAL SECURITY TAXES"</f>
        <v>SOCIAL SECURITY TAXES</v>
      </c>
      <c r="I2864" s="2">
        <v>5646.36</v>
      </c>
      <c r="J2864" t="str">
        <f t="shared" si="46"/>
        <v>SOCIAL SECURITY TAXES</v>
      </c>
    </row>
    <row r="2865" spans="1:10" x14ac:dyDescent="0.3">
      <c r="A2865" t="str">
        <f>""</f>
        <v/>
      </c>
      <c r="G2865" t="str">
        <f>""</f>
        <v/>
      </c>
      <c r="H2865" t="str">
        <f>""</f>
        <v/>
      </c>
      <c r="J2865" t="str">
        <f t="shared" si="46"/>
        <v>SOCIAL SECURITY TAXES</v>
      </c>
    </row>
    <row r="2866" spans="1:10" x14ac:dyDescent="0.3">
      <c r="A2866" t="str">
        <f>""</f>
        <v/>
      </c>
      <c r="F2866" t="s">
        <v>10</v>
      </c>
      <c r="G2866" t="str">
        <f>"T4 201706273273"</f>
        <v>T4 201706273273</v>
      </c>
      <c r="H2866" t="str">
        <f>"MEDICARE TAXES"</f>
        <v>MEDICARE TAXES</v>
      </c>
      <c r="I2866" s="2">
        <v>22938.639999999999</v>
      </c>
      <c r="J2866" t="str">
        <f t="shared" ref="J2866:J2897" si="47">"MEDICARE TAXES"</f>
        <v>MEDICARE TAXES</v>
      </c>
    </row>
    <row r="2867" spans="1:10" x14ac:dyDescent="0.3">
      <c r="A2867" t="str">
        <f>""</f>
        <v/>
      </c>
      <c r="G2867" t="str">
        <f>""</f>
        <v/>
      </c>
      <c r="H2867" t="str">
        <f>""</f>
        <v/>
      </c>
      <c r="J2867" t="str">
        <f t="shared" si="47"/>
        <v>MEDICARE TAXES</v>
      </c>
    </row>
    <row r="2868" spans="1:10" x14ac:dyDescent="0.3">
      <c r="A2868" t="str">
        <f>""</f>
        <v/>
      </c>
      <c r="G2868" t="str">
        <f>""</f>
        <v/>
      </c>
      <c r="H2868" t="str">
        <f>""</f>
        <v/>
      </c>
      <c r="J2868" t="str">
        <f t="shared" si="47"/>
        <v>MEDICARE TAXES</v>
      </c>
    </row>
    <row r="2869" spans="1:10" x14ac:dyDescent="0.3">
      <c r="A2869" t="str">
        <f>""</f>
        <v/>
      </c>
      <c r="G2869" t="str">
        <f>""</f>
        <v/>
      </c>
      <c r="H2869" t="str">
        <f>""</f>
        <v/>
      </c>
      <c r="J2869" t="str">
        <f t="shared" si="47"/>
        <v>MEDICARE TAXES</v>
      </c>
    </row>
    <row r="2870" spans="1:10" x14ac:dyDescent="0.3">
      <c r="A2870" t="str">
        <f>""</f>
        <v/>
      </c>
      <c r="G2870" t="str">
        <f>""</f>
        <v/>
      </c>
      <c r="H2870" t="str">
        <f>""</f>
        <v/>
      </c>
      <c r="J2870" t="str">
        <f t="shared" si="47"/>
        <v>MEDICARE TAXES</v>
      </c>
    </row>
    <row r="2871" spans="1:10" x14ac:dyDescent="0.3">
      <c r="A2871" t="str">
        <f>""</f>
        <v/>
      </c>
      <c r="G2871" t="str">
        <f>""</f>
        <v/>
      </c>
      <c r="H2871" t="str">
        <f>""</f>
        <v/>
      </c>
      <c r="J2871" t="str">
        <f t="shared" si="47"/>
        <v>MEDICARE TAXES</v>
      </c>
    </row>
    <row r="2872" spans="1:10" x14ac:dyDescent="0.3">
      <c r="A2872" t="str">
        <f>""</f>
        <v/>
      </c>
      <c r="G2872" t="str">
        <f>""</f>
        <v/>
      </c>
      <c r="H2872" t="str">
        <f>""</f>
        <v/>
      </c>
      <c r="J2872" t="str">
        <f t="shared" si="47"/>
        <v>MEDICARE TAXES</v>
      </c>
    </row>
    <row r="2873" spans="1:10" x14ac:dyDescent="0.3">
      <c r="A2873" t="str">
        <f>""</f>
        <v/>
      </c>
      <c r="G2873" t="str">
        <f>""</f>
        <v/>
      </c>
      <c r="H2873" t="str">
        <f>""</f>
        <v/>
      </c>
      <c r="J2873" t="str">
        <f t="shared" si="47"/>
        <v>MEDICARE TAXES</v>
      </c>
    </row>
    <row r="2874" spans="1:10" x14ac:dyDescent="0.3">
      <c r="A2874" t="str">
        <f>""</f>
        <v/>
      </c>
      <c r="G2874" t="str">
        <f>""</f>
        <v/>
      </c>
      <c r="H2874" t="str">
        <f>""</f>
        <v/>
      </c>
      <c r="J2874" t="str">
        <f t="shared" si="47"/>
        <v>MEDICARE TAXES</v>
      </c>
    </row>
    <row r="2875" spans="1:10" x14ac:dyDescent="0.3">
      <c r="A2875" t="str">
        <f>""</f>
        <v/>
      </c>
      <c r="G2875" t="str">
        <f>""</f>
        <v/>
      </c>
      <c r="H2875" t="str">
        <f>""</f>
        <v/>
      </c>
      <c r="J2875" t="str">
        <f t="shared" si="47"/>
        <v>MEDICARE TAXES</v>
      </c>
    </row>
    <row r="2876" spans="1:10" x14ac:dyDescent="0.3">
      <c r="A2876" t="str">
        <f>""</f>
        <v/>
      </c>
      <c r="G2876" t="str">
        <f>""</f>
        <v/>
      </c>
      <c r="H2876" t="str">
        <f>""</f>
        <v/>
      </c>
      <c r="J2876" t="str">
        <f t="shared" si="47"/>
        <v>MEDICARE TAXES</v>
      </c>
    </row>
    <row r="2877" spans="1:10" x14ac:dyDescent="0.3">
      <c r="A2877" t="str">
        <f>""</f>
        <v/>
      </c>
      <c r="G2877" t="str">
        <f>""</f>
        <v/>
      </c>
      <c r="H2877" t="str">
        <f>""</f>
        <v/>
      </c>
      <c r="J2877" t="str">
        <f t="shared" si="47"/>
        <v>MEDICARE TAXES</v>
      </c>
    </row>
    <row r="2878" spans="1:10" x14ac:dyDescent="0.3">
      <c r="A2878" t="str">
        <f>""</f>
        <v/>
      </c>
      <c r="G2878" t="str">
        <f>""</f>
        <v/>
      </c>
      <c r="H2878" t="str">
        <f>""</f>
        <v/>
      </c>
      <c r="J2878" t="str">
        <f t="shared" si="47"/>
        <v>MEDICARE TAXES</v>
      </c>
    </row>
    <row r="2879" spans="1:10" x14ac:dyDescent="0.3">
      <c r="A2879" t="str">
        <f>""</f>
        <v/>
      </c>
      <c r="G2879" t="str">
        <f>""</f>
        <v/>
      </c>
      <c r="H2879" t="str">
        <f>""</f>
        <v/>
      </c>
      <c r="J2879" t="str">
        <f t="shared" si="47"/>
        <v>MEDICARE TAXES</v>
      </c>
    </row>
    <row r="2880" spans="1:10" x14ac:dyDescent="0.3">
      <c r="A2880" t="str">
        <f>""</f>
        <v/>
      </c>
      <c r="G2880" t="str">
        <f>""</f>
        <v/>
      </c>
      <c r="H2880" t="str">
        <f>""</f>
        <v/>
      </c>
      <c r="J2880" t="str">
        <f t="shared" si="47"/>
        <v>MEDICARE TAXES</v>
      </c>
    </row>
    <row r="2881" spans="1:10" x14ac:dyDescent="0.3">
      <c r="A2881" t="str">
        <f>""</f>
        <v/>
      </c>
      <c r="G2881" t="str">
        <f>""</f>
        <v/>
      </c>
      <c r="H2881" t="str">
        <f>""</f>
        <v/>
      </c>
      <c r="J2881" t="str">
        <f t="shared" si="47"/>
        <v>MEDICARE TAXES</v>
      </c>
    </row>
    <row r="2882" spans="1:10" x14ac:dyDescent="0.3">
      <c r="A2882" t="str">
        <f>""</f>
        <v/>
      </c>
      <c r="G2882" t="str">
        <f>""</f>
        <v/>
      </c>
      <c r="H2882" t="str">
        <f>""</f>
        <v/>
      </c>
      <c r="J2882" t="str">
        <f t="shared" si="47"/>
        <v>MEDICARE TAXES</v>
      </c>
    </row>
    <row r="2883" spans="1:10" x14ac:dyDescent="0.3">
      <c r="A2883" t="str">
        <f>""</f>
        <v/>
      </c>
      <c r="G2883" t="str">
        <f>""</f>
        <v/>
      </c>
      <c r="H2883" t="str">
        <f>""</f>
        <v/>
      </c>
      <c r="J2883" t="str">
        <f t="shared" si="47"/>
        <v>MEDICARE TAXES</v>
      </c>
    </row>
    <row r="2884" spans="1:10" x14ac:dyDescent="0.3">
      <c r="A2884" t="str">
        <f>""</f>
        <v/>
      </c>
      <c r="G2884" t="str">
        <f>""</f>
        <v/>
      </c>
      <c r="H2884" t="str">
        <f>""</f>
        <v/>
      </c>
      <c r="J2884" t="str">
        <f t="shared" si="47"/>
        <v>MEDICARE TAXES</v>
      </c>
    </row>
    <row r="2885" spans="1:10" x14ac:dyDescent="0.3">
      <c r="A2885" t="str">
        <f>""</f>
        <v/>
      </c>
      <c r="G2885" t="str">
        <f>""</f>
        <v/>
      </c>
      <c r="H2885" t="str">
        <f>""</f>
        <v/>
      </c>
      <c r="J2885" t="str">
        <f t="shared" si="47"/>
        <v>MEDICARE TAXES</v>
      </c>
    </row>
    <row r="2886" spans="1:10" x14ac:dyDescent="0.3">
      <c r="A2886" t="str">
        <f>""</f>
        <v/>
      </c>
      <c r="G2886" t="str">
        <f>""</f>
        <v/>
      </c>
      <c r="H2886" t="str">
        <f>""</f>
        <v/>
      </c>
      <c r="J2886" t="str">
        <f t="shared" si="47"/>
        <v>MEDICARE TAXES</v>
      </c>
    </row>
    <row r="2887" spans="1:10" x14ac:dyDescent="0.3">
      <c r="A2887" t="str">
        <f>""</f>
        <v/>
      </c>
      <c r="G2887" t="str">
        <f>""</f>
        <v/>
      </c>
      <c r="H2887" t="str">
        <f>""</f>
        <v/>
      </c>
      <c r="J2887" t="str">
        <f t="shared" si="47"/>
        <v>MEDICARE TAXES</v>
      </c>
    </row>
    <row r="2888" spans="1:10" x14ac:dyDescent="0.3">
      <c r="A2888" t="str">
        <f>""</f>
        <v/>
      </c>
      <c r="G2888" t="str">
        <f>""</f>
        <v/>
      </c>
      <c r="H2888" t="str">
        <f>""</f>
        <v/>
      </c>
      <c r="J2888" t="str">
        <f t="shared" si="47"/>
        <v>MEDICARE TAXES</v>
      </c>
    </row>
    <row r="2889" spans="1:10" x14ac:dyDescent="0.3">
      <c r="A2889" t="str">
        <f>""</f>
        <v/>
      </c>
      <c r="G2889" t="str">
        <f>""</f>
        <v/>
      </c>
      <c r="H2889" t="str">
        <f>""</f>
        <v/>
      </c>
      <c r="J2889" t="str">
        <f t="shared" si="47"/>
        <v>MEDICARE TAXES</v>
      </c>
    </row>
    <row r="2890" spans="1:10" x14ac:dyDescent="0.3">
      <c r="A2890" t="str">
        <f>""</f>
        <v/>
      </c>
      <c r="G2890" t="str">
        <f>""</f>
        <v/>
      </c>
      <c r="H2890" t="str">
        <f>""</f>
        <v/>
      </c>
      <c r="J2890" t="str">
        <f t="shared" si="47"/>
        <v>MEDICARE TAXES</v>
      </c>
    </row>
    <row r="2891" spans="1:10" x14ac:dyDescent="0.3">
      <c r="A2891" t="str">
        <f>""</f>
        <v/>
      </c>
      <c r="G2891" t="str">
        <f>""</f>
        <v/>
      </c>
      <c r="H2891" t="str">
        <f>""</f>
        <v/>
      </c>
      <c r="J2891" t="str">
        <f t="shared" si="47"/>
        <v>MEDICARE TAXES</v>
      </c>
    </row>
    <row r="2892" spans="1:10" x14ac:dyDescent="0.3">
      <c r="A2892" t="str">
        <f>""</f>
        <v/>
      </c>
      <c r="G2892" t="str">
        <f>""</f>
        <v/>
      </c>
      <c r="H2892" t="str">
        <f>""</f>
        <v/>
      </c>
      <c r="J2892" t="str">
        <f t="shared" si="47"/>
        <v>MEDICARE TAXES</v>
      </c>
    </row>
    <row r="2893" spans="1:10" x14ac:dyDescent="0.3">
      <c r="A2893" t="str">
        <f>""</f>
        <v/>
      </c>
      <c r="G2893" t="str">
        <f>""</f>
        <v/>
      </c>
      <c r="H2893" t="str">
        <f>""</f>
        <v/>
      </c>
      <c r="J2893" t="str">
        <f t="shared" si="47"/>
        <v>MEDICARE TAXES</v>
      </c>
    </row>
    <row r="2894" spans="1:10" x14ac:dyDescent="0.3">
      <c r="A2894" t="str">
        <f>""</f>
        <v/>
      </c>
      <c r="G2894" t="str">
        <f>""</f>
        <v/>
      </c>
      <c r="H2894" t="str">
        <f>""</f>
        <v/>
      </c>
      <c r="J2894" t="str">
        <f t="shared" si="47"/>
        <v>MEDICARE TAXES</v>
      </c>
    </row>
    <row r="2895" spans="1:10" x14ac:dyDescent="0.3">
      <c r="A2895" t="str">
        <f>""</f>
        <v/>
      </c>
      <c r="G2895" t="str">
        <f>""</f>
        <v/>
      </c>
      <c r="H2895" t="str">
        <f>""</f>
        <v/>
      </c>
      <c r="J2895" t="str">
        <f t="shared" si="47"/>
        <v>MEDICARE TAXES</v>
      </c>
    </row>
    <row r="2896" spans="1:10" x14ac:dyDescent="0.3">
      <c r="A2896" t="str">
        <f>""</f>
        <v/>
      </c>
      <c r="G2896" t="str">
        <f>""</f>
        <v/>
      </c>
      <c r="H2896" t="str">
        <f>""</f>
        <v/>
      </c>
      <c r="J2896" t="str">
        <f t="shared" si="47"/>
        <v>MEDICARE TAXES</v>
      </c>
    </row>
    <row r="2897" spans="1:10" x14ac:dyDescent="0.3">
      <c r="A2897" t="str">
        <f>""</f>
        <v/>
      </c>
      <c r="G2897" t="str">
        <f>""</f>
        <v/>
      </c>
      <c r="H2897" t="str">
        <f>""</f>
        <v/>
      </c>
      <c r="J2897" t="str">
        <f t="shared" si="47"/>
        <v>MEDICARE TAXES</v>
      </c>
    </row>
    <row r="2898" spans="1:10" x14ac:dyDescent="0.3">
      <c r="A2898" t="str">
        <f>""</f>
        <v/>
      </c>
      <c r="G2898" t="str">
        <f>""</f>
        <v/>
      </c>
      <c r="H2898" t="str">
        <f>""</f>
        <v/>
      </c>
      <c r="J2898" t="str">
        <f t="shared" ref="J2898:J2921" si="48">"MEDICARE TAXES"</f>
        <v>MEDICARE TAXES</v>
      </c>
    </row>
    <row r="2899" spans="1:10" x14ac:dyDescent="0.3">
      <c r="A2899" t="str">
        <f>""</f>
        <v/>
      </c>
      <c r="G2899" t="str">
        <f>""</f>
        <v/>
      </c>
      <c r="H2899" t="str">
        <f>""</f>
        <v/>
      </c>
      <c r="J2899" t="str">
        <f t="shared" si="48"/>
        <v>MEDICARE TAXES</v>
      </c>
    </row>
    <row r="2900" spans="1:10" x14ac:dyDescent="0.3">
      <c r="A2900" t="str">
        <f>""</f>
        <v/>
      </c>
      <c r="G2900" t="str">
        <f>""</f>
        <v/>
      </c>
      <c r="H2900" t="str">
        <f>""</f>
        <v/>
      </c>
      <c r="J2900" t="str">
        <f t="shared" si="48"/>
        <v>MEDICARE TAXES</v>
      </c>
    </row>
    <row r="2901" spans="1:10" x14ac:dyDescent="0.3">
      <c r="A2901" t="str">
        <f>""</f>
        <v/>
      </c>
      <c r="G2901" t="str">
        <f>""</f>
        <v/>
      </c>
      <c r="H2901" t="str">
        <f>""</f>
        <v/>
      </c>
      <c r="J2901" t="str">
        <f t="shared" si="48"/>
        <v>MEDICARE TAXES</v>
      </c>
    </row>
    <row r="2902" spans="1:10" x14ac:dyDescent="0.3">
      <c r="A2902" t="str">
        <f>""</f>
        <v/>
      </c>
      <c r="G2902" t="str">
        <f>""</f>
        <v/>
      </c>
      <c r="H2902" t="str">
        <f>""</f>
        <v/>
      </c>
      <c r="J2902" t="str">
        <f t="shared" si="48"/>
        <v>MEDICARE TAXES</v>
      </c>
    </row>
    <row r="2903" spans="1:10" x14ac:dyDescent="0.3">
      <c r="A2903" t="str">
        <f>""</f>
        <v/>
      </c>
      <c r="G2903" t="str">
        <f>""</f>
        <v/>
      </c>
      <c r="H2903" t="str">
        <f>""</f>
        <v/>
      </c>
      <c r="J2903" t="str">
        <f t="shared" si="48"/>
        <v>MEDICARE TAXES</v>
      </c>
    </row>
    <row r="2904" spans="1:10" x14ac:dyDescent="0.3">
      <c r="A2904" t="str">
        <f>""</f>
        <v/>
      </c>
      <c r="G2904" t="str">
        <f>""</f>
        <v/>
      </c>
      <c r="H2904" t="str">
        <f>""</f>
        <v/>
      </c>
      <c r="J2904" t="str">
        <f t="shared" si="48"/>
        <v>MEDICARE TAXES</v>
      </c>
    </row>
    <row r="2905" spans="1:10" x14ac:dyDescent="0.3">
      <c r="A2905" t="str">
        <f>""</f>
        <v/>
      </c>
      <c r="G2905" t="str">
        <f>""</f>
        <v/>
      </c>
      <c r="H2905" t="str">
        <f>""</f>
        <v/>
      </c>
      <c r="J2905" t="str">
        <f t="shared" si="48"/>
        <v>MEDICARE TAXES</v>
      </c>
    </row>
    <row r="2906" spans="1:10" x14ac:dyDescent="0.3">
      <c r="A2906" t="str">
        <f>""</f>
        <v/>
      </c>
      <c r="G2906" t="str">
        <f>""</f>
        <v/>
      </c>
      <c r="H2906" t="str">
        <f>""</f>
        <v/>
      </c>
      <c r="J2906" t="str">
        <f t="shared" si="48"/>
        <v>MEDICARE TAXES</v>
      </c>
    </row>
    <row r="2907" spans="1:10" x14ac:dyDescent="0.3">
      <c r="A2907" t="str">
        <f>""</f>
        <v/>
      </c>
      <c r="G2907" t="str">
        <f>""</f>
        <v/>
      </c>
      <c r="H2907" t="str">
        <f>""</f>
        <v/>
      </c>
      <c r="J2907" t="str">
        <f t="shared" si="48"/>
        <v>MEDICARE TAXES</v>
      </c>
    </row>
    <row r="2908" spans="1:10" x14ac:dyDescent="0.3">
      <c r="A2908" t="str">
        <f>""</f>
        <v/>
      </c>
      <c r="G2908" t="str">
        <f>""</f>
        <v/>
      </c>
      <c r="H2908" t="str">
        <f>""</f>
        <v/>
      </c>
      <c r="J2908" t="str">
        <f t="shared" si="48"/>
        <v>MEDICARE TAXES</v>
      </c>
    </row>
    <row r="2909" spans="1:10" x14ac:dyDescent="0.3">
      <c r="A2909" t="str">
        <f>""</f>
        <v/>
      </c>
      <c r="G2909" t="str">
        <f>""</f>
        <v/>
      </c>
      <c r="H2909" t="str">
        <f>""</f>
        <v/>
      </c>
      <c r="J2909" t="str">
        <f t="shared" si="48"/>
        <v>MEDICARE TAXES</v>
      </c>
    </row>
    <row r="2910" spans="1:10" x14ac:dyDescent="0.3">
      <c r="A2910" t="str">
        <f>""</f>
        <v/>
      </c>
      <c r="G2910" t="str">
        <f>""</f>
        <v/>
      </c>
      <c r="H2910" t="str">
        <f>""</f>
        <v/>
      </c>
      <c r="J2910" t="str">
        <f t="shared" si="48"/>
        <v>MEDICARE TAXES</v>
      </c>
    </row>
    <row r="2911" spans="1:10" x14ac:dyDescent="0.3">
      <c r="A2911" t="str">
        <f>""</f>
        <v/>
      </c>
      <c r="G2911" t="str">
        <f>""</f>
        <v/>
      </c>
      <c r="H2911" t="str">
        <f>""</f>
        <v/>
      </c>
      <c r="J2911" t="str">
        <f t="shared" si="48"/>
        <v>MEDICARE TAXES</v>
      </c>
    </row>
    <row r="2912" spans="1:10" x14ac:dyDescent="0.3">
      <c r="A2912" t="str">
        <f>""</f>
        <v/>
      </c>
      <c r="G2912" t="str">
        <f>""</f>
        <v/>
      </c>
      <c r="H2912" t="str">
        <f>""</f>
        <v/>
      </c>
      <c r="J2912" t="str">
        <f t="shared" si="48"/>
        <v>MEDICARE TAXES</v>
      </c>
    </row>
    <row r="2913" spans="1:10" x14ac:dyDescent="0.3">
      <c r="A2913" t="str">
        <f>""</f>
        <v/>
      </c>
      <c r="G2913" t="str">
        <f>""</f>
        <v/>
      </c>
      <c r="H2913" t="str">
        <f>""</f>
        <v/>
      </c>
      <c r="J2913" t="str">
        <f t="shared" si="48"/>
        <v>MEDICARE TAXES</v>
      </c>
    </row>
    <row r="2914" spans="1:10" x14ac:dyDescent="0.3">
      <c r="A2914" t="str">
        <f>""</f>
        <v/>
      </c>
      <c r="G2914" t="str">
        <f>""</f>
        <v/>
      </c>
      <c r="H2914" t="str">
        <f>""</f>
        <v/>
      </c>
      <c r="J2914" t="str">
        <f t="shared" si="48"/>
        <v>MEDICARE TAXES</v>
      </c>
    </row>
    <row r="2915" spans="1:10" x14ac:dyDescent="0.3">
      <c r="A2915" t="str">
        <f>""</f>
        <v/>
      </c>
      <c r="G2915" t="str">
        <f>""</f>
        <v/>
      </c>
      <c r="H2915" t="str">
        <f>""</f>
        <v/>
      </c>
      <c r="J2915" t="str">
        <f t="shared" si="48"/>
        <v>MEDICARE TAXES</v>
      </c>
    </row>
    <row r="2916" spans="1:10" x14ac:dyDescent="0.3">
      <c r="A2916" t="str">
        <f>""</f>
        <v/>
      </c>
      <c r="G2916" t="str">
        <f>""</f>
        <v/>
      </c>
      <c r="H2916" t="str">
        <f>""</f>
        <v/>
      </c>
      <c r="J2916" t="str">
        <f t="shared" si="48"/>
        <v>MEDICARE TAXES</v>
      </c>
    </row>
    <row r="2917" spans="1:10" x14ac:dyDescent="0.3">
      <c r="A2917" t="str">
        <f>""</f>
        <v/>
      </c>
      <c r="G2917" t="str">
        <f>""</f>
        <v/>
      </c>
      <c r="H2917" t="str">
        <f>""</f>
        <v/>
      </c>
      <c r="J2917" t="str">
        <f t="shared" si="48"/>
        <v>MEDICARE TAXES</v>
      </c>
    </row>
    <row r="2918" spans="1:10" x14ac:dyDescent="0.3">
      <c r="A2918" t="str">
        <f>""</f>
        <v/>
      </c>
      <c r="F2918" t="s">
        <v>10</v>
      </c>
      <c r="G2918" t="str">
        <f>"T4 201706273274"</f>
        <v>T4 201706273274</v>
      </c>
      <c r="H2918" t="str">
        <f>"MEDICARE TAXES"</f>
        <v>MEDICARE TAXES</v>
      </c>
      <c r="I2918" s="2">
        <v>947.38</v>
      </c>
      <c r="J2918" t="str">
        <f t="shared" si="48"/>
        <v>MEDICARE TAXES</v>
      </c>
    </row>
    <row r="2919" spans="1:10" x14ac:dyDescent="0.3">
      <c r="A2919" t="str">
        <f>""</f>
        <v/>
      </c>
      <c r="G2919" t="str">
        <f>""</f>
        <v/>
      </c>
      <c r="H2919" t="str">
        <f>""</f>
        <v/>
      </c>
      <c r="J2919" t="str">
        <f t="shared" si="48"/>
        <v>MEDICARE TAXES</v>
      </c>
    </row>
    <row r="2920" spans="1:10" x14ac:dyDescent="0.3">
      <c r="A2920" t="str">
        <f>""</f>
        <v/>
      </c>
      <c r="F2920" t="s">
        <v>10</v>
      </c>
      <c r="G2920" t="str">
        <f>"T4 201706273275"</f>
        <v>T4 201706273275</v>
      </c>
      <c r="H2920" t="str">
        <f>"MEDICARE TAXES"</f>
        <v>MEDICARE TAXES</v>
      </c>
      <c r="I2920" s="2">
        <v>1320.56</v>
      </c>
      <c r="J2920" t="str">
        <f t="shared" si="48"/>
        <v>MEDICARE TAXES</v>
      </c>
    </row>
    <row r="2921" spans="1:10" x14ac:dyDescent="0.3">
      <c r="A2921" t="str">
        <f>""</f>
        <v/>
      </c>
      <c r="G2921" t="str">
        <f>""</f>
        <v/>
      </c>
      <c r="H2921" t="str">
        <f>""</f>
        <v/>
      </c>
      <c r="J2921" t="str">
        <f t="shared" si="48"/>
        <v>MEDICARE TAXES</v>
      </c>
    </row>
    <row r="2922" spans="1:10" x14ac:dyDescent="0.3">
      <c r="A2922" t="str">
        <f>"004638"</f>
        <v>004638</v>
      </c>
      <c r="B2922" t="s">
        <v>572</v>
      </c>
      <c r="C2922">
        <v>45632</v>
      </c>
      <c r="D2922" s="2">
        <v>72.41</v>
      </c>
      <c r="E2922" s="1">
        <v>42888</v>
      </c>
      <c r="F2922" t="s">
        <v>10</v>
      </c>
      <c r="G2922" t="str">
        <f>"C64201705312317"</f>
        <v>C64201705312317</v>
      </c>
      <c r="H2922" t="str">
        <f>"CASE #912745322"</f>
        <v>CASE #912745322</v>
      </c>
      <c r="I2922" s="2">
        <v>72.41</v>
      </c>
      <c r="J2922" t="str">
        <f>"CASE #912745322"</f>
        <v>CASE #912745322</v>
      </c>
    </row>
    <row r="2923" spans="1:10" x14ac:dyDescent="0.3">
      <c r="A2923" t="str">
        <f>"004638"</f>
        <v>004638</v>
      </c>
      <c r="B2923" t="s">
        <v>572</v>
      </c>
      <c r="C2923">
        <v>45659</v>
      </c>
      <c r="D2923" s="2">
        <v>72.41</v>
      </c>
      <c r="E2923" s="1">
        <v>42902</v>
      </c>
      <c r="F2923" t="s">
        <v>10</v>
      </c>
      <c r="G2923" t="str">
        <f>"C64201706143096"</f>
        <v>C64201706143096</v>
      </c>
      <c r="H2923" t="str">
        <f>"CASE #912745322"</f>
        <v>CASE #912745322</v>
      </c>
      <c r="I2923" s="2">
        <v>72.41</v>
      </c>
      <c r="J2923" t="str">
        <f>"CASE #912745322"</f>
        <v>CASE #912745322</v>
      </c>
    </row>
    <row r="2924" spans="1:10" x14ac:dyDescent="0.3">
      <c r="A2924" t="str">
        <f>"004638"</f>
        <v>004638</v>
      </c>
      <c r="B2924" t="s">
        <v>572</v>
      </c>
      <c r="C2924">
        <v>45686</v>
      </c>
      <c r="D2924" s="2">
        <v>72.41</v>
      </c>
      <c r="E2924" s="1">
        <v>42916</v>
      </c>
      <c r="F2924" t="s">
        <v>10</v>
      </c>
      <c r="G2924" t="str">
        <f>"C64201706273273"</f>
        <v>C64201706273273</v>
      </c>
      <c r="H2924" t="str">
        <f>"CASE #912745322"</f>
        <v>CASE #912745322</v>
      </c>
      <c r="I2924" s="2">
        <v>72.41</v>
      </c>
      <c r="J2924" t="str">
        <f>"CASE #912745322"</f>
        <v>CASE #912745322</v>
      </c>
    </row>
    <row r="2925" spans="1:10" x14ac:dyDescent="0.3">
      <c r="A2925" t="str">
        <f>"001507"</f>
        <v>001507</v>
      </c>
      <c r="B2925" t="s">
        <v>573</v>
      </c>
      <c r="C2925">
        <v>0</v>
      </c>
      <c r="D2925" s="2">
        <v>26473.4</v>
      </c>
      <c r="E2925" s="1">
        <v>42912</v>
      </c>
      <c r="F2925" t="s">
        <v>10</v>
      </c>
      <c r="G2925" t="str">
        <f>"201706263272"</f>
        <v>201706263272</v>
      </c>
      <c r="H2925" t="str">
        <f>"MONUMENTAL LIFE INS CO"</f>
        <v>MONUMENTAL LIFE INS CO</v>
      </c>
      <c r="I2925" s="2">
        <v>26473.4</v>
      </c>
      <c r="J2925" t="str">
        <f>"MONUMENTAL LIFE INS CO"</f>
        <v>MONUMENTAL LIFE INS CO</v>
      </c>
    </row>
    <row r="2926" spans="1:10" x14ac:dyDescent="0.3">
      <c r="A2926" t="str">
        <f>"002456"</f>
        <v>002456</v>
      </c>
      <c r="B2926" t="s">
        <v>574</v>
      </c>
      <c r="C2926">
        <v>0</v>
      </c>
      <c r="D2926" s="2">
        <v>796.52</v>
      </c>
      <c r="E2926" s="1">
        <v>42912</v>
      </c>
      <c r="F2926" t="s">
        <v>10</v>
      </c>
      <c r="G2926" t="str">
        <f>"LIX201705312317"</f>
        <v>LIX201705312317</v>
      </c>
      <c r="H2926" t="str">
        <f>"TEXAS LIFE/OLIVO GROUP"</f>
        <v>TEXAS LIFE/OLIVO GROUP</v>
      </c>
      <c r="I2926" s="2">
        <v>398.26</v>
      </c>
      <c r="J2926" t="str">
        <f>"TEXAS LIFE/OLIVO GROUP"</f>
        <v>TEXAS LIFE/OLIVO GROUP</v>
      </c>
    </row>
    <row r="2927" spans="1:10" x14ac:dyDescent="0.3">
      <c r="A2927" t="str">
        <f>""</f>
        <v/>
      </c>
      <c r="F2927" t="s">
        <v>10</v>
      </c>
      <c r="G2927" t="str">
        <f>"LIX201706143096"</f>
        <v>LIX201706143096</v>
      </c>
      <c r="H2927" t="str">
        <f>"TEXAS LIFE/OLIVO GROUP"</f>
        <v>TEXAS LIFE/OLIVO GROUP</v>
      </c>
      <c r="I2927" s="2">
        <v>398.26</v>
      </c>
      <c r="J2927" t="str">
        <f>"TEXAS LIFE/OLIVO GROUP"</f>
        <v>TEXAS LIFE/OLIVO GROUP</v>
      </c>
    </row>
    <row r="2928" spans="1:10" x14ac:dyDescent="0.3">
      <c r="A2928" t="str">
        <f>"TACHEB"</f>
        <v>TACHEB</v>
      </c>
      <c r="B2928" t="s">
        <v>575</v>
      </c>
      <c r="C2928">
        <v>45664</v>
      </c>
      <c r="D2928" s="2">
        <v>316910.88</v>
      </c>
      <c r="E2928" s="1">
        <v>42912</v>
      </c>
      <c r="F2928" t="s">
        <v>10</v>
      </c>
      <c r="G2928" t="str">
        <f>"201706263270"</f>
        <v>201706263270</v>
      </c>
      <c r="H2928" t="str">
        <f>"Retiree June 2017"</f>
        <v>Retiree June 2017</v>
      </c>
      <c r="I2928" s="2">
        <v>15640.26</v>
      </c>
      <c r="J2928" t="str">
        <f>"TAC HEALTH BENEFITS POOL"</f>
        <v>TAC HEALTH BENEFITS POOL</v>
      </c>
    </row>
    <row r="2929" spans="1:10" x14ac:dyDescent="0.3">
      <c r="A2929" t="str">
        <f>""</f>
        <v/>
      </c>
      <c r="F2929" t="s">
        <v>10</v>
      </c>
      <c r="G2929" t="str">
        <f>"201706263271"</f>
        <v>201706263271</v>
      </c>
      <c r="H2929" t="str">
        <f>"COBRA June 2017"</f>
        <v>COBRA June 2017</v>
      </c>
      <c r="I2929" s="2">
        <v>621.96</v>
      </c>
      <c r="J2929" t="str">
        <f>"TAC HEALTH BENEFITS POOL"</f>
        <v>TAC HEALTH BENEFITS POOL</v>
      </c>
    </row>
    <row r="2930" spans="1:10" x14ac:dyDescent="0.3">
      <c r="A2930" t="str">
        <f>""</f>
        <v/>
      </c>
      <c r="F2930" t="s">
        <v>10</v>
      </c>
      <c r="G2930" t="str">
        <f>"2EC201705312317"</f>
        <v>2EC201705312317</v>
      </c>
      <c r="H2930" t="str">
        <f>"BCBS PAYABLE"</f>
        <v>BCBS PAYABLE</v>
      </c>
      <c r="I2930" s="2">
        <v>40179.360000000001</v>
      </c>
      <c r="J2930" t="str">
        <f t="shared" ref="J2930:J2961" si="49">"BCBS PAYABLE"</f>
        <v>BCBS PAYABLE</v>
      </c>
    </row>
    <row r="2931" spans="1:10" x14ac:dyDescent="0.3">
      <c r="A2931" t="str">
        <f>""</f>
        <v/>
      </c>
      <c r="G2931" t="str">
        <f>""</f>
        <v/>
      </c>
      <c r="H2931" t="str">
        <f>""</f>
        <v/>
      </c>
      <c r="J2931" t="str">
        <f t="shared" si="49"/>
        <v>BCBS PAYABLE</v>
      </c>
    </row>
    <row r="2932" spans="1:10" x14ac:dyDescent="0.3">
      <c r="A2932" t="str">
        <f>""</f>
        <v/>
      </c>
      <c r="G2932" t="str">
        <f>""</f>
        <v/>
      </c>
      <c r="H2932" t="str">
        <f>""</f>
        <v/>
      </c>
      <c r="J2932" t="str">
        <f t="shared" si="49"/>
        <v>BCBS PAYABLE</v>
      </c>
    </row>
    <row r="2933" spans="1:10" x14ac:dyDescent="0.3">
      <c r="A2933" t="str">
        <f>""</f>
        <v/>
      </c>
      <c r="G2933" t="str">
        <f>""</f>
        <v/>
      </c>
      <c r="H2933" t="str">
        <f>""</f>
        <v/>
      </c>
      <c r="J2933" t="str">
        <f t="shared" si="49"/>
        <v>BCBS PAYABLE</v>
      </c>
    </row>
    <row r="2934" spans="1:10" x14ac:dyDescent="0.3">
      <c r="A2934" t="str">
        <f>""</f>
        <v/>
      </c>
      <c r="G2934" t="str">
        <f>""</f>
        <v/>
      </c>
      <c r="H2934" t="str">
        <f>""</f>
        <v/>
      </c>
      <c r="J2934" t="str">
        <f t="shared" si="49"/>
        <v>BCBS PAYABLE</v>
      </c>
    </row>
    <row r="2935" spans="1:10" x14ac:dyDescent="0.3">
      <c r="A2935" t="str">
        <f>""</f>
        <v/>
      </c>
      <c r="G2935" t="str">
        <f>""</f>
        <v/>
      </c>
      <c r="H2935" t="str">
        <f>""</f>
        <v/>
      </c>
      <c r="J2935" t="str">
        <f t="shared" si="49"/>
        <v>BCBS PAYABLE</v>
      </c>
    </row>
    <row r="2936" spans="1:10" x14ac:dyDescent="0.3">
      <c r="A2936" t="str">
        <f>""</f>
        <v/>
      </c>
      <c r="G2936" t="str">
        <f>""</f>
        <v/>
      </c>
      <c r="H2936" t="str">
        <f>""</f>
        <v/>
      </c>
      <c r="J2936" t="str">
        <f t="shared" si="49"/>
        <v>BCBS PAYABLE</v>
      </c>
    </row>
    <row r="2937" spans="1:10" x14ac:dyDescent="0.3">
      <c r="A2937" t="str">
        <f>""</f>
        <v/>
      </c>
      <c r="G2937" t="str">
        <f>""</f>
        <v/>
      </c>
      <c r="H2937" t="str">
        <f>""</f>
        <v/>
      </c>
      <c r="J2937" t="str">
        <f t="shared" si="49"/>
        <v>BCBS PAYABLE</v>
      </c>
    </row>
    <row r="2938" spans="1:10" x14ac:dyDescent="0.3">
      <c r="A2938" t="str">
        <f>""</f>
        <v/>
      </c>
      <c r="G2938" t="str">
        <f>""</f>
        <v/>
      </c>
      <c r="H2938" t="str">
        <f>""</f>
        <v/>
      </c>
      <c r="J2938" t="str">
        <f t="shared" si="49"/>
        <v>BCBS PAYABLE</v>
      </c>
    </row>
    <row r="2939" spans="1:10" x14ac:dyDescent="0.3">
      <c r="A2939" t="str">
        <f>""</f>
        <v/>
      </c>
      <c r="G2939" t="str">
        <f>""</f>
        <v/>
      </c>
      <c r="H2939" t="str">
        <f>""</f>
        <v/>
      </c>
      <c r="J2939" t="str">
        <f t="shared" si="49"/>
        <v>BCBS PAYABLE</v>
      </c>
    </row>
    <row r="2940" spans="1:10" x14ac:dyDescent="0.3">
      <c r="A2940" t="str">
        <f>""</f>
        <v/>
      </c>
      <c r="G2940" t="str">
        <f>""</f>
        <v/>
      </c>
      <c r="H2940" t="str">
        <f>""</f>
        <v/>
      </c>
      <c r="J2940" t="str">
        <f t="shared" si="49"/>
        <v>BCBS PAYABLE</v>
      </c>
    </row>
    <row r="2941" spans="1:10" x14ac:dyDescent="0.3">
      <c r="A2941" t="str">
        <f>""</f>
        <v/>
      </c>
      <c r="G2941" t="str">
        <f>""</f>
        <v/>
      </c>
      <c r="H2941" t="str">
        <f>""</f>
        <v/>
      </c>
      <c r="J2941" t="str">
        <f t="shared" si="49"/>
        <v>BCBS PAYABLE</v>
      </c>
    </row>
    <row r="2942" spans="1:10" x14ac:dyDescent="0.3">
      <c r="A2942" t="str">
        <f>""</f>
        <v/>
      </c>
      <c r="G2942" t="str">
        <f>""</f>
        <v/>
      </c>
      <c r="H2942" t="str">
        <f>""</f>
        <v/>
      </c>
      <c r="J2942" t="str">
        <f t="shared" si="49"/>
        <v>BCBS PAYABLE</v>
      </c>
    </row>
    <row r="2943" spans="1:10" x14ac:dyDescent="0.3">
      <c r="A2943" t="str">
        <f>""</f>
        <v/>
      </c>
      <c r="G2943" t="str">
        <f>""</f>
        <v/>
      </c>
      <c r="H2943" t="str">
        <f>""</f>
        <v/>
      </c>
      <c r="J2943" t="str">
        <f t="shared" si="49"/>
        <v>BCBS PAYABLE</v>
      </c>
    </row>
    <row r="2944" spans="1:10" x14ac:dyDescent="0.3">
      <c r="A2944" t="str">
        <f>""</f>
        <v/>
      </c>
      <c r="G2944" t="str">
        <f>""</f>
        <v/>
      </c>
      <c r="H2944" t="str">
        <f>""</f>
        <v/>
      </c>
      <c r="J2944" t="str">
        <f t="shared" si="49"/>
        <v>BCBS PAYABLE</v>
      </c>
    </row>
    <row r="2945" spans="1:10" x14ac:dyDescent="0.3">
      <c r="A2945" t="str">
        <f>""</f>
        <v/>
      </c>
      <c r="G2945" t="str">
        <f>""</f>
        <v/>
      </c>
      <c r="H2945" t="str">
        <f>""</f>
        <v/>
      </c>
      <c r="J2945" t="str">
        <f t="shared" si="49"/>
        <v>BCBS PAYABLE</v>
      </c>
    </row>
    <row r="2946" spans="1:10" x14ac:dyDescent="0.3">
      <c r="A2946" t="str">
        <f>""</f>
        <v/>
      </c>
      <c r="G2946" t="str">
        <f>""</f>
        <v/>
      </c>
      <c r="H2946" t="str">
        <f>""</f>
        <v/>
      </c>
      <c r="J2946" t="str">
        <f t="shared" si="49"/>
        <v>BCBS PAYABLE</v>
      </c>
    </row>
    <row r="2947" spans="1:10" x14ac:dyDescent="0.3">
      <c r="A2947" t="str">
        <f>""</f>
        <v/>
      </c>
      <c r="G2947" t="str">
        <f>""</f>
        <v/>
      </c>
      <c r="H2947" t="str">
        <f>""</f>
        <v/>
      </c>
      <c r="J2947" t="str">
        <f t="shared" si="49"/>
        <v>BCBS PAYABLE</v>
      </c>
    </row>
    <row r="2948" spans="1:10" x14ac:dyDescent="0.3">
      <c r="A2948" t="str">
        <f>""</f>
        <v/>
      </c>
      <c r="G2948" t="str">
        <f>""</f>
        <v/>
      </c>
      <c r="H2948" t="str">
        <f>""</f>
        <v/>
      </c>
      <c r="J2948" t="str">
        <f t="shared" si="49"/>
        <v>BCBS PAYABLE</v>
      </c>
    </row>
    <row r="2949" spans="1:10" x14ac:dyDescent="0.3">
      <c r="A2949" t="str">
        <f>""</f>
        <v/>
      </c>
      <c r="G2949" t="str">
        <f>""</f>
        <v/>
      </c>
      <c r="H2949" t="str">
        <f>""</f>
        <v/>
      </c>
      <c r="J2949" t="str">
        <f t="shared" si="49"/>
        <v>BCBS PAYABLE</v>
      </c>
    </row>
    <row r="2950" spans="1:10" x14ac:dyDescent="0.3">
      <c r="A2950" t="str">
        <f>""</f>
        <v/>
      </c>
      <c r="G2950" t="str">
        <f>""</f>
        <v/>
      </c>
      <c r="H2950" t="str">
        <f>""</f>
        <v/>
      </c>
      <c r="J2950" t="str">
        <f t="shared" si="49"/>
        <v>BCBS PAYABLE</v>
      </c>
    </row>
    <row r="2951" spans="1:10" x14ac:dyDescent="0.3">
      <c r="A2951" t="str">
        <f>""</f>
        <v/>
      </c>
      <c r="G2951" t="str">
        <f>""</f>
        <v/>
      </c>
      <c r="H2951" t="str">
        <f>""</f>
        <v/>
      </c>
      <c r="J2951" t="str">
        <f t="shared" si="49"/>
        <v>BCBS PAYABLE</v>
      </c>
    </row>
    <row r="2952" spans="1:10" x14ac:dyDescent="0.3">
      <c r="A2952" t="str">
        <f>""</f>
        <v/>
      </c>
      <c r="G2952" t="str">
        <f>""</f>
        <v/>
      </c>
      <c r="H2952" t="str">
        <f>""</f>
        <v/>
      </c>
      <c r="J2952" t="str">
        <f t="shared" si="49"/>
        <v>BCBS PAYABLE</v>
      </c>
    </row>
    <row r="2953" spans="1:10" x14ac:dyDescent="0.3">
      <c r="A2953" t="str">
        <f>""</f>
        <v/>
      </c>
      <c r="G2953" t="str">
        <f>""</f>
        <v/>
      </c>
      <c r="H2953" t="str">
        <f>""</f>
        <v/>
      </c>
      <c r="J2953" t="str">
        <f t="shared" si="49"/>
        <v>BCBS PAYABLE</v>
      </c>
    </row>
    <row r="2954" spans="1:10" x14ac:dyDescent="0.3">
      <c r="A2954" t="str">
        <f>""</f>
        <v/>
      </c>
      <c r="G2954" t="str">
        <f>""</f>
        <v/>
      </c>
      <c r="H2954" t="str">
        <f>""</f>
        <v/>
      </c>
      <c r="J2954" t="str">
        <f t="shared" si="49"/>
        <v>BCBS PAYABLE</v>
      </c>
    </row>
    <row r="2955" spans="1:10" x14ac:dyDescent="0.3">
      <c r="A2955" t="str">
        <f>""</f>
        <v/>
      </c>
      <c r="G2955" t="str">
        <f>""</f>
        <v/>
      </c>
      <c r="H2955" t="str">
        <f>""</f>
        <v/>
      </c>
      <c r="J2955" t="str">
        <f t="shared" si="49"/>
        <v>BCBS PAYABLE</v>
      </c>
    </row>
    <row r="2956" spans="1:10" x14ac:dyDescent="0.3">
      <c r="A2956" t="str">
        <f>""</f>
        <v/>
      </c>
      <c r="G2956" t="str">
        <f>""</f>
        <v/>
      </c>
      <c r="H2956" t="str">
        <f>""</f>
        <v/>
      </c>
      <c r="J2956" t="str">
        <f t="shared" si="49"/>
        <v>BCBS PAYABLE</v>
      </c>
    </row>
    <row r="2957" spans="1:10" x14ac:dyDescent="0.3">
      <c r="A2957" t="str">
        <f>""</f>
        <v/>
      </c>
      <c r="G2957" t="str">
        <f>""</f>
        <v/>
      </c>
      <c r="H2957" t="str">
        <f>""</f>
        <v/>
      </c>
      <c r="J2957" t="str">
        <f t="shared" si="49"/>
        <v>BCBS PAYABLE</v>
      </c>
    </row>
    <row r="2958" spans="1:10" x14ac:dyDescent="0.3">
      <c r="A2958" t="str">
        <f>""</f>
        <v/>
      </c>
      <c r="G2958" t="str">
        <f>""</f>
        <v/>
      </c>
      <c r="H2958" t="str">
        <f>""</f>
        <v/>
      </c>
      <c r="J2958" t="str">
        <f t="shared" si="49"/>
        <v>BCBS PAYABLE</v>
      </c>
    </row>
    <row r="2959" spans="1:10" x14ac:dyDescent="0.3">
      <c r="A2959" t="str">
        <f>""</f>
        <v/>
      </c>
      <c r="G2959" t="str">
        <f>""</f>
        <v/>
      </c>
      <c r="H2959" t="str">
        <f>""</f>
        <v/>
      </c>
      <c r="J2959" t="str">
        <f t="shared" si="49"/>
        <v>BCBS PAYABLE</v>
      </c>
    </row>
    <row r="2960" spans="1:10" x14ac:dyDescent="0.3">
      <c r="A2960" t="str">
        <f>""</f>
        <v/>
      </c>
      <c r="F2960" t="s">
        <v>10</v>
      </c>
      <c r="G2960" t="str">
        <f>"2EC201705312318"</f>
        <v>2EC201705312318</v>
      </c>
      <c r="H2960" t="str">
        <f>"BCBS PAYABLE"</f>
        <v>BCBS PAYABLE</v>
      </c>
      <c r="I2960" s="2">
        <v>1709.76</v>
      </c>
      <c r="J2960" t="str">
        <f t="shared" si="49"/>
        <v>BCBS PAYABLE</v>
      </c>
    </row>
    <row r="2961" spans="1:10" x14ac:dyDescent="0.3">
      <c r="A2961" t="str">
        <f>""</f>
        <v/>
      </c>
      <c r="G2961" t="str">
        <f>""</f>
        <v/>
      </c>
      <c r="H2961" t="str">
        <f>""</f>
        <v/>
      </c>
      <c r="J2961" t="str">
        <f t="shared" si="49"/>
        <v>BCBS PAYABLE</v>
      </c>
    </row>
    <row r="2962" spans="1:10" x14ac:dyDescent="0.3">
      <c r="A2962" t="str">
        <f>""</f>
        <v/>
      </c>
      <c r="F2962" t="s">
        <v>10</v>
      </c>
      <c r="G2962" t="str">
        <f>"2EC201706143096"</f>
        <v>2EC201706143096</v>
      </c>
      <c r="H2962" t="str">
        <f>"BCBS PAYABLE"</f>
        <v>BCBS PAYABLE</v>
      </c>
      <c r="I2962" s="2">
        <v>40179.360000000001</v>
      </c>
      <c r="J2962" t="str">
        <f t="shared" ref="J2962:J2993" si="50">"BCBS PAYABLE"</f>
        <v>BCBS PAYABLE</v>
      </c>
    </row>
    <row r="2963" spans="1:10" x14ac:dyDescent="0.3">
      <c r="A2963" t="str">
        <f>""</f>
        <v/>
      </c>
      <c r="G2963" t="str">
        <f>""</f>
        <v/>
      </c>
      <c r="H2963" t="str">
        <f>""</f>
        <v/>
      </c>
      <c r="J2963" t="str">
        <f t="shared" si="50"/>
        <v>BCBS PAYABLE</v>
      </c>
    </row>
    <row r="2964" spans="1:10" x14ac:dyDescent="0.3">
      <c r="A2964" t="str">
        <f>""</f>
        <v/>
      </c>
      <c r="G2964" t="str">
        <f>""</f>
        <v/>
      </c>
      <c r="H2964" t="str">
        <f>""</f>
        <v/>
      </c>
      <c r="J2964" t="str">
        <f t="shared" si="50"/>
        <v>BCBS PAYABLE</v>
      </c>
    </row>
    <row r="2965" spans="1:10" x14ac:dyDescent="0.3">
      <c r="A2965" t="str">
        <f>""</f>
        <v/>
      </c>
      <c r="G2965" t="str">
        <f>""</f>
        <v/>
      </c>
      <c r="H2965" t="str">
        <f>""</f>
        <v/>
      </c>
      <c r="J2965" t="str">
        <f t="shared" si="50"/>
        <v>BCBS PAYABLE</v>
      </c>
    </row>
    <row r="2966" spans="1:10" x14ac:dyDescent="0.3">
      <c r="A2966" t="str">
        <f>""</f>
        <v/>
      </c>
      <c r="G2966" t="str">
        <f>""</f>
        <v/>
      </c>
      <c r="H2966" t="str">
        <f>""</f>
        <v/>
      </c>
      <c r="J2966" t="str">
        <f t="shared" si="50"/>
        <v>BCBS PAYABLE</v>
      </c>
    </row>
    <row r="2967" spans="1:10" x14ac:dyDescent="0.3">
      <c r="A2967" t="str">
        <f>""</f>
        <v/>
      </c>
      <c r="G2967" t="str">
        <f>""</f>
        <v/>
      </c>
      <c r="H2967" t="str">
        <f>""</f>
        <v/>
      </c>
      <c r="J2967" t="str">
        <f t="shared" si="50"/>
        <v>BCBS PAYABLE</v>
      </c>
    </row>
    <row r="2968" spans="1:10" x14ac:dyDescent="0.3">
      <c r="A2968" t="str">
        <f>""</f>
        <v/>
      </c>
      <c r="G2968" t="str">
        <f>""</f>
        <v/>
      </c>
      <c r="H2968" t="str">
        <f>""</f>
        <v/>
      </c>
      <c r="J2968" t="str">
        <f t="shared" si="50"/>
        <v>BCBS PAYABLE</v>
      </c>
    </row>
    <row r="2969" spans="1:10" x14ac:dyDescent="0.3">
      <c r="A2969" t="str">
        <f>""</f>
        <v/>
      </c>
      <c r="G2969" t="str">
        <f>""</f>
        <v/>
      </c>
      <c r="H2969" t="str">
        <f>""</f>
        <v/>
      </c>
      <c r="J2969" t="str">
        <f t="shared" si="50"/>
        <v>BCBS PAYABLE</v>
      </c>
    </row>
    <row r="2970" spans="1:10" x14ac:dyDescent="0.3">
      <c r="A2970" t="str">
        <f>""</f>
        <v/>
      </c>
      <c r="G2970" t="str">
        <f>""</f>
        <v/>
      </c>
      <c r="H2970" t="str">
        <f>""</f>
        <v/>
      </c>
      <c r="J2970" t="str">
        <f t="shared" si="50"/>
        <v>BCBS PAYABLE</v>
      </c>
    </row>
    <row r="2971" spans="1:10" x14ac:dyDescent="0.3">
      <c r="A2971" t="str">
        <f>""</f>
        <v/>
      </c>
      <c r="G2971" t="str">
        <f>""</f>
        <v/>
      </c>
      <c r="H2971" t="str">
        <f>""</f>
        <v/>
      </c>
      <c r="J2971" t="str">
        <f t="shared" si="50"/>
        <v>BCBS PAYABLE</v>
      </c>
    </row>
    <row r="2972" spans="1:10" x14ac:dyDescent="0.3">
      <c r="A2972" t="str">
        <f>""</f>
        <v/>
      </c>
      <c r="G2972" t="str">
        <f>""</f>
        <v/>
      </c>
      <c r="H2972" t="str">
        <f>""</f>
        <v/>
      </c>
      <c r="J2972" t="str">
        <f t="shared" si="50"/>
        <v>BCBS PAYABLE</v>
      </c>
    </row>
    <row r="2973" spans="1:10" x14ac:dyDescent="0.3">
      <c r="A2973" t="str">
        <f>""</f>
        <v/>
      </c>
      <c r="G2973" t="str">
        <f>""</f>
        <v/>
      </c>
      <c r="H2973" t="str">
        <f>""</f>
        <v/>
      </c>
      <c r="J2973" t="str">
        <f t="shared" si="50"/>
        <v>BCBS PAYABLE</v>
      </c>
    </row>
    <row r="2974" spans="1:10" x14ac:dyDescent="0.3">
      <c r="A2974" t="str">
        <f>""</f>
        <v/>
      </c>
      <c r="G2974" t="str">
        <f>""</f>
        <v/>
      </c>
      <c r="H2974" t="str">
        <f>""</f>
        <v/>
      </c>
      <c r="J2974" t="str">
        <f t="shared" si="50"/>
        <v>BCBS PAYABLE</v>
      </c>
    </row>
    <row r="2975" spans="1:10" x14ac:dyDescent="0.3">
      <c r="A2975" t="str">
        <f>""</f>
        <v/>
      </c>
      <c r="G2975" t="str">
        <f>""</f>
        <v/>
      </c>
      <c r="H2975" t="str">
        <f>""</f>
        <v/>
      </c>
      <c r="J2975" t="str">
        <f t="shared" si="50"/>
        <v>BCBS PAYABLE</v>
      </c>
    </row>
    <row r="2976" spans="1:10" x14ac:dyDescent="0.3">
      <c r="A2976" t="str">
        <f>""</f>
        <v/>
      </c>
      <c r="G2976" t="str">
        <f>""</f>
        <v/>
      </c>
      <c r="H2976" t="str">
        <f>""</f>
        <v/>
      </c>
      <c r="J2976" t="str">
        <f t="shared" si="50"/>
        <v>BCBS PAYABLE</v>
      </c>
    </row>
    <row r="2977" spans="1:10" x14ac:dyDescent="0.3">
      <c r="A2977" t="str">
        <f>""</f>
        <v/>
      </c>
      <c r="G2977" t="str">
        <f>""</f>
        <v/>
      </c>
      <c r="H2977" t="str">
        <f>""</f>
        <v/>
      </c>
      <c r="J2977" t="str">
        <f t="shared" si="50"/>
        <v>BCBS PAYABLE</v>
      </c>
    </row>
    <row r="2978" spans="1:10" x14ac:dyDescent="0.3">
      <c r="A2978" t="str">
        <f>""</f>
        <v/>
      </c>
      <c r="G2978" t="str">
        <f>""</f>
        <v/>
      </c>
      <c r="H2978" t="str">
        <f>""</f>
        <v/>
      </c>
      <c r="J2978" t="str">
        <f t="shared" si="50"/>
        <v>BCBS PAYABLE</v>
      </c>
    </row>
    <row r="2979" spans="1:10" x14ac:dyDescent="0.3">
      <c r="A2979" t="str">
        <f>""</f>
        <v/>
      </c>
      <c r="G2979" t="str">
        <f>""</f>
        <v/>
      </c>
      <c r="H2979" t="str">
        <f>""</f>
        <v/>
      </c>
      <c r="J2979" t="str">
        <f t="shared" si="50"/>
        <v>BCBS PAYABLE</v>
      </c>
    </row>
    <row r="2980" spans="1:10" x14ac:dyDescent="0.3">
      <c r="A2980" t="str">
        <f>""</f>
        <v/>
      </c>
      <c r="G2980" t="str">
        <f>""</f>
        <v/>
      </c>
      <c r="H2980" t="str">
        <f>""</f>
        <v/>
      </c>
      <c r="J2980" t="str">
        <f t="shared" si="50"/>
        <v>BCBS PAYABLE</v>
      </c>
    </row>
    <row r="2981" spans="1:10" x14ac:dyDescent="0.3">
      <c r="A2981" t="str">
        <f>""</f>
        <v/>
      </c>
      <c r="G2981" t="str">
        <f>""</f>
        <v/>
      </c>
      <c r="H2981" t="str">
        <f>""</f>
        <v/>
      </c>
      <c r="J2981" t="str">
        <f t="shared" si="50"/>
        <v>BCBS PAYABLE</v>
      </c>
    </row>
    <row r="2982" spans="1:10" x14ac:dyDescent="0.3">
      <c r="A2982" t="str">
        <f>""</f>
        <v/>
      </c>
      <c r="G2982" t="str">
        <f>""</f>
        <v/>
      </c>
      <c r="H2982" t="str">
        <f>""</f>
        <v/>
      </c>
      <c r="J2982" t="str">
        <f t="shared" si="50"/>
        <v>BCBS PAYABLE</v>
      </c>
    </row>
    <row r="2983" spans="1:10" x14ac:dyDescent="0.3">
      <c r="A2983" t="str">
        <f>""</f>
        <v/>
      </c>
      <c r="G2983" t="str">
        <f>""</f>
        <v/>
      </c>
      <c r="H2983" t="str">
        <f>""</f>
        <v/>
      </c>
      <c r="J2983" t="str">
        <f t="shared" si="50"/>
        <v>BCBS PAYABLE</v>
      </c>
    </row>
    <row r="2984" spans="1:10" x14ac:dyDescent="0.3">
      <c r="A2984" t="str">
        <f>""</f>
        <v/>
      </c>
      <c r="G2984" t="str">
        <f>""</f>
        <v/>
      </c>
      <c r="H2984" t="str">
        <f>""</f>
        <v/>
      </c>
      <c r="J2984" t="str">
        <f t="shared" si="50"/>
        <v>BCBS PAYABLE</v>
      </c>
    </row>
    <row r="2985" spans="1:10" x14ac:dyDescent="0.3">
      <c r="A2985" t="str">
        <f>""</f>
        <v/>
      </c>
      <c r="G2985" t="str">
        <f>""</f>
        <v/>
      </c>
      <c r="H2985" t="str">
        <f>""</f>
        <v/>
      </c>
      <c r="J2985" t="str">
        <f t="shared" si="50"/>
        <v>BCBS PAYABLE</v>
      </c>
    </row>
    <row r="2986" spans="1:10" x14ac:dyDescent="0.3">
      <c r="A2986" t="str">
        <f>""</f>
        <v/>
      </c>
      <c r="G2986" t="str">
        <f>""</f>
        <v/>
      </c>
      <c r="H2986" t="str">
        <f>""</f>
        <v/>
      </c>
      <c r="J2986" t="str">
        <f t="shared" si="50"/>
        <v>BCBS PAYABLE</v>
      </c>
    </row>
    <row r="2987" spans="1:10" x14ac:dyDescent="0.3">
      <c r="A2987" t="str">
        <f>""</f>
        <v/>
      </c>
      <c r="G2987" t="str">
        <f>""</f>
        <v/>
      </c>
      <c r="H2987" t="str">
        <f>""</f>
        <v/>
      </c>
      <c r="J2987" t="str">
        <f t="shared" si="50"/>
        <v>BCBS PAYABLE</v>
      </c>
    </row>
    <row r="2988" spans="1:10" x14ac:dyDescent="0.3">
      <c r="A2988" t="str">
        <f>""</f>
        <v/>
      </c>
      <c r="G2988" t="str">
        <f>""</f>
        <v/>
      </c>
      <c r="H2988" t="str">
        <f>""</f>
        <v/>
      </c>
      <c r="J2988" t="str">
        <f t="shared" si="50"/>
        <v>BCBS PAYABLE</v>
      </c>
    </row>
    <row r="2989" spans="1:10" x14ac:dyDescent="0.3">
      <c r="A2989" t="str">
        <f>""</f>
        <v/>
      </c>
      <c r="G2989" t="str">
        <f>""</f>
        <v/>
      </c>
      <c r="H2989" t="str">
        <f>""</f>
        <v/>
      </c>
      <c r="J2989" t="str">
        <f t="shared" si="50"/>
        <v>BCBS PAYABLE</v>
      </c>
    </row>
    <row r="2990" spans="1:10" x14ac:dyDescent="0.3">
      <c r="A2990" t="str">
        <f>""</f>
        <v/>
      </c>
      <c r="G2990" t="str">
        <f>""</f>
        <v/>
      </c>
      <c r="H2990" t="str">
        <f>""</f>
        <v/>
      </c>
      <c r="J2990" t="str">
        <f t="shared" si="50"/>
        <v>BCBS PAYABLE</v>
      </c>
    </row>
    <row r="2991" spans="1:10" x14ac:dyDescent="0.3">
      <c r="A2991" t="str">
        <f>""</f>
        <v/>
      </c>
      <c r="G2991" t="str">
        <f>""</f>
        <v/>
      </c>
      <c r="H2991" t="str">
        <f>""</f>
        <v/>
      </c>
      <c r="J2991" t="str">
        <f t="shared" si="50"/>
        <v>BCBS PAYABLE</v>
      </c>
    </row>
    <row r="2992" spans="1:10" x14ac:dyDescent="0.3">
      <c r="A2992" t="str">
        <f>""</f>
        <v/>
      </c>
      <c r="F2992" t="s">
        <v>10</v>
      </c>
      <c r="G2992" t="str">
        <f>"2EC201706143098"</f>
        <v>2EC201706143098</v>
      </c>
      <c r="H2992" t="str">
        <f>"BCBS PAYABLE"</f>
        <v>BCBS PAYABLE</v>
      </c>
      <c r="I2992" s="2">
        <v>1709.76</v>
      </c>
      <c r="J2992" t="str">
        <f t="shared" si="50"/>
        <v>BCBS PAYABLE</v>
      </c>
    </row>
    <row r="2993" spans="1:10" x14ac:dyDescent="0.3">
      <c r="A2993" t="str">
        <f>""</f>
        <v/>
      </c>
      <c r="G2993" t="str">
        <f>""</f>
        <v/>
      </c>
      <c r="H2993" t="str">
        <f>""</f>
        <v/>
      </c>
      <c r="J2993" t="str">
        <f t="shared" si="50"/>
        <v>BCBS PAYABLE</v>
      </c>
    </row>
    <row r="2994" spans="1:10" x14ac:dyDescent="0.3">
      <c r="A2994" t="str">
        <f>""</f>
        <v/>
      </c>
      <c r="F2994" t="s">
        <v>10</v>
      </c>
      <c r="G2994" t="str">
        <f>"2EF201705312317"</f>
        <v>2EF201705312317</v>
      </c>
      <c r="H2994" t="str">
        <f>"BCBS PAYABLE"</f>
        <v>BCBS PAYABLE</v>
      </c>
      <c r="I2994" s="2">
        <v>2548.1999999999998</v>
      </c>
      <c r="J2994" t="str">
        <f t="shared" ref="J2994:J3025" si="51">"BCBS PAYABLE"</f>
        <v>BCBS PAYABLE</v>
      </c>
    </row>
    <row r="2995" spans="1:10" x14ac:dyDescent="0.3">
      <c r="A2995" t="str">
        <f>""</f>
        <v/>
      </c>
      <c r="G2995" t="str">
        <f>""</f>
        <v/>
      </c>
      <c r="H2995" t="str">
        <f>""</f>
        <v/>
      </c>
      <c r="J2995" t="str">
        <f t="shared" si="51"/>
        <v>BCBS PAYABLE</v>
      </c>
    </row>
    <row r="2996" spans="1:10" x14ac:dyDescent="0.3">
      <c r="A2996" t="str">
        <f>""</f>
        <v/>
      </c>
      <c r="G2996" t="str">
        <f>""</f>
        <v/>
      </c>
      <c r="H2996" t="str">
        <f>""</f>
        <v/>
      </c>
      <c r="J2996" t="str">
        <f t="shared" si="51"/>
        <v>BCBS PAYABLE</v>
      </c>
    </row>
    <row r="2997" spans="1:10" x14ac:dyDescent="0.3">
      <c r="A2997" t="str">
        <f>""</f>
        <v/>
      </c>
      <c r="G2997" t="str">
        <f>""</f>
        <v/>
      </c>
      <c r="H2997" t="str">
        <f>""</f>
        <v/>
      </c>
      <c r="J2997" t="str">
        <f t="shared" si="51"/>
        <v>BCBS PAYABLE</v>
      </c>
    </row>
    <row r="2998" spans="1:10" x14ac:dyDescent="0.3">
      <c r="A2998" t="str">
        <f>""</f>
        <v/>
      </c>
      <c r="F2998" t="s">
        <v>10</v>
      </c>
      <c r="G2998" t="str">
        <f>"2EF201706143096"</f>
        <v>2EF201706143096</v>
      </c>
      <c r="H2998" t="str">
        <f>"BCBS PAYABLE"</f>
        <v>BCBS PAYABLE</v>
      </c>
      <c r="I2998" s="2">
        <v>2548.1999999999998</v>
      </c>
      <c r="J2998" t="str">
        <f t="shared" si="51"/>
        <v>BCBS PAYABLE</v>
      </c>
    </row>
    <row r="2999" spans="1:10" x14ac:dyDescent="0.3">
      <c r="A2999" t="str">
        <f>""</f>
        <v/>
      </c>
      <c r="G2999" t="str">
        <f>""</f>
        <v/>
      </c>
      <c r="H2999" t="str">
        <f>""</f>
        <v/>
      </c>
      <c r="J2999" t="str">
        <f t="shared" si="51"/>
        <v>BCBS PAYABLE</v>
      </c>
    </row>
    <row r="3000" spans="1:10" x14ac:dyDescent="0.3">
      <c r="A3000" t="str">
        <f>""</f>
        <v/>
      </c>
      <c r="G3000" t="str">
        <f>""</f>
        <v/>
      </c>
      <c r="H3000" t="str">
        <f>""</f>
        <v/>
      </c>
      <c r="J3000" t="str">
        <f t="shared" si="51"/>
        <v>BCBS PAYABLE</v>
      </c>
    </row>
    <row r="3001" spans="1:10" x14ac:dyDescent="0.3">
      <c r="A3001" t="str">
        <f>""</f>
        <v/>
      </c>
      <c r="G3001" t="str">
        <f>""</f>
        <v/>
      </c>
      <c r="H3001" t="str">
        <f>""</f>
        <v/>
      </c>
      <c r="J3001" t="str">
        <f t="shared" si="51"/>
        <v>BCBS PAYABLE</v>
      </c>
    </row>
    <row r="3002" spans="1:10" x14ac:dyDescent="0.3">
      <c r="A3002" t="str">
        <f>""</f>
        <v/>
      </c>
      <c r="F3002" t="s">
        <v>10</v>
      </c>
      <c r="G3002" t="str">
        <f>"2EO201705312317"</f>
        <v>2EO201705312317</v>
      </c>
      <c r="H3002" t="str">
        <f>"BCBS PAYABLE"</f>
        <v>BCBS PAYABLE</v>
      </c>
      <c r="I3002" s="2">
        <v>85830.48</v>
      </c>
      <c r="J3002" t="str">
        <f t="shared" si="51"/>
        <v>BCBS PAYABLE</v>
      </c>
    </row>
    <row r="3003" spans="1:10" x14ac:dyDescent="0.3">
      <c r="A3003" t="str">
        <f>""</f>
        <v/>
      </c>
      <c r="G3003" t="str">
        <f>""</f>
        <v/>
      </c>
      <c r="H3003" t="str">
        <f>""</f>
        <v/>
      </c>
      <c r="J3003" t="str">
        <f t="shared" si="51"/>
        <v>BCBS PAYABLE</v>
      </c>
    </row>
    <row r="3004" spans="1:10" x14ac:dyDescent="0.3">
      <c r="A3004" t="str">
        <f>""</f>
        <v/>
      </c>
      <c r="G3004" t="str">
        <f>""</f>
        <v/>
      </c>
      <c r="H3004" t="str">
        <f>""</f>
        <v/>
      </c>
      <c r="J3004" t="str">
        <f t="shared" si="51"/>
        <v>BCBS PAYABLE</v>
      </c>
    </row>
    <row r="3005" spans="1:10" x14ac:dyDescent="0.3">
      <c r="A3005" t="str">
        <f>""</f>
        <v/>
      </c>
      <c r="G3005" t="str">
        <f>""</f>
        <v/>
      </c>
      <c r="H3005" t="str">
        <f>""</f>
        <v/>
      </c>
      <c r="J3005" t="str">
        <f t="shared" si="51"/>
        <v>BCBS PAYABLE</v>
      </c>
    </row>
    <row r="3006" spans="1:10" x14ac:dyDescent="0.3">
      <c r="A3006" t="str">
        <f>""</f>
        <v/>
      </c>
      <c r="G3006" t="str">
        <f>""</f>
        <v/>
      </c>
      <c r="H3006" t="str">
        <f>""</f>
        <v/>
      </c>
      <c r="J3006" t="str">
        <f t="shared" si="51"/>
        <v>BCBS PAYABLE</v>
      </c>
    </row>
    <row r="3007" spans="1:10" x14ac:dyDescent="0.3">
      <c r="A3007" t="str">
        <f>""</f>
        <v/>
      </c>
      <c r="G3007" t="str">
        <f>""</f>
        <v/>
      </c>
      <c r="H3007" t="str">
        <f>""</f>
        <v/>
      </c>
      <c r="J3007" t="str">
        <f t="shared" si="51"/>
        <v>BCBS PAYABLE</v>
      </c>
    </row>
    <row r="3008" spans="1:10" x14ac:dyDescent="0.3">
      <c r="A3008" t="str">
        <f>""</f>
        <v/>
      </c>
      <c r="G3008" t="str">
        <f>""</f>
        <v/>
      </c>
      <c r="H3008" t="str">
        <f>""</f>
        <v/>
      </c>
      <c r="J3008" t="str">
        <f t="shared" si="51"/>
        <v>BCBS PAYABLE</v>
      </c>
    </row>
    <row r="3009" spans="1:10" x14ac:dyDescent="0.3">
      <c r="A3009" t="str">
        <f>""</f>
        <v/>
      </c>
      <c r="G3009" t="str">
        <f>""</f>
        <v/>
      </c>
      <c r="H3009" t="str">
        <f>""</f>
        <v/>
      </c>
      <c r="J3009" t="str">
        <f t="shared" si="51"/>
        <v>BCBS PAYABLE</v>
      </c>
    </row>
    <row r="3010" spans="1:10" x14ac:dyDescent="0.3">
      <c r="A3010" t="str">
        <f>""</f>
        <v/>
      </c>
      <c r="G3010" t="str">
        <f>""</f>
        <v/>
      </c>
      <c r="H3010" t="str">
        <f>""</f>
        <v/>
      </c>
      <c r="J3010" t="str">
        <f t="shared" si="51"/>
        <v>BCBS PAYABLE</v>
      </c>
    </row>
    <row r="3011" spans="1:10" x14ac:dyDescent="0.3">
      <c r="A3011" t="str">
        <f>""</f>
        <v/>
      </c>
      <c r="G3011" t="str">
        <f>""</f>
        <v/>
      </c>
      <c r="H3011" t="str">
        <f>""</f>
        <v/>
      </c>
      <c r="J3011" t="str">
        <f t="shared" si="51"/>
        <v>BCBS PAYABLE</v>
      </c>
    </row>
    <row r="3012" spans="1:10" x14ac:dyDescent="0.3">
      <c r="A3012" t="str">
        <f>""</f>
        <v/>
      </c>
      <c r="G3012" t="str">
        <f>""</f>
        <v/>
      </c>
      <c r="H3012" t="str">
        <f>""</f>
        <v/>
      </c>
      <c r="J3012" t="str">
        <f t="shared" si="51"/>
        <v>BCBS PAYABLE</v>
      </c>
    </row>
    <row r="3013" spans="1:10" x14ac:dyDescent="0.3">
      <c r="A3013" t="str">
        <f>""</f>
        <v/>
      </c>
      <c r="G3013" t="str">
        <f>""</f>
        <v/>
      </c>
      <c r="H3013" t="str">
        <f>""</f>
        <v/>
      </c>
      <c r="J3013" t="str">
        <f t="shared" si="51"/>
        <v>BCBS PAYABLE</v>
      </c>
    </row>
    <row r="3014" spans="1:10" x14ac:dyDescent="0.3">
      <c r="A3014" t="str">
        <f>""</f>
        <v/>
      </c>
      <c r="G3014" t="str">
        <f>""</f>
        <v/>
      </c>
      <c r="H3014" t="str">
        <f>""</f>
        <v/>
      </c>
      <c r="J3014" t="str">
        <f t="shared" si="51"/>
        <v>BCBS PAYABLE</v>
      </c>
    </row>
    <row r="3015" spans="1:10" x14ac:dyDescent="0.3">
      <c r="A3015" t="str">
        <f>""</f>
        <v/>
      </c>
      <c r="G3015" t="str">
        <f>""</f>
        <v/>
      </c>
      <c r="H3015" t="str">
        <f>""</f>
        <v/>
      </c>
      <c r="J3015" t="str">
        <f t="shared" si="51"/>
        <v>BCBS PAYABLE</v>
      </c>
    </row>
    <row r="3016" spans="1:10" x14ac:dyDescent="0.3">
      <c r="A3016" t="str">
        <f>""</f>
        <v/>
      </c>
      <c r="G3016" t="str">
        <f>""</f>
        <v/>
      </c>
      <c r="H3016" t="str">
        <f>""</f>
        <v/>
      </c>
      <c r="J3016" t="str">
        <f t="shared" si="51"/>
        <v>BCBS PAYABLE</v>
      </c>
    </row>
    <row r="3017" spans="1:10" x14ac:dyDescent="0.3">
      <c r="A3017" t="str">
        <f>""</f>
        <v/>
      </c>
      <c r="G3017" t="str">
        <f>""</f>
        <v/>
      </c>
      <c r="H3017" t="str">
        <f>""</f>
        <v/>
      </c>
      <c r="J3017" t="str">
        <f t="shared" si="51"/>
        <v>BCBS PAYABLE</v>
      </c>
    </row>
    <row r="3018" spans="1:10" x14ac:dyDescent="0.3">
      <c r="A3018" t="str">
        <f>""</f>
        <v/>
      </c>
      <c r="G3018" t="str">
        <f>""</f>
        <v/>
      </c>
      <c r="H3018" t="str">
        <f>""</f>
        <v/>
      </c>
      <c r="J3018" t="str">
        <f t="shared" si="51"/>
        <v>BCBS PAYABLE</v>
      </c>
    </row>
    <row r="3019" spans="1:10" x14ac:dyDescent="0.3">
      <c r="A3019" t="str">
        <f>""</f>
        <v/>
      </c>
      <c r="G3019" t="str">
        <f>""</f>
        <v/>
      </c>
      <c r="H3019" t="str">
        <f>""</f>
        <v/>
      </c>
      <c r="J3019" t="str">
        <f t="shared" si="51"/>
        <v>BCBS PAYABLE</v>
      </c>
    </row>
    <row r="3020" spans="1:10" x14ac:dyDescent="0.3">
      <c r="A3020" t="str">
        <f>""</f>
        <v/>
      </c>
      <c r="G3020" t="str">
        <f>""</f>
        <v/>
      </c>
      <c r="H3020" t="str">
        <f>""</f>
        <v/>
      </c>
      <c r="J3020" t="str">
        <f t="shared" si="51"/>
        <v>BCBS PAYABLE</v>
      </c>
    </row>
    <row r="3021" spans="1:10" x14ac:dyDescent="0.3">
      <c r="A3021" t="str">
        <f>""</f>
        <v/>
      </c>
      <c r="G3021" t="str">
        <f>""</f>
        <v/>
      </c>
      <c r="H3021" t="str">
        <f>""</f>
        <v/>
      </c>
      <c r="J3021" t="str">
        <f t="shared" si="51"/>
        <v>BCBS PAYABLE</v>
      </c>
    </row>
    <row r="3022" spans="1:10" x14ac:dyDescent="0.3">
      <c r="A3022" t="str">
        <f>""</f>
        <v/>
      </c>
      <c r="G3022" t="str">
        <f>""</f>
        <v/>
      </c>
      <c r="H3022" t="str">
        <f>""</f>
        <v/>
      </c>
      <c r="J3022" t="str">
        <f t="shared" si="51"/>
        <v>BCBS PAYABLE</v>
      </c>
    </row>
    <row r="3023" spans="1:10" x14ac:dyDescent="0.3">
      <c r="A3023" t="str">
        <f>""</f>
        <v/>
      </c>
      <c r="G3023" t="str">
        <f>""</f>
        <v/>
      </c>
      <c r="H3023" t="str">
        <f>""</f>
        <v/>
      </c>
      <c r="J3023" t="str">
        <f t="shared" si="51"/>
        <v>BCBS PAYABLE</v>
      </c>
    </row>
    <row r="3024" spans="1:10" x14ac:dyDescent="0.3">
      <c r="A3024" t="str">
        <f>""</f>
        <v/>
      </c>
      <c r="G3024" t="str">
        <f>""</f>
        <v/>
      </c>
      <c r="H3024" t="str">
        <f>""</f>
        <v/>
      </c>
      <c r="J3024" t="str">
        <f t="shared" si="51"/>
        <v>BCBS PAYABLE</v>
      </c>
    </row>
    <row r="3025" spans="1:10" x14ac:dyDescent="0.3">
      <c r="A3025" t="str">
        <f>""</f>
        <v/>
      </c>
      <c r="G3025" t="str">
        <f>""</f>
        <v/>
      </c>
      <c r="H3025" t="str">
        <f>""</f>
        <v/>
      </c>
      <c r="J3025" t="str">
        <f t="shared" si="51"/>
        <v>BCBS PAYABLE</v>
      </c>
    </row>
    <row r="3026" spans="1:10" x14ac:dyDescent="0.3">
      <c r="A3026" t="str">
        <f>""</f>
        <v/>
      </c>
      <c r="G3026" t="str">
        <f>""</f>
        <v/>
      </c>
      <c r="H3026" t="str">
        <f>""</f>
        <v/>
      </c>
      <c r="J3026" t="str">
        <f t="shared" ref="J3026:J3057" si="52">"BCBS PAYABLE"</f>
        <v>BCBS PAYABLE</v>
      </c>
    </row>
    <row r="3027" spans="1:10" x14ac:dyDescent="0.3">
      <c r="A3027" t="str">
        <f>""</f>
        <v/>
      </c>
      <c r="G3027" t="str">
        <f>""</f>
        <v/>
      </c>
      <c r="H3027" t="str">
        <f>""</f>
        <v/>
      </c>
      <c r="J3027" t="str">
        <f t="shared" si="52"/>
        <v>BCBS PAYABLE</v>
      </c>
    </row>
    <row r="3028" spans="1:10" x14ac:dyDescent="0.3">
      <c r="A3028" t="str">
        <f>""</f>
        <v/>
      </c>
      <c r="G3028" t="str">
        <f>""</f>
        <v/>
      </c>
      <c r="H3028" t="str">
        <f>""</f>
        <v/>
      </c>
      <c r="J3028" t="str">
        <f t="shared" si="52"/>
        <v>BCBS PAYABLE</v>
      </c>
    </row>
    <row r="3029" spans="1:10" x14ac:dyDescent="0.3">
      <c r="A3029" t="str">
        <f>""</f>
        <v/>
      </c>
      <c r="G3029" t="str">
        <f>""</f>
        <v/>
      </c>
      <c r="H3029" t="str">
        <f>""</f>
        <v/>
      </c>
      <c r="J3029" t="str">
        <f t="shared" si="52"/>
        <v>BCBS PAYABLE</v>
      </c>
    </row>
    <row r="3030" spans="1:10" x14ac:dyDescent="0.3">
      <c r="A3030" t="str">
        <f>""</f>
        <v/>
      </c>
      <c r="G3030" t="str">
        <f>""</f>
        <v/>
      </c>
      <c r="H3030" t="str">
        <f>""</f>
        <v/>
      </c>
      <c r="J3030" t="str">
        <f t="shared" si="52"/>
        <v>BCBS PAYABLE</v>
      </c>
    </row>
    <row r="3031" spans="1:10" x14ac:dyDescent="0.3">
      <c r="A3031" t="str">
        <f>""</f>
        <v/>
      </c>
      <c r="G3031" t="str">
        <f>""</f>
        <v/>
      </c>
      <c r="H3031" t="str">
        <f>""</f>
        <v/>
      </c>
      <c r="J3031" t="str">
        <f t="shared" si="52"/>
        <v>BCBS PAYABLE</v>
      </c>
    </row>
    <row r="3032" spans="1:10" x14ac:dyDescent="0.3">
      <c r="A3032" t="str">
        <f>""</f>
        <v/>
      </c>
      <c r="G3032" t="str">
        <f>""</f>
        <v/>
      </c>
      <c r="H3032" t="str">
        <f>""</f>
        <v/>
      </c>
      <c r="J3032" t="str">
        <f t="shared" si="52"/>
        <v>BCBS PAYABLE</v>
      </c>
    </row>
    <row r="3033" spans="1:10" x14ac:dyDescent="0.3">
      <c r="A3033" t="str">
        <f>""</f>
        <v/>
      </c>
      <c r="G3033" t="str">
        <f>""</f>
        <v/>
      </c>
      <c r="H3033" t="str">
        <f>""</f>
        <v/>
      </c>
      <c r="J3033" t="str">
        <f t="shared" si="52"/>
        <v>BCBS PAYABLE</v>
      </c>
    </row>
    <row r="3034" spans="1:10" x14ac:dyDescent="0.3">
      <c r="A3034" t="str">
        <f>""</f>
        <v/>
      </c>
      <c r="G3034" t="str">
        <f>""</f>
        <v/>
      </c>
      <c r="H3034" t="str">
        <f>""</f>
        <v/>
      </c>
      <c r="J3034" t="str">
        <f t="shared" si="52"/>
        <v>BCBS PAYABLE</v>
      </c>
    </row>
    <row r="3035" spans="1:10" x14ac:dyDescent="0.3">
      <c r="A3035" t="str">
        <f>""</f>
        <v/>
      </c>
      <c r="G3035" t="str">
        <f>""</f>
        <v/>
      </c>
      <c r="H3035" t="str">
        <f>""</f>
        <v/>
      </c>
      <c r="J3035" t="str">
        <f t="shared" si="52"/>
        <v>BCBS PAYABLE</v>
      </c>
    </row>
    <row r="3036" spans="1:10" x14ac:dyDescent="0.3">
      <c r="A3036" t="str">
        <f>""</f>
        <v/>
      </c>
      <c r="G3036" t="str">
        <f>""</f>
        <v/>
      </c>
      <c r="H3036" t="str">
        <f>""</f>
        <v/>
      </c>
      <c r="J3036" t="str">
        <f t="shared" si="52"/>
        <v>BCBS PAYABLE</v>
      </c>
    </row>
    <row r="3037" spans="1:10" x14ac:dyDescent="0.3">
      <c r="A3037" t="str">
        <f>""</f>
        <v/>
      </c>
      <c r="G3037" t="str">
        <f>""</f>
        <v/>
      </c>
      <c r="H3037" t="str">
        <f>""</f>
        <v/>
      </c>
      <c r="J3037" t="str">
        <f t="shared" si="52"/>
        <v>BCBS PAYABLE</v>
      </c>
    </row>
    <row r="3038" spans="1:10" x14ac:dyDescent="0.3">
      <c r="A3038" t="str">
        <f>""</f>
        <v/>
      </c>
      <c r="G3038" t="str">
        <f>""</f>
        <v/>
      </c>
      <c r="H3038" t="str">
        <f>""</f>
        <v/>
      </c>
      <c r="J3038" t="str">
        <f t="shared" si="52"/>
        <v>BCBS PAYABLE</v>
      </c>
    </row>
    <row r="3039" spans="1:10" x14ac:dyDescent="0.3">
      <c r="A3039" t="str">
        <f>""</f>
        <v/>
      </c>
      <c r="G3039" t="str">
        <f>""</f>
        <v/>
      </c>
      <c r="H3039" t="str">
        <f>""</f>
        <v/>
      </c>
      <c r="J3039" t="str">
        <f t="shared" si="52"/>
        <v>BCBS PAYABLE</v>
      </c>
    </row>
    <row r="3040" spans="1:10" x14ac:dyDescent="0.3">
      <c r="A3040" t="str">
        <f>""</f>
        <v/>
      </c>
      <c r="G3040" t="str">
        <f>""</f>
        <v/>
      </c>
      <c r="H3040" t="str">
        <f>""</f>
        <v/>
      </c>
      <c r="J3040" t="str">
        <f t="shared" si="52"/>
        <v>BCBS PAYABLE</v>
      </c>
    </row>
    <row r="3041" spans="1:10" x14ac:dyDescent="0.3">
      <c r="A3041" t="str">
        <f>""</f>
        <v/>
      </c>
      <c r="G3041" t="str">
        <f>""</f>
        <v/>
      </c>
      <c r="H3041" t="str">
        <f>""</f>
        <v/>
      </c>
      <c r="J3041" t="str">
        <f t="shared" si="52"/>
        <v>BCBS PAYABLE</v>
      </c>
    </row>
    <row r="3042" spans="1:10" x14ac:dyDescent="0.3">
      <c r="A3042" t="str">
        <f>""</f>
        <v/>
      </c>
      <c r="G3042" t="str">
        <f>""</f>
        <v/>
      </c>
      <c r="H3042" t="str">
        <f>""</f>
        <v/>
      </c>
      <c r="J3042" t="str">
        <f t="shared" si="52"/>
        <v>BCBS PAYABLE</v>
      </c>
    </row>
    <row r="3043" spans="1:10" x14ac:dyDescent="0.3">
      <c r="A3043" t="str">
        <f>""</f>
        <v/>
      </c>
      <c r="G3043" t="str">
        <f>""</f>
        <v/>
      </c>
      <c r="H3043" t="str">
        <f>""</f>
        <v/>
      </c>
      <c r="J3043" t="str">
        <f t="shared" si="52"/>
        <v>BCBS PAYABLE</v>
      </c>
    </row>
    <row r="3044" spans="1:10" x14ac:dyDescent="0.3">
      <c r="A3044" t="str">
        <f>""</f>
        <v/>
      </c>
      <c r="F3044" t="s">
        <v>10</v>
      </c>
      <c r="G3044" t="str">
        <f>"2EO201705312318"</f>
        <v>2EO201705312318</v>
      </c>
      <c r="H3044" t="str">
        <f>"BCBS PAYABLE"</f>
        <v>BCBS PAYABLE</v>
      </c>
      <c r="I3044" s="2">
        <v>3731.76</v>
      </c>
      <c r="J3044" t="str">
        <f t="shared" si="52"/>
        <v>BCBS PAYABLE</v>
      </c>
    </row>
    <row r="3045" spans="1:10" x14ac:dyDescent="0.3">
      <c r="A3045" t="str">
        <f>""</f>
        <v/>
      </c>
      <c r="F3045" t="s">
        <v>10</v>
      </c>
      <c r="G3045" t="str">
        <f>"2EO201706143096"</f>
        <v>2EO201706143096</v>
      </c>
      <c r="H3045" t="str">
        <f>"BCBS PAYABLE"</f>
        <v>BCBS PAYABLE</v>
      </c>
      <c r="I3045" s="2">
        <v>85830.48</v>
      </c>
      <c r="J3045" t="str">
        <f t="shared" si="52"/>
        <v>BCBS PAYABLE</v>
      </c>
    </row>
    <row r="3046" spans="1:10" x14ac:dyDescent="0.3">
      <c r="A3046" t="str">
        <f>""</f>
        <v/>
      </c>
      <c r="G3046" t="str">
        <f>""</f>
        <v/>
      </c>
      <c r="H3046" t="str">
        <f>""</f>
        <v/>
      </c>
      <c r="J3046" t="str">
        <f t="shared" si="52"/>
        <v>BCBS PAYABLE</v>
      </c>
    </row>
    <row r="3047" spans="1:10" x14ac:dyDescent="0.3">
      <c r="A3047" t="str">
        <f>""</f>
        <v/>
      </c>
      <c r="G3047" t="str">
        <f>""</f>
        <v/>
      </c>
      <c r="H3047" t="str">
        <f>""</f>
        <v/>
      </c>
      <c r="J3047" t="str">
        <f t="shared" si="52"/>
        <v>BCBS PAYABLE</v>
      </c>
    </row>
    <row r="3048" spans="1:10" x14ac:dyDescent="0.3">
      <c r="A3048" t="str">
        <f>""</f>
        <v/>
      </c>
      <c r="G3048" t="str">
        <f>""</f>
        <v/>
      </c>
      <c r="H3048" t="str">
        <f>""</f>
        <v/>
      </c>
      <c r="J3048" t="str">
        <f t="shared" si="52"/>
        <v>BCBS PAYABLE</v>
      </c>
    </row>
    <row r="3049" spans="1:10" x14ac:dyDescent="0.3">
      <c r="A3049" t="str">
        <f>""</f>
        <v/>
      </c>
      <c r="G3049" t="str">
        <f>""</f>
        <v/>
      </c>
      <c r="H3049" t="str">
        <f>""</f>
        <v/>
      </c>
      <c r="J3049" t="str">
        <f t="shared" si="52"/>
        <v>BCBS PAYABLE</v>
      </c>
    </row>
    <row r="3050" spans="1:10" x14ac:dyDescent="0.3">
      <c r="A3050" t="str">
        <f>""</f>
        <v/>
      </c>
      <c r="G3050" t="str">
        <f>""</f>
        <v/>
      </c>
      <c r="H3050" t="str">
        <f>""</f>
        <v/>
      </c>
      <c r="J3050" t="str">
        <f t="shared" si="52"/>
        <v>BCBS PAYABLE</v>
      </c>
    </row>
    <row r="3051" spans="1:10" x14ac:dyDescent="0.3">
      <c r="A3051" t="str">
        <f>""</f>
        <v/>
      </c>
      <c r="G3051" t="str">
        <f>""</f>
        <v/>
      </c>
      <c r="H3051" t="str">
        <f>""</f>
        <v/>
      </c>
      <c r="J3051" t="str">
        <f t="shared" si="52"/>
        <v>BCBS PAYABLE</v>
      </c>
    </row>
    <row r="3052" spans="1:10" x14ac:dyDescent="0.3">
      <c r="A3052" t="str">
        <f>""</f>
        <v/>
      </c>
      <c r="G3052" t="str">
        <f>""</f>
        <v/>
      </c>
      <c r="H3052" t="str">
        <f>""</f>
        <v/>
      </c>
      <c r="J3052" t="str">
        <f t="shared" si="52"/>
        <v>BCBS PAYABLE</v>
      </c>
    </row>
    <row r="3053" spans="1:10" x14ac:dyDescent="0.3">
      <c r="A3053" t="str">
        <f>""</f>
        <v/>
      </c>
      <c r="G3053" t="str">
        <f>""</f>
        <v/>
      </c>
      <c r="H3053" t="str">
        <f>""</f>
        <v/>
      </c>
      <c r="J3053" t="str">
        <f t="shared" si="52"/>
        <v>BCBS PAYABLE</v>
      </c>
    </row>
    <row r="3054" spans="1:10" x14ac:dyDescent="0.3">
      <c r="A3054" t="str">
        <f>""</f>
        <v/>
      </c>
      <c r="G3054" t="str">
        <f>""</f>
        <v/>
      </c>
      <c r="H3054" t="str">
        <f>""</f>
        <v/>
      </c>
      <c r="J3054" t="str">
        <f t="shared" si="52"/>
        <v>BCBS PAYABLE</v>
      </c>
    </row>
    <row r="3055" spans="1:10" x14ac:dyDescent="0.3">
      <c r="A3055" t="str">
        <f>""</f>
        <v/>
      </c>
      <c r="G3055" t="str">
        <f>""</f>
        <v/>
      </c>
      <c r="H3055" t="str">
        <f>""</f>
        <v/>
      </c>
      <c r="J3055" t="str">
        <f t="shared" si="52"/>
        <v>BCBS PAYABLE</v>
      </c>
    </row>
    <row r="3056" spans="1:10" x14ac:dyDescent="0.3">
      <c r="A3056" t="str">
        <f>""</f>
        <v/>
      </c>
      <c r="G3056" t="str">
        <f>""</f>
        <v/>
      </c>
      <c r="H3056" t="str">
        <f>""</f>
        <v/>
      </c>
      <c r="J3056" t="str">
        <f t="shared" si="52"/>
        <v>BCBS PAYABLE</v>
      </c>
    </row>
    <row r="3057" spans="1:10" x14ac:dyDescent="0.3">
      <c r="A3057" t="str">
        <f>""</f>
        <v/>
      </c>
      <c r="G3057" t="str">
        <f>""</f>
        <v/>
      </c>
      <c r="H3057" t="str">
        <f>""</f>
        <v/>
      </c>
      <c r="J3057" t="str">
        <f t="shared" si="52"/>
        <v>BCBS PAYABLE</v>
      </c>
    </row>
    <row r="3058" spans="1:10" x14ac:dyDescent="0.3">
      <c r="A3058" t="str">
        <f>""</f>
        <v/>
      </c>
      <c r="G3058" t="str">
        <f>""</f>
        <v/>
      </c>
      <c r="H3058" t="str">
        <f>""</f>
        <v/>
      </c>
      <c r="J3058" t="str">
        <f t="shared" ref="J3058:J3089" si="53">"BCBS PAYABLE"</f>
        <v>BCBS PAYABLE</v>
      </c>
    </row>
    <row r="3059" spans="1:10" x14ac:dyDescent="0.3">
      <c r="A3059" t="str">
        <f>""</f>
        <v/>
      </c>
      <c r="G3059" t="str">
        <f>""</f>
        <v/>
      </c>
      <c r="H3059" t="str">
        <f>""</f>
        <v/>
      </c>
      <c r="J3059" t="str">
        <f t="shared" si="53"/>
        <v>BCBS PAYABLE</v>
      </c>
    </row>
    <row r="3060" spans="1:10" x14ac:dyDescent="0.3">
      <c r="A3060" t="str">
        <f>""</f>
        <v/>
      </c>
      <c r="G3060" t="str">
        <f>""</f>
        <v/>
      </c>
      <c r="H3060" t="str">
        <f>""</f>
        <v/>
      </c>
      <c r="J3060" t="str">
        <f t="shared" si="53"/>
        <v>BCBS PAYABLE</v>
      </c>
    </row>
    <row r="3061" spans="1:10" x14ac:dyDescent="0.3">
      <c r="A3061" t="str">
        <f>""</f>
        <v/>
      </c>
      <c r="G3061" t="str">
        <f>""</f>
        <v/>
      </c>
      <c r="H3061" t="str">
        <f>""</f>
        <v/>
      </c>
      <c r="J3061" t="str">
        <f t="shared" si="53"/>
        <v>BCBS PAYABLE</v>
      </c>
    </row>
    <row r="3062" spans="1:10" x14ac:dyDescent="0.3">
      <c r="A3062" t="str">
        <f>""</f>
        <v/>
      </c>
      <c r="G3062" t="str">
        <f>""</f>
        <v/>
      </c>
      <c r="H3062" t="str">
        <f>""</f>
        <v/>
      </c>
      <c r="J3062" t="str">
        <f t="shared" si="53"/>
        <v>BCBS PAYABLE</v>
      </c>
    </row>
    <row r="3063" spans="1:10" x14ac:dyDescent="0.3">
      <c r="A3063" t="str">
        <f>""</f>
        <v/>
      </c>
      <c r="G3063" t="str">
        <f>""</f>
        <v/>
      </c>
      <c r="H3063" t="str">
        <f>""</f>
        <v/>
      </c>
      <c r="J3063" t="str">
        <f t="shared" si="53"/>
        <v>BCBS PAYABLE</v>
      </c>
    </row>
    <row r="3064" spans="1:10" x14ac:dyDescent="0.3">
      <c r="A3064" t="str">
        <f>""</f>
        <v/>
      </c>
      <c r="G3064" t="str">
        <f>""</f>
        <v/>
      </c>
      <c r="H3064" t="str">
        <f>""</f>
        <v/>
      </c>
      <c r="J3064" t="str">
        <f t="shared" si="53"/>
        <v>BCBS PAYABLE</v>
      </c>
    </row>
    <row r="3065" spans="1:10" x14ac:dyDescent="0.3">
      <c r="A3065" t="str">
        <f>""</f>
        <v/>
      </c>
      <c r="G3065" t="str">
        <f>""</f>
        <v/>
      </c>
      <c r="H3065" t="str">
        <f>""</f>
        <v/>
      </c>
      <c r="J3065" t="str">
        <f t="shared" si="53"/>
        <v>BCBS PAYABLE</v>
      </c>
    </row>
    <row r="3066" spans="1:10" x14ac:dyDescent="0.3">
      <c r="A3066" t="str">
        <f>""</f>
        <v/>
      </c>
      <c r="G3066" t="str">
        <f>""</f>
        <v/>
      </c>
      <c r="H3066" t="str">
        <f>""</f>
        <v/>
      </c>
      <c r="J3066" t="str">
        <f t="shared" si="53"/>
        <v>BCBS PAYABLE</v>
      </c>
    </row>
    <row r="3067" spans="1:10" x14ac:dyDescent="0.3">
      <c r="A3067" t="str">
        <f>""</f>
        <v/>
      </c>
      <c r="G3067" t="str">
        <f>""</f>
        <v/>
      </c>
      <c r="H3067" t="str">
        <f>""</f>
        <v/>
      </c>
      <c r="J3067" t="str">
        <f t="shared" si="53"/>
        <v>BCBS PAYABLE</v>
      </c>
    </row>
    <row r="3068" spans="1:10" x14ac:dyDescent="0.3">
      <c r="A3068" t="str">
        <f>""</f>
        <v/>
      </c>
      <c r="G3068" t="str">
        <f>""</f>
        <v/>
      </c>
      <c r="H3068" t="str">
        <f>""</f>
        <v/>
      </c>
      <c r="J3068" t="str">
        <f t="shared" si="53"/>
        <v>BCBS PAYABLE</v>
      </c>
    </row>
    <row r="3069" spans="1:10" x14ac:dyDescent="0.3">
      <c r="A3069" t="str">
        <f>""</f>
        <v/>
      </c>
      <c r="G3069" t="str">
        <f>""</f>
        <v/>
      </c>
      <c r="H3069" t="str">
        <f>""</f>
        <v/>
      </c>
      <c r="J3069" t="str">
        <f t="shared" si="53"/>
        <v>BCBS PAYABLE</v>
      </c>
    </row>
    <row r="3070" spans="1:10" x14ac:dyDescent="0.3">
      <c r="A3070" t="str">
        <f>""</f>
        <v/>
      </c>
      <c r="G3070" t="str">
        <f>""</f>
        <v/>
      </c>
      <c r="H3070" t="str">
        <f>""</f>
        <v/>
      </c>
      <c r="J3070" t="str">
        <f t="shared" si="53"/>
        <v>BCBS PAYABLE</v>
      </c>
    </row>
    <row r="3071" spans="1:10" x14ac:dyDescent="0.3">
      <c r="A3071" t="str">
        <f>""</f>
        <v/>
      </c>
      <c r="G3071" t="str">
        <f>""</f>
        <v/>
      </c>
      <c r="H3071" t="str">
        <f>""</f>
        <v/>
      </c>
      <c r="J3071" t="str">
        <f t="shared" si="53"/>
        <v>BCBS PAYABLE</v>
      </c>
    </row>
    <row r="3072" spans="1:10" x14ac:dyDescent="0.3">
      <c r="A3072" t="str">
        <f>""</f>
        <v/>
      </c>
      <c r="G3072" t="str">
        <f>""</f>
        <v/>
      </c>
      <c r="H3072" t="str">
        <f>""</f>
        <v/>
      </c>
      <c r="J3072" t="str">
        <f t="shared" si="53"/>
        <v>BCBS PAYABLE</v>
      </c>
    </row>
    <row r="3073" spans="1:10" x14ac:dyDescent="0.3">
      <c r="A3073" t="str">
        <f>""</f>
        <v/>
      </c>
      <c r="G3073" t="str">
        <f>""</f>
        <v/>
      </c>
      <c r="H3073" t="str">
        <f>""</f>
        <v/>
      </c>
      <c r="J3073" t="str">
        <f t="shared" si="53"/>
        <v>BCBS PAYABLE</v>
      </c>
    </row>
    <row r="3074" spans="1:10" x14ac:dyDescent="0.3">
      <c r="A3074" t="str">
        <f>""</f>
        <v/>
      </c>
      <c r="G3074" t="str">
        <f>""</f>
        <v/>
      </c>
      <c r="H3074" t="str">
        <f>""</f>
        <v/>
      </c>
      <c r="J3074" t="str">
        <f t="shared" si="53"/>
        <v>BCBS PAYABLE</v>
      </c>
    </row>
    <row r="3075" spans="1:10" x14ac:dyDescent="0.3">
      <c r="A3075" t="str">
        <f>""</f>
        <v/>
      </c>
      <c r="G3075" t="str">
        <f>""</f>
        <v/>
      </c>
      <c r="H3075" t="str">
        <f>""</f>
        <v/>
      </c>
      <c r="J3075" t="str">
        <f t="shared" si="53"/>
        <v>BCBS PAYABLE</v>
      </c>
    </row>
    <row r="3076" spans="1:10" x14ac:dyDescent="0.3">
      <c r="A3076" t="str">
        <f>""</f>
        <v/>
      </c>
      <c r="G3076" t="str">
        <f>""</f>
        <v/>
      </c>
      <c r="H3076" t="str">
        <f>""</f>
        <v/>
      </c>
      <c r="J3076" t="str">
        <f t="shared" si="53"/>
        <v>BCBS PAYABLE</v>
      </c>
    </row>
    <row r="3077" spans="1:10" x14ac:dyDescent="0.3">
      <c r="A3077" t="str">
        <f>""</f>
        <v/>
      </c>
      <c r="G3077" t="str">
        <f>""</f>
        <v/>
      </c>
      <c r="H3077" t="str">
        <f>""</f>
        <v/>
      </c>
      <c r="J3077" t="str">
        <f t="shared" si="53"/>
        <v>BCBS PAYABLE</v>
      </c>
    </row>
    <row r="3078" spans="1:10" x14ac:dyDescent="0.3">
      <c r="A3078" t="str">
        <f>""</f>
        <v/>
      </c>
      <c r="G3078" t="str">
        <f>""</f>
        <v/>
      </c>
      <c r="H3078" t="str">
        <f>""</f>
        <v/>
      </c>
      <c r="J3078" t="str">
        <f t="shared" si="53"/>
        <v>BCBS PAYABLE</v>
      </c>
    </row>
    <row r="3079" spans="1:10" x14ac:dyDescent="0.3">
      <c r="A3079" t="str">
        <f>""</f>
        <v/>
      </c>
      <c r="G3079" t="str">
        <f>""</f>
        <v/>
      </c>
      <c r="H3079" t="str">
        <f>""</f>
        <v/>
      </c>
      <c r="J3079" t="str">
        <f t="shared" si="53"/>
        <v>BCBS PAYABLE</v>
      </c>
    </row>
    <row r="3080" spans="1:10" x14ac:dyDescent="0.3">
      <c r="A3080" t="str">
        <f>""</f>
        <v/>
      </c>
      <c r="G3080" t="str">
        <f>""</f>
        <v/>
      </c>
      <c r="H3080" t="str">
        <f>""</f>
        <v/>
      </c>
      <c r="J3080" t="str">
        <f t="shared" si="53"/>
        <v>BCBS PAYABLE</v>
      </c>
    </row>
    <row r="3081" spans="1:10" x14ac:dyDescent="0.3">
      <c r="A3081" t="str">
        <f>""</f>
        <v/>
      </c>
      <c r="G3081" t="str">
        <f>""</f>
        <v/>
      </c>
      <c r="H3081" t="str">
        <f>""</f>
        <v/>
      </c>
      <c r="J3081" t="str">
        <f t="shared" si="53"/>
        <v>BCBS PAYABLE</v>
      </c>
    </row>
    <row r="3082" spans="1:10" x14ac:dyDescent="0.3">
      <c r="A3082" t="str">
        <f>""</f>
        <v/>
      </c>
      <c r="G3082" t="str">
        <f>""</f>
        <v/>
      </c>
      <c r="H3082" t="str">
        <f>""</f>
        <v/>
      </c>
      <c r="J3082" t="str">
        <f t="shared" si="53"/>
        <v>BCBS PAYABLE</v>
      </c>
    </row>
    <row r="3083" spans="1:10" x14ac:dyDescent="0.3">
      <c r="A3083" t="str">
        <f>""</f>
        <v/>
      </c>
      <c r="G3083" t="str">
        <f>""</f>
        <v/>
      </c>
      <c r="H3083" t="str">
        <f>""</f>
        <v/>
      </c>
      <c r="J3083" t="str">
        <f t="shared" si="53"/>
        <v>BCBS PAYABLE</v>
      </c>
    </row>
    <row r="3084" spans="1:10" x14ac:dyDescent="0.3">
      <c r="A3084" t="str">
        <f>""</f>
        <v/>
      </c>
      <c r="G3084" t="str">
        <f>""</f>
        <v/>
      </c>
      <c r="H3084" t="str">
        <f>""</f>
        <v/>
      </c>
      <c r="J3084" t="str">
        <f t="shared" si="53"/>
        <v>BCBS PAYABLE</v>
      </c>
    </row>
    <row r="3085" spans="1:10" x14ac:dyDescent="0.3">
      <c r="A3085" t="str">
        <f>""</f>
        <v/>
      </c>
      <c r="G3085" t="str">
        <f>""</f>
        <v/>
      </c>
      <c r="H3085" t="str">
        <f>""</f>
        <v/>
      </c>
      <c r="J3085" t="str">
        <f t="shared" si="53"/>
        <v>BCBS PAYABLE</v>
      </c>
    </row>
    <row r="3086" spans="1:10" x14ac:dyDescent="0.3">
      <c r="A3086" t="str">
        <f>""</f>
        <v/>
      </c>
      <c r="G3086" t="str">
        <f>""</f>
        <v/>
      </c>
      <c r="H3086" t="str">
        <f>""</f>
        <v/>
      </c>
      <c r="J3086" t="str">
        <f t="shared" si="53"/>
        <v>BCBS PAYABLE</v>
      </c>
    </row>
    <row r="3087" spans="1:10" x14ac:dyDescent="0.3">
      <c r="A3087" t="str">
        <f>""</f>
        <v/>
      </c>
      <c r="F3087" t="s">
        <v>10</v>
      </c>
      <c r="G3087" t="str">
        <f>"2EO201706143098"</f>
        <v>2EO201706143098</v>
      </c>
      <c r="H3087" t="str">
        <f>"BCBS PAYABLE"</f>
        <v>BCBS PAYABLE</v>
      </c>
      <c r="I3087" s="2">
        <v>3731.76</v>
      </c>
      <c r="J3087" t="str">
        <f t="shared" si="53"/>
        <v>BCBS PAYABLE</v>
      </c>
    </row>
    <row r="3088" spans="1:10" x14ac:dyDescent="0.3">
      <c r="A3088" t="str">
        <f>""</f>
        <v/>
      </c>
      <c r="F3088" t="s">
        <v>10</v>
      </c>
      <c r="G3088" t="str">
        <f>"2ES201705312317"</f>
        <v>2ES201705312317</v>
      </c>
      <c r="H3088" t="str">
        <f>"BCBS PAYABLE"</f>
        <v>BCBS PAYABLE</v>
      </c>
      <c r="I3088" s="2">
        <v>16324.77</v>
      </c>
      <c r="J3088" t="str">
        <f t="shared" si="53"/>
        <v>BCBS PAYABLE</v>
      </c>
    </row>
    <row r="3089" spans="1:10" x14ac:dyDescent="0.3">
      <c r="A3089" t="str">
        <f>""</f>
        <v/>
      </c>
      <c r="G3089" t="str">
        <f>""</f>
        <v/>
      </c>
      <c r="H3089" t="str">
        <f>""</f>
        <v/>
      </c>
      <c r="J3089" t="str">
        <f t="shared" si="53"/>
        <v>BCBS PAYABLE</v>
      </c>
    </row>
    <row r="3090" spans="1:10" x14ac:dyDescent="0.3">
      <c r="A3090" t="str">
        <f>""</f>
        <v/>
      </c>
      <c r="G3090" t="str">
        <f>""</f>
        <v/>
      </c>
      <c r="H3090" t="str">
        <f>""</f>
        <v/>
      </c>
      <c r="J3090" t="str">
        <f t="shared" ref="J3090:J3125" si="54">"BCBS PAYABLE"</f>
        <v>BCBS PAYABLE</v>
      </c>
    </row>
    <row r="3091" spans="1:10" x14ac:dyDescent="0.3">
      <c r="A3091" t="str">
        <f>""</f>
        <v/>
      </c>
      <c r="G3091" t="str">
        <f>""</f>
        <v/>
      </c>
      <c r="H3091" t="str">
        <f>""</f>
        <v/>
      </c>
      <c r="J3091" t="str">
        <f t="shared" si="54"/>
        <v>BCBS PAYABLE</v>
      </c>
    </row>
    <row r="3092" spans="1:10" x14ac:dyDescent="0.3">
      <c r="A3092" t="str">
        <f>""</f>
        <v/>
      </c>
      <c r="G3092" t="str">
        <f>""</f>
        <v/>
      </c>
      <c r="H3092" t="str">
        <f>""</f>
        <v/>
      </c>
      <c r="J3092" t="str">
        <f t="shared" si="54"/>
        <v>BCBS PAYABLE</v>
      </c>
    </row>
    <row r="3093" spans="1:10" x14ac:dyDescent="0.3">
      <c r="A3093" t="str">
        <f>""</f>
        <v/>
      </c>
      <c r="G3093" t="str">
        <f>""</f>
        <v/>
      </c>
      <c r="H3093" t="str">
        <f>""</f>
        <v/>
      </c>
      <c r="J3093" t="str">
        <f t="shared" si="54"/>
        <v>BCBS PAYABLE</v>
      </c>
    </row>
    <row r="3094" spans="1:10" x14ac:dyDescent="0.3">
      <c r="A3094" t="str">
        <f>""</f>
        <v/>
      </c>
      <c r="G3094" t="str">
        <f>""</f>
        <v/>
      </c>
      <c r="H3094" t="str">
        <f>""</f>
        <v/>
      </c>
      <c r="J3094" t="str">
        <f t="shared" si="54"/>
        <v>BCBS PAYABLE</v>
      </c>
    </row>
    <row r="3095" spans="1:10" x14ac:dyDescent="0.3">
      <c r="A3095" t="str">
        <f>""</f>
        <v/>
      </c>
      <c r="G3095" t="str">
        <f>""</f>
        <v/>
      </c>
      <c r="H3095" t="str">
        <f>""</f>
        <v/>
      </c>
      <c r="J3095" t="str">
        <f t="shared" si="54"/>
        <v>BCBS PAYABLE</v>
      </c>
    </row>
    <row r="3096" spans="1:10" x14ac:dyDescent="0.3">
      <c r="A3096" t="str">
        <f>""</f>
        <v/>
      </c>
      <c r="G3096" t="str">
        <f>""</f>
        <v/>
      </c>
      <c r="H3096" t="str">
        <f>""</f>
        <v/>
      </c>
      <c r="J3096" t="str">
        <f t="shared" si="54"/>
        <v>BCBS PAYABLE</v>
      </c>
    </row>
    <row r="3097" spans="1:10" x14ac:dyDescent="0.3">
      <c r="A3097" t="str">
        <f>""</f>
        <v/>
      </c>
      <c r="G3097" t="str">
        <f>""</f>
        <v/>
      </c>
      <c r="H3097" t="str">
        <f>""</f>
        <v/>
      </c>
      <c r="J3097" t="str">
        <f t="shared" si="54"/>
        <v>BCBS PAYABLE</v>
      </c>
    </row>
    <row r="3098" spans="1:10" x14ac:dyDescent="0.3">
      <c r="A3098" t="str">
        <f>""</f>
        <v/>
      </c>
      <c r="G3098" t="str">
        <f>""</f>
        <v/>
      </c>
      <c r="H3098" t="str">
        <f>""</f>
        <v/>
      </c>
      <c r="J3098" t="str">
        <f t="shared" si="54"/>
        <v>BCBS PAYABLE</v>
      </c>
    </row>
    <row r="3099" spans="1:10" x14ac:dyDescent="0.3">
      <c r="A3099" t="str">
        <f>""</f>
        <v/>
      </c>
      <c r="G3099" t="str">
        <f>""</f>
        <v/>
      </c>
      <c r="H3099" t="str">
        <f>""</f>
        <v/>
      </c>
      <c r="J3099" t="str">
        <f t="shared" si="54"/>
        <v>BCBS PAYABLE</v>
      </c>
    </row>
    <row r="3100" spans="1:10" x14ac:dyDescent="0.3">
      <c r="A3100" t="str">
        <f>""</f>
        <v/>
      </c>
      <c r="G3100" t="str">
        <f>""</f>
        <v/>
      </c>
      <c r="H3100" t="str">
        <f>""</f>
        <v/>
      </c>
      <c r="J3100" t="str">
        <f t="shared" si="54"/>
        <v>BCBS PAYABLE</v>
      </c>
    </row>
    <row r="3101" spans="1:10" x14ac:dyDescent="0.3">
      <c r="A3101" t="str">
        <f>""</f>
        <v/>
      </c>
      <c r="G3101" t="str">
        <f>""</f>
        <v/>
      </c>
      <c r="H3101" t="str">
        <f>""</f>
        <v/>
      </c>
      <c r="J3101" t="str">
        <f t="shared" si="54"/>
        <v>BCBS PAYABLE</v>
      </c>
    </row>
    <row r="3102" spans="1:10" x14ac:dyDescent="0.3">
      <c r="A3102" t="str">
        <f>""</f>
        <v/>
      </c>
      <c r="G3102" t="str">
        <f>""</f>
        <v/>
      </c>
      <c r="H3102" t="str">
        <f>""</f>
        <v/>
      </c>
      <c r="J3102" t="str">
        <f t="shared" si="54"/>
        <v>BCBS PAYABLE</v>
      </c>
    </row>
    <row r="3103" spans="1:10" x14ac:dyDescent="0.3">
      <c r="A3103" t="str">
        <f>""</f>
        <v/>
      </c>
      <c r="G3103" t="str">
        <f>""</f>
        <v/>
      </c>
      <c r="H3103" t="str">
        <f>""</f>
        <v/>
      </c>
      <c r="J3103" t="str">
        <f t="shared" si="54"/>
        <v>BCBS PAYABLE</v>
      </c>
    </row>
    <row r="3104" spans="1:10" x14ac:dyDescent="0.3">
      <c r="A3104" t="str">
        <f>""</f>
        <v/>
      </c>
      <c r="G3104" t="str">
        <f>""</f>
        <v/>
      </c>
      <c r="H3104" t="str">
        <f>""</f>
        <v/>
      </c>
      <c r="J3104" t="str">
        <f t="shared" si="54"/>
        <v>BCBS PAYABLE</v>
      </c>
    </row>
    <row r="3105" spans="1:10" x14ac:dyDescent="0.3">
      <c r="A3105" t="str">
        <f>""</f>
        <v/>
      </c>
      <c r="G3105" t="str">
        <f>""</f>
        <v/>
      </c>
      <c r="H3105" t="str">
        <f>""</f>
        <v/>
      </c>
      <c r="J3105" t="str">
        <f t="shared" si="54"/>
        <v>BCBS PAYABLE</v>
      </c>
    </row>
    <row r="3106" spans="1:10" x14ac:dyDescent="0.3">
      <c r="A3106" t="str">
        <f>""</f>
        <v/>
      </c>
      <c r="G3106" t="str">
        <f>""</f>
        <v/>
      </c>
      <c r="H3106" t="str">
        <f>""</f>
        <v/>
      </c>
      <c r="J3106" t="str">
        <f t="shared" si="54"/>
        <v>BCBS PAYABLE</v>
      </c>
    </row>
    <row r="3107" spans="1:10" x14ac:dyDescent="0.3">
      <c r="A3107" t="str">
        <f>""</f>
        <v/>
      </c>
      <c r="F3107" t="s">
        <v>10</v>
      </c>
      <c r="G3107" t="str">
        <f>"2ES201706143096"</f>
        <v>2ES201706143096</v>
      </c>
      <c r="H3107" t="str">
        <f>"BCBS PAYABLE"</f>
        <v>BCBS PAYABLE</v>
      </c>
      <c r="I3107" s="2">
        <v>16324.77</v>
      </c>
      <c r="J3107" t="str">
        <f t="shared" si="54"/>
        <v>BCBS PAYABLE</v>
      </c>
    </row>
    <row r="3108" spans="1:10" x14ac:dyDescent="0.3">
      <c r="A3108" t="str">
        <f>""</f>
        <v/>
      </c>
      <c r="G3108" t="str">
        <f>""</f>
        <v/>
      </c>
      <c r="H3108" t="str">
        <f>""</f>
        <v/>
      </c>
      <c r="J3108" t="str">
        <f t="shared" si="54"/>
        <v>BCBS PAYABLE</v>
      </c>
    </row>
    <row r="3109" spans="1:10" x14ac:dyDescent="0.3">
      <c r="A3109" t="str">
        <f>""</f>
        <v/>
      </c>
      <c r="G3109" t="str">
        <f>""</f>
        <v/>
      </c>
      <c r="H3109" t="str">
        <f>""</f>
        <v/>
      </c>
      <c r="J3109" t="str">
        <f t="shared" si="54"/>
        <v>BCBS PAYABLE</v>
      </c>
    </row>
    <row r="3110" spans="1:10" x14ac:dyDescent="0.3">
      <c r="A3110" t="str">
        <f>""</f>
        <v/>
      </c>
      <c r="G3110" t="str">
        <f>""</f>
        <v/>
      </c>
      <c r="H3110" t="str">
        <f>""</f>
        <v/>
      </c>
      <c r="J3110" t="str">
        <f t="shared" si="54"/>
        <v>BCBS PAYABLE</v>
      </c>
    </row>
    <row r="3111" spans="1:10" x14ac:dyDescent="0.3">
      <c r="A3111" t="str">
        <f>""</f>
        <v/>
      </c>
      <c r="G3111" t="str">
        <f>""</f>
        <v/>
      </c>
      <c r="H3111" t="str">
        <f>""</f>
        <v/>
      </c>
      <c r="J3111" t="str">
        <f t="shared" si="54"/>
        <v>BCBS PAYABLE</v>
      </c>
    </row>
    <row r="3112" spans="1:10" x14ac:dyDescent="0.3">
      <c r="A3112" t="str">
        <f>""</f>
        <v/>
      </c>
      <c r="G3112" t="str">
        <f>""</f>
        <v/>
      </c>
      <c r="H3112" t="str">
        <f>""</f>
        <v/>
      </c>
      <c r="J3112" t="str">
        <f t="shared" si="54"/>
        <v>BCBS PAYABLE</v>
      </c>
    </row>
    <row r="3113" spans="1:10" x14ac:dyDescent="0.3">
      <c r="A3113" t="str">
        <f>""</f>
        <v/>
      </c>
      <c r="G3113" t="str">
        <f>""</f>
        <v/>
      </c>
      <c r="H3113" t="str">
        <f>""</f>
        <v/>
      </c>
      <c r="J3113" t="str">
        <f t="shared" si="54"/>
        <v>BCBS PAYABLE</v>
      </c>
    </row>
    <row r="3114" spans="1:10" x14ac:dyDescent="0.3">
      <c r="A3114" t="str">
        <f>""</f>
        <v/>
      </c>
      <c r="G3114" t="str">
        <f>""</f>
        <v/>
      </c>
      <c r="H3114" t="str">
        <f>""</f>
        <v/>
      </c>
      <c r="J3114" t="str">
        <f t="shared" si="54"/>
        <v>BCBS PAYABLE</v>
      </c>
    </row>
    <row r="3115" spans="1:10" x14ac:dyDescent="0.3">
      <c r="A3115" t="str">
        <f>""</f>
        <v/>
      </c>
      <c r="G3115" t="str">
        <f>""</f>
        <v/>
      </c>
      <c r="H3115" t="str">
        <f>""</f>
        <v/>
      </c>
      <c r="J3115" t="str">
        <f t="shared" si="54"/>
        <v>BCBS PAYABLE</v>
      </c>
    </row>
    <row r="3116" spans="1:10" x14ac:dyDescent="0.3">
      <c r="A3116" t="str">
        <f>""</f>
        <v/>
      </c>
      <c r="G3116" t="str">
        <f>""</f>
        <v/>
      </c>
      <c r="H3116" t="str">
        <f>""</f>
        <v/>
      </c>
      <c r="J3116" t="str">
        <f t="shared" si="54"/>
        <v>BCBS PAYABLE</v>
      </c>
    </row>
    <row r="3117" spans="1:10" x14ac:dyDescent="0.3">
      <c r="A3117" t="str">
        <f>""</f>
        <v/>
      </c>
      <c r="G3117" t="str">
        <f>""</f>
        <v/>
      </c>
      <c r="H3117" t="str">
        <f>""</f>
        <v/>
      </c>
      <c r="J3117" t="str">
        <f t="shared" si="54"/>
        <v>BCBS PAYABLE</v>
      </c>
    </row>
    <row r="3118" spans="1:10" x14ac:dyDescent="0.3">
      <c r="A3118" t="str">
        <f>""</f>
        <v/>
      </c>
      <c r="G3118" t="str">
        <f>""</f>
        <v/>
      </c>
      <c r="H3118" t="str">
        <f>""</f>
        <v/>
      </c>
      <c r="J3118" t="str">
        <f t="shared" si="54"/>
        <v>BCBS PAYABLE</v>
      </c>
    </row>
    <row r="3119" spans="1:10" x14ac:dyDescent="0.3">
      <c r="A3119" t="str">
        <f>""</f>
        <v/>
      </c>
      <c r="G3119" t="str">
        <f>""</f>
        <v/>
      </c>
      <c r="H3119" t="str">
        <f>""</f>
        <v/>
      </c>
      <c r="J3119" t="str">
        <f t="shared" si="54"/>
        <v>BCBS PAYABLE</v>
      </c>
    </row>
    <row r="3120" spans="1:10" x14ac:dyDescent="0.3">
      <c r="A3120" t="str">
        <f>""</f>
        <v/>
      </c>
      <c r="G3120" t="str">
        <f>""</f>
        <v/>
      </c>
      <c r="H3120" t="str">
        <f>""</f>
        <v/>
      </c>
      <c r="J3120" t="str">
        <f t="shared" si="54"/>
        <v>BCBS PAYABLE</v>
      </c>
    </row>
    <row r="3121" spans="1:10" x14ac:dyDescent="0.3">
      <c r="A3121" t="str">
        <f>""</f>
        <v/>
      </c>
      <c r="G3121" t="str">
        <f>""</f>
        <v/>
      </c>
      <c r="H3121" t="str">
        <f>""</f>
        <v/>
      </c>
      <c r="J3121" t="str">
        <f t="shared" si="54"/>
        <v>BCBS PAYABLE</v>
      </c>
    </row>
    <row r="3122" spans="1:10" x14ac:dyDescent="0.3">
      <c r="A3122" t="str">
        <f>""</f>
        <v/>
      </c>
      <c r="G3122" t="str">
        <f>""</f>
        <v/>
      </c>
      <c r="H3122" t="str">
        <f>""</f>
        <v/>
      </c>
      <c r="J3122" t="str">
        <f t="shared" si="54"/>
        <v>BCBS PAYABLE</v>
      </c>
    </row>
    <row r="3123" spans="1:10" x14ac:dyDescent="0.3">
      <c r="A3123" t="str">
        <f>""</f>
        <v/>
      </c>
      <c r="G3123" t="str">
        <f>""</f>
        <v/>
      </c>
      <c r="H3123" t="str">
        <f>""</f>
        <v/>
      </c>
      <c r="J3123" t="str">
        <f t="shared" si="54"/>
        <v>BCBS PAYABLE</v>
      </c>
    </row>
    <row r="3124" spans="1:10" x14ac:dyDescent="0.3">
      <c r="A3124" t="str">
        <f>""</f>
        <v/>
      </c>
      <c r="G3124" t="str">
        <f>""</f>
        <v/>
      </c>
      <c r="H3124" t="str">
        <f>""</f>
        <v/>
      </c>
      <c r="J3124" t="str">
        <f t="shared" si="54"/>
        <v>BCBS PAYABLE</v>
      </c>
    </row>
    <row r="3125" spans="1:10" x14ac:dyDescent="0.3">
      <c r="A3125" t="str">
        <f>""</f>
        <v/>
      </c>
      <c r="G3125" t="str">
        <f>""</f>
        <v/>
      </c>
      <c r="H3125" t="str">
        <f>""</f>
        <v/>
      </c>
      <c r="J3125" t="str">
        <f t="shared" si="54"/>
        <v>BCBS PAYABLE</v>
      </c>
    </row>
    <row r="3126" spans="1:10" x14ac:dyDescent="0.3">
      <c r="A3126" t="str">
        <f>"TAGO"</f>
        <v>TAGO</v>
      </c>
      <c r="B3126" t="s">
        <v>576</v>
      </c>
      <c r="C3126">
        <v>0</v>
      </c>
      <c r="D3126" s="2">
        <v>4161.1400000000003</v>
      </c>
      <c r="E3126" s="1">
        <v>42888</v>
      </c>
      <c r="F3126" t="s">
        <v>10</v>
      </c>
      <c r="G3126" t="str">
        <f>"C18201705312318"</f>
        <v>C18201705312318</v>
      </c>
      <c r="H3126" t="str">
        <f>"CAUSE# 0011635329"</f>
        <v>CAUSE# 0011635329</v>
      </c>
      <c r="I3126" s="2">
        <v>603.23</v>
      </c>
      <c r="J3126" t="str">
        <f>"CAUSE# 0011635329"</f>
        <v>CAUSE# 0011635329</v>
      </c>
    </row>
    <row r="3127" spans="1:10" x14ac:dyDescent="0.3">
      <c r="A3127" t="str">
        <f>""</f>
        <v/>
      </c>
      <c r="F3127" t="s">
        <v>10</v>
      </c>
      <c r="G3127" t="str">
        <f>"C2 201705312318"</f>
        <v>C2 201705312318</v>
      </c>
      <c r="H3127" t="str">
        <f>"0012982132CCL7445"</f>
        <v>0012982132CCL7445</v>
      </c>
      <c r="I3127" s="2">
        <v>692.31</v>
      </c>
      <c r="J3127" t="str">
        <f>"0012982132CCL7445"</f>
        <v>0012982132CCL7445</v>
      </c>
    </row>
    <row r="3128" spans="1:10" x14ac:dyDescent="0.3">
      <c r="A3128" t="str">
        <f>""</f>
        <v/>
      </c>
      <c r="F3128" t="s">
        <v>10</v>
      </c>
      <c r="G3128" t="str">
        <f>"C20201705312317"</f>
        <v>C20201705312317</v>
      </c>
      <c r="H3128" t="str">
        <f>"001003981107-12252"</f>
        <v>001003981107-12252</v>
      </c>
      <c r="I3128" s="2">
        <v>115.39</v>
      </c>
      <c r="J3128" t="str">
        <f>"001003981107-12252"</f>
        <v>001003981107-12252</v>
      </c>
    </row>
    <row r="3129" spans="1:10" x14ac:dyDescent="0.3">
      <c r="A3129" t="str">
        <f>""</f>
        <v/>
      </c>
      <c r="F3129" t="s">
        <v>10</v>
      </c>
      <c r="G3129" t="str">
        <f>"C39201705312317"</f>
        <v>C39201705312317</v>
      </c>
      <c r="H3129" t="str">
        <f>"0012352184423-1520"</f>
        <v>0012352184423-1520</v>
      </c>
      <c r="I3129" s="2">
        <v>273.23</v>
      </c>
      <c r="J3129" t="str">
        <f>"0012352184423-1520"</f>
        <v>0012352184423-1520</v>
      </c>
    </row>
    <row r="3130" spans="1:10" x14ac:dyDescent="0.3">
      <c r="A3130" t="str">
        <f>""</f>
        <v/>
      </c>
      <c r="F3130" t="s">
        <v>10</v>
      </c>
      <c r="G3130" t="str">
        <f>"C42201705312317"</f>
        <v>C42201705312317</v>
      </c>
      <c r="H3130" t="str">
        <f>"001236769211-14410"</f>
        <v>001236769211-14410</v>
      </c>
      <c r="I3130" s="2">
        <v>230.31</v>
      </c>
      <c r="J3130" t="str">
        <f>"001236769211-14410"</f>
        <v>001236769211-14410</v>
      </c>
    </row>
    <row r="3131" spans="1:10" x14ac:dyDescent="0.3">
      <c r="A3131" t="str">
        <f>""</f>
        <v/>
      </c>
      <c r="F3131" t="s">
        <v>10</v>
      </c>
      <c r="G3131" t="str">
        <f>"C46201705312317"</f>
        <v>C46201705312317</v>
      </c>
      <c r="H3131" t="str">
        <f>"CAUSE# 11-14911"</f>
        <v>CAUSE# 11-14911</v>
      </c>
      <c r="I3131" s="2">
        <v>238.62</v>
      </c>
      <c r="J3131" t="str">
        <f>"CAUSE# 11-14911"</f>
        <v>CAUSE# 11-14911</v>
      </c>
    </row>
    <row r="3132" spans="1:10" x14ac:dyDescent="0.3">
      <c r="A3132" t="str">
        <f>""</f>
        <v/>
      </c>
      <c r="F3132" t="s">
        <v>10</v>
      </c>
      <c r="G3132" t="str">
        <f>"C53201705312317"</f>
        <v>C53201705312317</v>
      </c>
      <c r="H3132" t="str">
        <f>"0012453366"</f>
        <v>0012453366</v>
      </c>
      <c r="I3132" s="2">
        <v>207.69</v>
      </c>
      <c r="J3132" t="str">
        <f>"0012453366"</f>
        <v>0012453366</v>
      </c>
    </row>
    <row r="3133" spans="1:10" x14ac:dyDescent="0.3">
      <c r="A3133" t="str">
        <f>""</f>
        <v/>
      </c>
      <c r="F3133" t="s">
        <v>10</v>
      </c>
      <c r="G3133" t="str">
        <f>"C59201705312317"</f>
        <v>C59201705312317</v>
      </c>
      <c r="H3133" t="str">
        <f>"0012936495140043"</f>
        <v>0012936495140043</v>
      </c>
      <c r="I3133" s="2">
        <v>226.15</v>
      </c>
      <c r="J3133" t="str">
        <f>"0012936495140043"</f>
        <v>0012936495140043</v>
      </c>
    </row>
    <row r="3134" spans="1:10" x14ac:dyDescent="0.3">
      <c r="A3134" t="str">
        <f>""</f>
        <v/>
      </c>
      <c r="F3134" t="s">
        <v>10</v>
      </c>
      <c r="G3134" t="str">
        <f>"C60201705312317"</f>
        <v>C60201705312317</v>
      </c>
      <c r="H3134" t="str">
        <f>"00130730762012V300"</f>
        <v>00130730762012V300</v>
      </c>
      <c r="I3134" s="2">
        <v>399.32</v>
      </c>
      <c r="J3134" t="str">
        <f>"00130730762012V300"</f>
        <v>00130730762012V300</v>
      </c>
    </row>
    <row r="3135" spans="1:10" x14ac:dyDescent="0.3">
      <c r="A3135" t="str">
        <f>""</f>
        <v/>
      </c>
      <c r="F3135" t="s">
        <v>10</v>
      </c>
      <c r="G3135" t="str">
        <f>"C61201705312317"</f>
        <v>C61201705312317</v>
      </c>
      <c r="H3135" t="str">
        <f>"001174398213713"</f>
        <v>001174398213713</v>
      </c>
      <c r="I3135" s="2">
        <v>143.96</v>
      </c>
      <c r="J3135" t="str">
        <f>"001174398213713"</f>
        <v>001174398213713</v>
      </c>
    </row>
    <row r="3136" spans="1:10" x14ac:dyDescent="0.3">
      <c r="A3136" t="str">
        <f>""</f>
        <v/>
      </c>
      <c r="F3136" t="s">
        <v>10</v>
      </c>
      <c r="G3136" t="str">
        <f>"C62201705312317"</f>
        <v>C62201705312317</v>
      </c>
      <c r="H3136" t="str">
        <f>"# 0012128865"</f>
        <v># 0012128865</v>
      </c>
      <c r="I3136" s="2">
        <v>243.23</v>
      </c>
      <c r="J3136" t="str">
        <f>"# 0012128865"</f>
        <v># 0012128865</v>
      </c>
    </row>
    <row r="3137" spans="1:10" x14ac:dyDescent="0.3">
      <c r="A3137" t="str">
        <f>""</f>
        <v/>
      </c>
      <c r="F3137" t="s">
        <v>10</v>
      </c>
      <c r="G3137" t="str">
        <f>"C63201705312317"</f>
        <v>C63201705312317</v>
      </c>
      <c r="H3137" t="str">
        <f>"00132751231517246"</f>
        <v>00132751231517246</v>
      </c>
      <c r="I3137" s="2">
        <v>46.15</v>
      </c>
      <c r="J3137" t="str">
        <f>"00132751231517246"</f>
        <v>00132751231517246</v>
      </c>
    </row>
    <row r="3138" spans="1:10" x14ac:dyDescent="0.3">
      <c r="A3138" t="str">
        <f>""</f>
        <v/>
      </c>
      <c r="F3138" t="s">
        <v>10</v>
      </c>
      <c r="G3138" t="str">
        <f>"C65201705312317"</f>
        <v>C65201705312317</v>
      </c>
      <c r="H3138" t="str">
        <f>"12-14956"</f>
        <v>12-14956</v>
      </c>
      <c r="I3138" s="2">
        <v>411.1</v>
      </c>
      <c r="J3138" t="str">
        <f>"12-14956"</f>
        <v>12-14956</v>
      </c>
    </row>
    <row r="3139" spans="1:10" x14ac:dyDescent="0.3">
      <c r="A3139" t="str">
        <f>""</f>
        <v/>
      </c>
      <c r="F3139" t="s">
        <v>10</v>
      </c>
      <c r="G3139" t="str">
        <f>"C66201705312317"</f>
        <v>C66201705312317</v>
      </c>
      <c r="H3139" t="str">
        <f>"# 0012871801"</f>
        <v># 0012871801</v>
      </c>
      <c r="I3139" s="2">
        <v>90</v>
      </c>
      <c r="J3139" t="str">
        <f>"# 0012871801"</f>
        <v># 0012871801</v>
      </c>
    </row>
    <row r="3140" spans="1:10" x14ac:dyDescent="0.3">
      <c r="A3140" t="str">
        <f>""</f>
        <v/>
      </c>
      <c r="F3140" t="s">
        <v>10</v>
      </c>
      <c r="G3140" t="str">
        <f>"C66201705312319"</f>
        <v>C66201705312319</v>
      </c>
      <c r="H3140" t="str">
        <f>"CAUSE#D1FM13007058"</f>
        <v>CAUSE#D1FM13007058</v>
      </c>
      <c r="I3140" s="2">
        <v>138.46</v>
      </c>
      <c r="J3140" t="str">
        <f>"CAUSE#D1FM13007058"</f>
        <v>CAUSE#D1FM13007058</v>
      </c>
    </row>
    <row r="3141" spans="1:10" x14ac:dyDescent="0.3">
      <c r="A3141" t="str">
        <f>""</f>
        <v/>
      </c>
      <c r="F3141" t="s">
        <v>10</v>
      </c>
      <c r="G3141" t="str">
        <f>"C67201705312317"</f>
        <v>C67201705312317</v>
      </c>
      <c r="H3141" t="str">
        <f>"13154657"</f>
        <v>13154657</v>
      </c>
      <c r="I3141" s="2">
        <v>101.99</v>
      </c>
      <c r="J3141" t="str">
        <f>"13154657"</f>
        <v>13154657</v>
      </c>
    </row>
    <row r="3142" spans="1:10" x14ac:dyDescent="0.3">
      <c r="A3142" t="str">
        <f>"TAGO"</f>
        <v>TAGO</v>
      </c>
      <c r="B3142" t="s">
        <v>576</v>
      </c>
      <c r="C3142">
        <v>0</v>
      </c>
      <c r="D3142" s="2">
        <v>4023.6</v>
      </c>
      <c r="E3142" s="1">
        <v>42902</v>
      </c>
      <c r="F3142" t="s">
        <v>10</v>
      </c>
      <c r="G3142" t="str">
        <f>"C18201706143098"</f>
        <v>C18201706143098</v>
      </c>
      <c r="H3142" t="str">
        <f>"CAUSE# 0011635329"</f>
        <v>CAUSE# 0011635329</v>
      </c>
      <c r="I3142" s="2">
        <v>603.23</v>
      </c>
      <c r="J3142" t="str">
        <f>"CAUSE# 0011635329"</f>
        <v>CAUSE# 0011635329</v>
      </c>
    </row>
    <row r="3143" spans="1:10" x14ac:dyDescent="0.3">
      <c r="A3143" t="str">
        <f>""</f>
        <v/>
      </c>
      <c r="F3143" t="s">
        <v>10</v>
      </c>
      <c r="G3143" t="str">
        <f>"C2 201706143098"</f>
        <v>C2 201706143098</v>
      </c>
      <c r="H3143" t="str">
        <f>"0012982132CCL7445"</f>
        <v>0012982132CCL7445</v>
      </c>
      <c r="I3143" s="2">
        <v>692.31</v>
      </c>
      <c r="J3143" t="str">
        <f>"0012982132CCL7445"</f>
        <v>0012982132CCL7445</v>
      </c>
    </row>
    <row r="3144" spans="1:10" x14ac:dyDescent="0.3">
      <c r="A3144" t="str">
        <f>""</f>
        <v/>
      </c>
      <c r="F3144" t="s">
        <v>10</v>
      </c>
      <c r="G3144" t="str">
        <f>"C20201706143096"</f>
        <v>C20201706143096</v>
      </c>
      <c r="H3144" t="str">
        <f>"001003981107-12252"</f>
        <v>001003981107-12252</v>
      </c>
      <c r="I3144" s="2">
        <v>115.39</v>
      </c>
      <c r="J3144" t="str">
        <f>"001003981107-12252"</f>
        <v>001003981107-12252</v>
      </c>
    </row>
    <row r="3145" spans="1:10" x14ac:dyDescent="0.3">
      <c r="A3145" t="str">
        <f>""</f>
        <v/>
      </c>
      <c r="F3145" t="s">
        <v>10</v>
      </c>
      <c r="G3145" t="str">
        <f>"C39201706143096"</f>
        <v>C39201706143096</v>
      </c>
      <c r="H3145" t="str">
        <f>"0012352184423-1520"</f>
        <v>0012352184423-1520</v>
      </c>
      <c r="I3145" s="2">
        <v>273.23</v>
      </c>
      <c r="J3145" t="str">
        <f>"0012352184423-1520"</f>
        <v>0012352184423-1520</v>
      </c>
    </row>
    <row r="3146" spans="1:10" x14ac:dyDescent="0.3">
      <c r="A3146" t="str">
        <f>""</f>
        <v/>
      </c>
      <c r="F3146" t="s">
        <v>10</v>
      </c>
      <c r="G3146" t="str">
        <f>"C42201706143096"</f>
        <v>C42201706143096</v>
      </c>
      <c r="H3146" t="str">
        <f>"001236769211-14410"</f>
        <v>001236769211-14410</v>
      </c>
      <c r="I3146" s="2">
        <v>230.31</v>
      </c>
      <c r="J3146" t="str">
        <f>"001236769211-14410"</f>
        <v>001236769211-14410</v>
      </c>
    </row>
    <row r="3147" spans="1:10" x14ac:dyDescent="0.3">
      <c r="A3147" t="str">
        <f>""</f>
        <v/>
      </c>
      <c r="F3147" t="s">
        <v>10</v>
      </c>
      <c r="G3147" t="str">
        <f>"C46201706143096"</f>
        <v>C46201706143096</v>
      </c>
      <c r="H3147" t="str">
        <f>"CAUSE# 11-14911"</f>
        <v>CAUSE# 11-14911</v>
      </c>
      <c r="I3147" s="2">
        <v>238.62</v>
      </c>
      <c r="J3147" t="str">
        <f>"CAUSE# 11-14911"</f>
        <v>CAUSE# 11-14911</v>
      </c>
    </row>
    <row r="3148" spans="1:10" x14ac:dyDescent="0.3">
      <c r="A3148" t="str">
        <f>""</f>
        <v/>
      </c>
      <c r="F3148" t="s">
        <v>10</v>
      </c>
      <c r="G3148" t="str">
        <f>"C53201706143096"</f>
        <v>C53201706143096</v>
      </c>
      <c r="H3148" t="str">
        <f>"0012453366"</f>
        <v>0012453366</v>
      </c>
      <c r="I3148" s="2">
        <v>207.69</v>
      </c>
      <c r="J3148" t="str">
        <f>"0012453366"</f>
        <v>0012453366</v>
      </c>
    </row>
    <row r="3149" spans="1:10" x14ac:dyDescent="0.3">
      <c r="A3149" t="str">
        <f>""</f>
        <v/>
      </c>
      <c r="F3149" t="s">
        <v>10</v>
      </c>
      <c r="G3149" t="str">
        <f>"C59201706143096"</f>
        <v>C59201706143096</v>
      </c>
      <c r="H3149" t="str">
        <f>"0012936495140043"</f>
        <v>0012936495140043</v>
      </c>
      <c r="I3149" s="2">
        <v>226.15</v>
      </c>
      <c r="J3149" t="str">
        <f>"0012936495140043"</f>
        <v>0012936495140043</v>
      </c>
    </row>
    <row r="3150" spans="1:10" x14ac:dyDescent="0.3">
      <c r="A3150" t="str">
        <f>""</f>
        <v/>
      </c>
      <c r="F3150" t="s">
        <v>10</v>
      </c>
      <c r="G3150" t="str">
        <f>"C60201706143096"</f>
        <v>C60201706143096</v>
      </c>
      <c r="H3150" t="str">
        <f>"00130730762012V300"</f>
        <v>00130730762012V300</v>
      </c>
      <c r="I3150" s="2">
        <v>399.32</v>
      </c>
      <c r="J3150" t="str">
        <f>"00130730762012V300"</f>
        <v>00130730762012V300</v>
      </c>
    </row>
    <row r="3151" spans="1:10" x14ac:dyDescent="0.3">
      <c r="A3151" t="str">
        <f>""</f>
        <v/>
      </c>
      <c r="F3151" t="s">
        <v>10</v>
      </c>
      <c r="G3151" t="str">
        <f>"C61201706143096"</f>
        <v>C61201706143096</v>
      </c>
      <c r="H3151" t="str">
        <f>"001174398213713"</f>
        <v>001174398213713</v>
      </c>
      <c r="I3151" s="2">
        <v>6.42</v>
      </c>
      <c r="J3151" t="str">
        <f>"001174398213713"</f>
        <v>001174398213713</v>
      </c>
    </row>
    <row r="3152" spans="1:10" x14ac:dyDescent="0.3">
      <c r="A3152" t="str">
        <f>""</f>
        <v/>
      </c>
      <c r="F3152" t="s">
        <v>10</v>
      </c>
      <c r="G3152" t="str">
        <f>"C62201706143096"</f>
        <v>C62201706143096</v>
      </c>
      <c r="H3152" t="str">
        <f>"# 0012128865"</f>
        <v># 0012128865</v>
      </c>
      <c r="I3152" s="2">
        <v>243.23</v>
      </c>
      <c r="J3152" t="str">
        <f>"# 0012128865"</f>
        <v># 0012128865</v>
      </c>
    </row>
    <row r="3153" spans="1:10" x14ac:dyDescent="0.3">
      <c r="A3153" t="str">
        <f>""</f>
        <v/>
      </c>
      <c r="F3153" t="s">
        <v>10</v>
      </c>
      <c r="G3153" t="str">
        <f>"C63201706143096"</f>
        <v>C63201706143096</v>
      </c>
      <c r="H3153" t="str">
        <f>"00132751231517246"</f>
        <v>00132751231517246</v>
      </c>
      <c r="I3153" s="2">
        <v>46.15</v>
      </c>
      <c r="J3153" t="str">
        <f>"00132751231517246"</f>
        <v>00132751231517246</v>
      </c>
    </row>
    <row r="3154" spans="1:10" x14ac:dyDescent="0.3">
      <c r="A3154" t="str">
        <f>""</f>
        <v/>
      </c>
      <c r="F3154" t="s">
        <v>10</v>
      </c>
      <c r="G3154" t="str">
        <f>"C65201706143096"</f>
        <v>C65201706143096</v>
      </c>
      <c r="H3154" t="str">
        <f>"12-14956"</f>
        <v>12-14956</v>
      </c>
      <c r="I3154" s="2">
        <v>411.1</v>
      </c>
      <c r="J3154" t="str">
        <f>"12-14956"</f>
        <v>12-14956</v>
      </c>
    </row>
    <row r="3155" spans="1:10" x14ac:dyDescent="0.3">
      <c r="A3155" t="str">
        <f>""</f>
        <v/>
      </c>
      <c r="F3155" t="s">
        <v>10</v>
      </c>
      <c r="G3155" t="str">
        <f>"C66201706143096"</f>
        <v>C66201706143096</v>
      </c>
      <c r="H3155" t="str">
        <f>"# 0012871801"</f>
        <v># 0012871801</v>
      </c>
      <c r="I3155" s="2">
        <v>90</v>
      </c>
      <c r="J3155" t="str">
        <f>"# 0012871801"</f>
        <v># 0012871801</v>
      </c>
    </row>
    <row r="3156" spans="1:10" x14ac:dyDescent="0.3">
      <c r="A3156" t="str">
        <f>""</f>
        <v/>
      </c>
      <c r="F3156" t="s">
        <v>10</v>
      </c>
      <c r="G3156" t="str">
        <f>"C66201706143099"</f>
        <v>C66201706143099</v>
      </c>
      <c r="H3156" t="str">
        <f>"CAUSE#D1FM13007058"</f>
        <v>CAUSE#D1FM13007058</v>
      </c>
      <c r="I3156" s="2">
        <v>138.46</v>
      </c>
      <c r="J3156" t="str">
        <f>"CAUSE#D1FM13007058"</f>
        <v>CAUSE#D1FM13007058</v>
      </c>
    </row>
    <row r="3157" spans="1:10" x14ac:dyDescent="0.3">
      <c r="A3157" t="str">
        <f>""</f>
        <v/>
      </c>
      <c r="F3157" t="s">
        <v>10</v>
      </c>
      <c r="G3157" t="str">
        <f>"C67201706143096"</f>
        <v>C67201706143096</v>
      </c>
      <c r="H3157" t="str">
        <f>"13154657"</f>
        <v>13154657</v>
      </c>
      <c r="I3157" s="2">
        <v>101.99</v>
      </c>
      <c r="J3157" t="str">
        <f>"13154657"</f>
        <v>13154657</v>
      </c>
    </row>
    <row r="3158" spans="1:10" x14ac:dyDescent="0.3">
      <c r="A3158" t="str">
        <f>"TAGO"</f>
        <v>TAGO</v>
      </c>
      <c r="B3158" t="s">
        <v>576</v>
      </c>
      <c r="C3158">
        <v>0</v>
      </c>
      <c r="D3158" s="2">
        <v>4023.6</v>
      </c>
      <c r="E3158" s="1">
        <v>42916</v>
      </c>
      <c r="F3158" t="s">
        <v>10</v>
      </c>
      <c r="G3158" t="str">
        <f>"C18201706273274"</f>
        <v>C18201706273274</v>
      </c>
      <c r="H3158" t="str">
        <f>"CAUSE# 0011635329"</f>
        <v>CAUSE# 0011635329</v>
      </c>
      <c r="I3158" s="2">
        <v>603.23</v>
      </c>
      <c r="J3158" t="str">
        <f>"CAUSE# 0011635329"</f>
        <v>CAUSE# 0011635329</v>
      </c>
    </row>
    <row r="3159" spans="1:10" x14ac:dyDescent="0.3">
      <c r="A3159" t="str">
        <f>""</f>
        <v/>
      </c>
      <c r="F3159" t="s">
        <v>10</v>
      </c>
      <c r="G3159" t="str">
        <f>"C2 201706273274"</f>
        <v>C2 201706273274</v>
      </c>
      <c r="H3159" t="str">
        <f>"0012982132CCL7445"</f>
        <v>0012982132CCL7445</v>
      </c>
      <c r="I3159" s="2">
        <v>692.31</v>
      </c>
      <c r="J3159" t="str">
        <f>"0012982132CCL7445"</f>
        <v>0012982132CCL7445</v>
      </c>
    </row>
    <row r="3160" spans="1:10" x14ac:dyDescent="0.3">
      <c r="A3160" t="str">
        <f>""</f>
        <v/>
      </c>
      <c r="F3160" t="s">
        <v>10</v>
      </c>
      <c r="G3160" t="str">
        <f>"C20201706273273"</f>
        <v>C20201706273273</v>
      </c>
      <c r="H3160" t="str">
        <f>"001003981107-12252"</f>
        <v>001003981107-12252</v>
      </c>
      <c r="I3160" s="2">
        <v>115.39</v>
      </c>
      <c r="J3160" t="str">
        <f>"001003981107-12252"</f>
        <v>001003981107-12252</v>
      </c>
    </row>
    <row r="3161" spans="1:10" x14ac:dyDescent="0.3">
      <c r="A3161" t="str">
        <f>""</f>
        <v/>
      </c>
      <c r="F3161" t="s">
        <v>10</v>
      </c>
      <c r="G3161" t="str">
        <f>"C39201706273273"</f>
        <v>C39201706273273</v>
      </c>
      <c r="H3161" t="str">
        <f>"0012352184423-1520"</f>
        <v>0012352184423-1520</v>
      </c>
      <c r="I3161" s="2">
        <v>273.23</v>
      </c>
      <c r="J3161" t="str">
        <f>"0012352184423-1520"</f>
        <v>0012352184423-1520</v>
      </c>
    </row>
    <row r="3162" spans="1:10" x14ac:dyDescent="0.3">
      <c r="A3162" t="str">
        <f>""</f>
        <v/>
      </c>
      <c r="F3162" t="s">
        <v>10</v>
      </c>
      <c r="G3162" t="str">
        <f>"C42201706273273"</f>
        <v>C42201706273273</v>
      </c>
      <c r="H3162" t="str">
        <f>"001236769211-14410"</f>
        <v>001236769211-14410</v>
      </c>
      <c r="I3162" s="2">
        <v>230.31</v>
      </c>
      <c r="J3162" t="str">
        <f>"001236769211-14410"</f>
        <v>001236769211-14410</v>
      </c>
    </row>
    <row r="3163" spans="1:10" x14ac:dyDescent="0.3">
      <c r="A3163" t="str">
        <f>""</f>
        <v/>
      </c>
      <c r="F3163" t="s">
        <v>10</v>
      </c>
      <c r="G3163" t="str">
        <f>"C46201706273273"</f>
        <v>C46201706273273</v>
      </c>
      <c r="H3163" t="str">
        <f>"CAUSE# 11-14911"</f>
        <v>CAUSE# 11-14911</v>
      </c>
      <c r="I3163" s="2">
        <v>238.62</v>
      </c>
      <c r="J3163" t="str">
        <f>"CAUSE# 11-14911"</f>
        <v>CAUSE# 11-14911</v>
      </c>
    </row>
    <row r="3164" spans="1:10" x14ac:dyDescent="0.3">
      <c r="A3164" t="str">
        <f>""</f>
        <v/>
      </c>
      <c r="F3164" t="s">
        <v>10</v>
      </c>
      <c r="G3164" t="str">
        <f>"C53201706273273"</f>
        <v>C53201706273273</v>
      </c>
      <c r="H3164" t="str">
        <f>"0012453366"</f>
        <v>0012453366</v>
      </c>
      <c r="I3164" s="2">
        <v>207.69</v>
      </c>
      <c r="J3164" t="str">
        <f>"0012453366"</f>
        <v>0012453366</v>
      </c>
    </row>
    <row r="3165" spans="1:10" x14ac:dyDescent="0.3">
      <c r="A3165" t="str">
        <f>""</f>
        <v/>
      </c>
      <c r="F3165" t="s">
        <v>10</v>
      </c>
      <c r="G3165" t="str">
        <f>"C59201706273273"</f>
        <v>C59201706273273</v>
      </c>
      <c r="H3165" t="str">
        <f>"0012936495140043"</f>
        <v>0012936495140043</v>
      </c>
      <c r="I3165" s="2">
        <v>226.15</v>
      </c>
      <c r="J3165" t="str">
        <f>"0012936495140043"</f>
        <v>0012936495140043</v>
      </c>
    </row>
    <row r="3166" spans="1:10" x14ac:dyDescent="0.3">
      <c r="A3166" t="str">
        <f>""</f>
        <v/>
      </c>
      <c r="F3166" t="s">
        <v>10</v>
      </c>
      <c r="G3166" t="str">
        <f>"C60201706273273"</f>
        <v>C60201706273273</v>
      </c>
      <c r="H3166" t="str">
        <f>"00130730762012V300"</f>
        <v>00130730762012V300</v>
      </c>
      <c r="I3166" s="2">
        <v>399.32</v>
      </c>
      <c r="J3166" t="str">
        <f>"00130730762012V300"</f>
        <v>00130730762012V300</v>
      </c>
    </row>
    <row r="3167" spans="1:10" x14ac:dyDescent="0.3">
      <c r="A3167" t="str">
        <f>""</f>
        <v/>
      </c>
      <c r="F3167" t="s">
        <v>10</v>
      </c>
      <c r="G3167" t="str">
        <f>"C61201706273273"</f>
        <v>C61201706273273</v>
      </c>
      <c r="H3167" t="str">
        <f>"001174398213713"</f>
        <v>001174398213713</v>
      </c>
      <c r="I3167" s="2">
        <v>6.42</v>
      </c>
      <c r="J3167" t="str">
        <f>"001174398213713"</f>
        <v>001174398213713</v>
      </c>
    </row>
    <row r="3168" spans="1:10" x14ac:dyDescent="0.3">
      <c r="A3168" t="str">
        <f>""</f>
        <v/>
      </c>
      <c r="F3168" t="s">
        <v>10</v>
      </c>
      <c r="G3168" t="str">
        <f>"C62201706273273"</f>
        <v>C62201706273273</v>
      </c>
      <c r="H3168" t="str">
        <f>"# 0012128865"</f>
        <v># 0012128865</v>
      </c>
      <c r="I3168" s="2">
        <v>243.23</v>
      </c>
      <c r="J3168" t="str">
        <f>"# 0012128865"</f>
        <v># 0012128865</v>
      </c>
    </row>
    <row r="3169" spans="1:10" x14ac:dyDescent="0.3">
      <c r="A3169" t="str">
        <f>""</f>
        <v/>
      </c>
      <c r="F3169" t="s">
        <v>10</v>
      </c>
      <c r="G3169" t="str">
        <f>"C63201706273273"</f>
        <v>C63201706273273</v>
      </c>
      <c r="H3169" t="str">
        <f>"00132751231517246"</f>
        <v>00132751231517246</v>
      </c>
      <c r="I3169" s="2">
        <v>46.15</v>
      </c>
      <c r="J3169" t="str">
        <f>"00132751231517246"</f>
        <v>00132751231517246</v>
      </c>
    </row>
    <row r="3170" spans="1:10" x14ac:dyDescent="0.3">
      <c r="A3170" t="str">
        <f>""</f>
        <v/>
      </c>
      <c r="F3170" t="s">
        <v>10</v>
      </c>
      <c r="G3170" t="str">
        <f>"C65201706273273"</f>
        <v>C65201706273273</v>
      </c>
      <c r="H3170" t="str">
        <f>"12-14956"</f>
        <v>12-14956</v>
      </c>
      <c r="I3170" s="2">
        <v>411.1</v>
      </c>
      <c r="J3170" t="str">
        <f>"12-14956"</f>
        <v>12-14956</v>
      </c>
    </row>
    <row r="3171" spans="1:10" x14ac:dyDescent="0.3">
      <c r="A3171" t="str">
        <f>""</f>
        <v/>
      </c>
      <c r="F3171" t="s">
        <v>10</v>
      </c>
      <c r="G3171" t="str">
        <f>"C66201706273273"</f>
        <v>C66201706273273</v>
      </c>
      <c r="H3171" t="str">
        <f>"# 0012871801"</f>
        <v># 0012871801</v>
      </c>
      <c r="I3171" s="2">
        <v>90</v>
      </c>
      <c r="J3171" t="str">
        <f>"# 0012871801"</f>
        <v># 0012871801</v>
      </c>
    </row>
    <row r="3172" spans="1:10" x14ac:dyDescent="0.3">
      <c r="A3172" t="str">
        <f>""</f>
        <v/>
      </c>
      <c r="F3172" t="s">
        <v>10</v>
      </c>
      <c r="G3172" t="str">
        <f>"C66201706273275"</f>
        <v>C66201706273275</v>
      </c>
      <c r="H3172" t="str">
        <f>"CAUSE#D1FM13007058"</f>
        <v>CAUSE#D1FM13007058</v>
      </c>
      <c r="I3172" s="2">
        <v>138.46</v>
      </c>
      <c r="J3172" t="str">
        <f>"CAUSE#D1FM13007058"</f>
        <v>CAUSE#D1FM13007058</v>
      </c>
    </row>
    <row r="3173" spans="1:10" x14ac:dyDescent="0.3">
      <c r="A3173" t="str">
        <f>""</f>
        <v/>
      </c>
      <c r="F3173" t="s">
        <v>10</v>
      </c>
      <c r="G3173" t="str">
        <f>"C67201706273273"</f>
        <v>C67201706273273</v>
      </c>
      <c r="H3173" t="str">
        <f>"13154657"</f>
        <v>13154657</v>
      </c>
      <c r="I3173" s="2">
        <v>101.99</v>
      </c>
      <c r="J3173" t="str">
        <f>"13154657"</f>
        <v>13154657</v>
      </c>
    </row>
    <row r="3174" spans="1:10" x14ac:dyDescent="0.3">
      <c r="A3174" t="str">
        <f>"TCDRS"</f>
        <v>TCDRS</v>
      </c>
      <c r="B3174" t="s">
        <v>577</v>
      </c>
      <c r="C3174">
        <v>0</v>
      </c>
      <c r="D3174" s="2">
        <v>449009.13</v>
      </c>
      <c r="E3174" s="1">
        <v>42916</v>
      </c>
      <c r="F3174" t="s">
        <v>10</v>
      </c>
      <c r="G3174" t="str">
        <f>"RET201705312317"</f>
        <v>RET201705312317</v>
      </c>
      <c r="H3174" t="str">
        <f>"TEXAS COUNTY &amp; DISTRICT RET"</f>
        <v>TEXAS COUNTY &amp; DISTRICT RET</v>
      </c>
      <c r="I3174" s="2">
        <v>137048.37</v>
      </c>
      <c r="J3174" t="str">
        <f t="shared" ref="J3174:J3205" si="55">"TEXAS COUNTY &amp; DISTRICT RET"</f>
        <v>TEXAS COUNTY &amp; DISTRICT RET</v>
      </c>
    </row>
    <row r="3175" spans="1:10" x14ac:dyDescent="0.3">
      <c r="A3175" t="str">
        <f>""</f>
        <v/>
      </c>
      <c r="G3175" t="str">
        <f>""</f>
        <v/>
      </c>
      <c r="H3175" t="str">
        <f>""</f>
        <v/>
      </c>
      <c r="J3175" t="str">
        <f t="shared" si="55"/>
        <v>TEXAS COUNTY &amp; DISTRICT RET</v>
      </c>
    </row>
    <row r="3176" spans="1:10" x14ac:dyDescent="0.3">
      <c r="A3176" t="str">
        <f>""</f>
        <v/>
      </c>
      <c r="G3176" t="str">
        <f>""</f>
        <v/>
      </c>
      <c r="H3176" t="str">
        <f>""</f>
        <v/>
      </c>
      <c r="J3176" t="str">
        <f t="shared" si="55"/>
        <v>TEXAS COUNTY &amp; DISTRICT RET</v>
      </c>
    </row>
    <row r="3177" spans="1:10" x14ac:dyDescent="0.3">
      <c r="A3177" t="str">
        <f>""</f>
        <v/>
      </c>
      <c r="G3177" t="str">
        <f>""</f>
        <v/>
      </c>
      <c r="H3177" t="str">
        <f>""</f>
        <v/>
      </c>
      <c r="J3177" t="str">
        <f t="shared" si="55"/>
        <v>TEXAS COUNTY &amp; DISTRICT RET</v>
      </c>
    </row>
    <row r="3178" spans="1:10" x14ac:dyDescent="0.3">
      <c r="A3178" t="str">
        <f>""</f>
        <v/>
      </c>
      <c r="G3178" t="str">
        <f>""</f>
        <v/>
      </c>
      <c r="H3178" t="str">
        <f>""</f>
        <v/>
      </c>
      <c r="J3178" t="str">
        <f t="shared" si="55"/>
        <v>TEXAS COUNTY &amp; DISTRICT RET</v>
      </c>
    </row>
    <row r="3179" spans="1:10" x14ac:dyDescent="0.3">
      <c r="A3179" t="str">
        <f>""</f>
        <v/>
      </c>
      <c r="G3179" t="str">
        <f>""</f>
        <v/>
      </c>
      <c r="H3179" t="str">
        <f>""</f>
        <v/>
      </c>
      <c r="J3179" t="str">
        <f t="shared" si="55"/>
        <v>TEXAS COUNTY &amp; DISTRICT RET</v>
      </c>
    </row>
    <row r="3180" spans="1:10" x14ac:dyDescent="0.3">
      <c r="A3180" t="str">
        <f>""</f>
        <v/>
      </c>
      <c r="G3180" t="str">
        <f>""</f>
        <v/>
      </c>
      <c r="H3180" t="str">
        <f>""</f>
        <v/>
      </c>
      <c r="J3180" t="str">
        <f t="shared" si="55"/>
        <v>TEXAS COUNTY &amp; DISTRICT RET</v>
      </c>
    </row>
    <row r="3181" spans="1:10" x14ac:dyDescent="0.3">
      <c r="A3181" t="str">
        <f>""</f>
        <v/>
      </c>
      <c r="G3181" t="str">
        <f>""</f>
        <v/>
      </c>
      <c r="H3181" t="str">
        <f>""</f>
        <v/>
      </c>
      <c r="J3181" t="str">
        <f t="shared" si="55"/>
        <v>TEXAS COUNTY &amp; DISTRICT RET</v>
      </c>
    </row>
    <row r="3182" spans="1:10" x14ac:dyDescent="0.3">
      <c r="A3182" t="str">
        <f>""</f>
        <v/>
      </c>
      <c r="G3182" t="str">
        <f>""</f>
        <v/>
      </c>
      <c r="H3182" t="str">
        <f>""</f>
        <v/>
      </c>
      <c r="J3182" t="str">
        <f t="shared" si="55"/>
        <v>TEXAS COUNTY &amp; DISTRICT RET</v>
      </c>
    </row>
    <row r="3183" spans="1:10" x14ac:dyDescent="0.3">
      <c r="A3183" t="str">
        <f>""</f>
        <v/>
      </c>
      <c r="G3183" t="str">
        <f>""</f>
        <v/>
      </c>
      <c r="H3183" t="str">
        <f>""</f>
        <v/>
      </c>
      <c r="J3183" t="str">
        <f t="shared" si="55"/>
        <v>TEXAS COUNTY &amp; DISTRICT RET</v>
      </c>
    </row>
    <row r="3184" spans="1:10" x14ac:dyDescent="0.3">
      <c r="A3184" t="str">
        <f>""</f>
        <v/>
      </c>
      <c r="G3184" t="str">
        <f>""</f>
        <v/>
      </c>
      <c r="H3184" t="str">
        <f>""</f>
        <v/>
      </c>
      <c r="J3184" t="str">
        <f t="shared" si="55"/>
        <v>TEXAS COUNTY &amp; DISTRICT RET</v>
      </c>
    </row>
    <row r="3185" spans="1:10" x14ac:dyDescent="0.3">
      <c r="A3185" t="str">
        <f>""</f>
        <v/>
      </c>
      <c r="G3185" t="str">
        <f>""</f>
        <v/>
      </c>
      <c r="H3185" t="str">
        <f>""</f>
        <v/>
      </c>
      <c r="J3185" t="str">
        <f t="shared" si="55"/>
        <v>TEXAS COUNTY &amp; DISTRICT RET</v>
      </c>
    </row>
    <row r="3186" spans="1:10" x14ac:dyDescent="0.3">
      <c r="A3186" t="str">
        <f>""</f>
        <v/>
      </c>
      <c r="G3186" t="str">
        <f>""</f>
        <v/>
      </c>
      <c r="H3186" t="str">
        <f>""</f>
        <v/>
      </c>
      <c r="J3186" t="str">
        <f t="shared" si="55"/>
        <v>TEXAS COUNTY &amp; DISTRICT RET</v>
      </c>
    </row>
    <row r="3187" spans="1:10" x14ac:dyDescent="0.3">
      <c r="A3187" t="str">
        <f>""</f>
        <v/>
      </c>
      <c r="G3187" t="str">
        <f>""</f>
        <v/>
      </c>
      <c r="H3187" t="str">
        <f>""</f>
        <v/>
      </c>
      <c r="J3187" t="str">
        <f t="shared" si="55"/>
        <v>TEXAS COUNTY &amp; DISTRICT RET</v>
      </c>
    </row>
    <row r="3188" spans="1:10" x14ac:dyDescent="0.3">
      <c r="A3188" t="str">
        <f>""</f>
        <v/>
      </c>
      <c r="G3188" t="str">
        <f>""</f>
        <v/>
      </c>
      <c r="H3188" t="str">
        <f>""</f>
        <v/>
      </c>
      <c r="J3188" t="str">
        <f t="shared" si="55"/>
        <v>TEXAS COUNTY &amp; DISTRICT RET</v>
      </c>
    </row>
    <row r="3189" spans="1:10" x14ac:dyDescent="0.3">
      <c r="A3189" t="str">
        <f>""</f>
        <v/>
      </c>
      <c r="G3189" t="str">
        <f>""</f>
        <v/>
      </c>
      <c r="H3189" t="str">
        <f>""</f>
        <v/>
      </c>
      <c r="J3189" t="str">
        <f t="shared" si="55"/>
        <v>TEXAS COUNTY &amp; DISTRICT RET</v>
      </c>
    </row>
    <row r="3190" spans="1:10" x14ac:dyDescent="0.3">
      <c r="A3190" t="str">
        <f>""</f>
        <v/>
      </c>
      <c r="G3190" t="str">
        <f>""</f>
        <v/>
      </c>
      <c r="H3190" t="str">
        <f>""</f>
        <v/>
      </c>
      <c r="J3190" t="str">
        <f t="shared" si="55"/>
        <v>TEXAS COUNTY &amp; DISTRICT RET</v>
      </c>
    </row>
    <row r="3191" spans="1:10" x14ac:dyDescent="0.3">
      <c r="A3191" t="str">
        <f>""</f>
        <v/>
      </c>
      <c r="G3191" t="str">
        <f>""</f>
        <v/>
      </c>
      <c r="H3191" t="str">
        <f>""</f>
        <v/>
      </c>
      <c r="J3191" t="str">
        <f t="shared" si="55"/>
        <v>TEXAS COUNTY &amp; DISTRICT RET</v>
      </c>
    </row>
    <row r="3192" spans="1:10" x14ac:dyDescent="0.3">
      <c r="A3192" t="str">
        <f>""</f>
        <v/>
      </c>
      <c r="G3192" t="str">
        <f>""</f>
        <v/>
      </c>
      <c r="H3192" t="str">
        <f>""</f>
        <v/>
      </c>
      <c r="J3192" t="str">
        <f t="shared" si="55"/>
        <v>TEXAS COUNTY &amp; DISTRICT RET</v>
      </c>
    </row>
    <row r="3193" spans="1:10" x14ac:dyDescent="0.3">
      <c r="A3193" t="str">
        <f>""</f>
        <v/>
      </c>
      <c r="G3193" t="str">
        <f>""</f>
        <v/>
      </c>
      <c r="H3193" t="str">
        <f>""</f>
        <v/>
      </c>
      <c r="J3193" t="str">
        <f t="shared" si="55"/>
        <v>TEXAS COUNTY &amp; DISTRICT RET</v>
      </c>
    </row>
    <row r="3194" spans="1:10" x14ac:dyDescent="0.3">
      <c r="A3194" t="str">
        <f>""</f>
        <v/>
      </c>
      <c r="G3194" t="str">
        <f>""</f>
        <v/>
      </c>
      <c r="H3194" t="str">
        <f>""</f>
        <v/>
      </c>
      <c r="J3194" t="str">
        <f t="shared" si="55"/>
        <v>TEXAS COUNTY &amp; DISTRICT RET</v>
      </c>
    </row>
    <row r="3195" spans="1:10" x14ac:dyDescent="0.3">
      <c r="A3195" t="str">
        <f>""</f>
        <v/>
      </c>
      <c r="G3195" t="str">
        <f>""</f>
        <v/>
      </c>
      <c r="H3195" t="str">
        <f>""</f>
        <v/>
      </c>
      <c r="J3195" t="str">
        <f t="shared" si="55"/>
        <v>TEXAS COUNTY &amp; DISTRICT RET</v>
      </c>
    </row>
    <row r="3196" spans="1:10" x14ac:dyDescent="0.3">
      <c r="A3196" t="str">
        <f>""</f>
        <v/>
      </c>
      <c r="G3196" t="str">
        <f>""</f>
        <v/>
      </c>
      <c r="H3196" t="str">
        <f>""</f>
        <v/>
      </c>
      <c r="J3196" t="str">
        <f t="shared" si="55"/>
        <v>TEXAS COUNTY &amp; DISTRICT RET</v>
      </c>
    </row>
    <row r="3197" spans="1:10" x14ac:dyDescent="0.3">
      <c r="A3197" t="str">
        <f>""</f>
        <v/>
      </c>
      <c r="G3197" t="str">
        <f>""</f>
        <v/>
      </c>
      <c r="H3197" t="str">
        <f>""</f>
        <v/>
      </c>
      <c r="J3197" t="str">
        <f t="shared" si="55"/>
        <v>TEXAS COUNTY &amp; DISTRICT RET</v>
      </c>
    </row>
    <row r="3198" spans="1:10" x14ac:dyDescent="0.3">
      <c r="A3198" t="str">
        <f>""</f>
        <v/>
      </c>
      <c r="G3198" t="str">
        <f>""</f>
        <v/>
      </c>
      <c r="H3198" t="str">
        <f>""</f>
        <v/>
      </c>
      <c r="J3198" t="str">
        <f t="shared" si="55"/>
        <v>TEXAS COUNTY &amp; DISTRICT RET</v>
      </c>
    </row>
    <row r="3199" spans="1:10" x14ac:dyDescent="0.3">
      <c r="A3199" t="str">
        <f>""</f>
        <v/>
      </c>
      <c r="G3199" t="str">
        <f>""</f>
        <v/>
      </c>
      <c r="H3199" t="str">
        <f>""</f>
        <v/>
      </c>
      <c r="J3199" t="str">
        <f t="shared" si="55"/>
        <v>TEXAS COUNTY &amp; DISTRICT RET</v>
      </c>
    </row>
    <row r="3200" spans="1:10" x14ac:dyDescent="0.3">
      <c r="A3200" t="str">
        <f>""</f>
        <v/>
      </c>
      <c r="G3200" t="str">
        <f>""</f>
        <v/>
      </c>
      <c r="H3200" t="str">
        <f>""</f>
        <v/>
      </c>
      <c r="J3200" t="str">
        <f t="shared" si="55"/>
        <v>TEXAS COUNTY &amp; DISTRICT RET</v>
      </c>
    </row>
    <row r="3201" spans="1:10" x14ac:dyDescent="0.3">
      <c r="A3201" t="str">
        <f>""</f>
        <v/>
      </c>
      <c r="G3201" t="str">
        <f>""</f>
        <v/>
      </c>
      <c r="H3201" t="str">
        <f>""</f>
        <v/>
      </c>
      <c r="J3201" t="str">
        <f t="shared" si="55"/>
        <v>TEXAS COUNTY &amp; DISTRICT RET</v>
      </c>
    </row>
    <row r="3202" spans="1:10" x14ac:dyDescent="0.3">
      <c r="A3202" t="str">
        <f>""</f>
        <v/>
      </c>
      <c r="G3202" t="str">
        <f>""</f>
        <v/>
      </c>
      <c r="H3202" t="str">
        <f>""</f>
        <v/>
      </c>
      <c r="J3202" t="str">
        <f t="shared" si="55"/>
        <v>TEXAS COUNTY &amp; DISTRICT RET</v>
      </c>
    </row>
    <row r="3203" spans="1:10" x14ac:dyDescent="0.3">
      <c r="A3203" t="str">
        <f>""</f>
        <v/>
      </c>
      <c r="G3203" t="str">
        <f>""</f>
        <v/>
      </c>
      <c r="H3203" t="str">
        <f>""</f>
        <v/>
      </c>
      <c r="J3203" t="str">
        <f t="shared" si="55"/>
        <v>TEXAS COUNTY &amp; DISTRICT RET</v>
      </c>
    </row>
    <row r="3204" spans="1:10" x14ac:dyDescent="0.3">
      <c r="A3204" t="str">
        <f>""</f>
        <v/>
      </c>
      <c r="G3204" t="str">
        <f>""</f>
        <v/>
      </c>
      <c r="H3204" t="str">
        <f>""</f>
        <v/>
      </c>
      <c r="J3204" t="str">
        <f t="shared" si="55"/>
        <v>TEXAS COUNTY &amp; DISTRICT RET</v>
      </c>
    </row>
    <row r="3205" spans="1:10" x14ac:dyDescent="0.3">
      <c r="A3205" t="str">
        <f>""</f>
        <v/>
      </c>
      <c r="G3205" t="str">
        <f>""</f>
        <v/>
      </c>
      <c r="H3205" t="str">
        <f>""</f>
        <v/>
      </c>
      <c r="J3205" t="str">
        <f t="shared" si="55"/>
        <v>TEXAS COUNTY &amp; DISTRICT RET</v>
      </c>
    </row>
    <row r="3206" spans="1:10" x14ac:dyDescent="0.3">
      <c r="A3206" t="str">
        <f>""</f>
        <v/>
      </c>
      <c r="G3206" t="str">
        <f>""</f>
        <v/>
      </c>
      <c r="H3206" t="str">
        <f>""</f>
        <v/>
      </c>
      <c r="J3206" t="str">
        <f t="shared" ref="J3206:J3224" si="56">"TEXAS COUNTY &amp; DISTRICT RET"</f>
        <v>TEXAS COUNTY &amp; DISTRICT RET</v>
      </c>
    </row>
    <row r="3207" spans="1:10" x14ac:dyDescent="0.3">
      <c r="A3207" t="str">
        <f>""</f>
        <v/>
      </c>
      <c r="G3207" t="str">
        <f>""</f>
        <v/>
      </c>
      <c r="H3207" t="str">
        <f>""</f>
        <v/>
      </c>
      <c r="J3207" t="str">
        <f t="shared" si="56"/>
        <v>TEXAS COUNTY &amp; DISTRICT RET</v>
      </c>
    </row>
    <row r="3208" spans="1:10" x14ac:dyDescent="0.3">
      <c r="A3208" t="str">
        <f>""</f>
        <v/>
      </c>
      <c r="G3208" t="str">
        <f>""</f>
        <v/>
      </c>
      <c r="H3208" t="str">
        <f>""</f>
        <v/>
      </c>
      <c r="J3208" t="str">
        <f t="shared" si="56"/>
        <v>TEXAS COUNTY &amp; DISTRICT RET</v>
      </c>
    </row>
    <row r="3209" spans="1:10" x14ac:dyDescent="0.3">
      <c r="A3209" t="str">
        <f>""</f>
        <v/>
      </c>
      <c r="G3209" t="str">
        <f>""</f>
        <v/>
      </c>
      <c r="H3209" t="str">
        <f>""</f>
        <v/>
      </c>
      <c r="J3209" t="str">
        <f t="shared" si="56"/>
        <v>TEXAS COUNTY &amp; DISTRICT RET</v>
      </c>
    </row>
    <row r="3210" spans="1:10" x14ac:dyDescent="0.3">
      <c r="A3210" t="str">
        <f>""</f>
        <v/>
      </c>
      <c r="G3210" t="str">
        <f>""</f>
        <v/>
      </c>
      <c r="H3210" t="str">
        <f>""</f>
        <v/>
      </c>
      <c r="J3210" t="str">
        <f t="shared" si="56"/>
        <v>TEXAS COUNTY &amp; DISTRICT RET</v>
      </c>
    </row>
    <row r="3211" spans="1:10" x14ac:dyDescent="0.3">
      <c r="A3211" t="str">
        <f>""</f>
        <v/>
      </c>
      <c r="G3211" t="str">
        <f>""</f>
        <v/>
      </c>
      <c r="H3211" t="str">
        <f>""</f>
        <v/>
      </c>
      <c r="J3211" t="str">
        <f t="shared" si="56"/>
        <v>TEXAS COUNTY &amp; DISTRICT RET</v>
      </c>
    </row>
    <row r="3212" spans="1:10" x14ac:dyDescent="0.3">
      <c r="A3212" t="str">
        <f>""</f>
        <v/>
      </c>
      <c r="G3212" t="str">
        <f>""</f>
        <v/>
      </c>
      <c r="H3212" t="str">
        <f>""</f>
        <v/>
      </c>
      <c r="J3212" t="str">
        <f t="shared" si="56"/>
        <v>TEXAS COUNTY &amp; DISTRICT RET</v>
      </c>
    </row>
    <row r="3213" spans="1:10" x14ac:dyDescent="0.3">
      <c r="A3213" t="str">
        <f>""</f>
        <v/>
      </c>
      <c r="G3213" t="str">
        <f>""</f>
        <v/>
      </c>
      <c r="H3213" t="str">
        <f>""</f>
        <v/>
      </c>
      <c r="J3213" t="str">
        <f t="shared" si="56"/>
        <v>TEXAS COUNTY &amp; DISTRICT RET</v>
      </c>
    </row>
    <row r="3214" spans="1:10" x14ac:dyDescent="0.3">
      <c r="A3214" t="str">
        <f>""</f>
        <v/>
      </c>
      <c r="G3214" t="str">
        <f>""</f>
        <v/>
      </c>
      <c r="H3214" t="str">
        <f>""</f>
        <v/>
      </c>
      <c r="J3214" t="str">
        <f t="shared" si="56"/>
        <v>TEXAS COUNTY &amp; DISTRICT RET</v>
      </c>
    </row>
    <row r="3215" spans="1:10" x14ac:dyDescent="0.3">
      <c r="A3215" t="str">
        <f>""</f>
        <v/>
      </c>
      <c r="G3215" t="str">
        <f>""</f>
        <v/>
      </c>
      <c r="H3215" t="str">
        <f>""</f>
        <v/>
      </c>
      <c r="J3215" t="str">
        <f t="shared" si="56"/>
        <v>TEXAS COUNTY &amp; DISTRICT RET</v>
      </c>
    </row>
    <row r="3216" spans="1:10" x14ac:dyDescent="0.3">
      <c r="A3216" t="str">
        <f>""</f>
        <v/>
      </c>
      <c r="G3216" t="str">
        <f>""</f>
        <v/>
      </c>
      <c r="H3216" t="str">
        <f>""</f>
        <v/>
      </c>
      <c r="J3216" t="str">
        <f t="shared" si="56"/>
        <v>TEXAS COUNTY &amp; DISTRICT RET</v>
      </c>
    </row>
    <row r="3217" spans="1:10" x14ac:dyDescent="0.3">
      <c r="A3217" t="str">
        <f>""</f>
        <v/>
      </c>
      <c r="G3217" t="str">
        <f>""</f>
        <v/>
      </c>
      <c r="H3217" t="str">
        <f>""</f>
        <v/>
      </c>
      <c r="J3217" t="str">
        <f t="shared" si="56"/>
        <v>TEXAS COUNTY &amp; DISTRICT RET</v>
      </c>
    </row>
    <row r="3218" spans="1:10" x14ac:dyDescent="0.3">
      <c r="A3218" t="str">
        <f>""</f>
        <v/>
      </c>
      <c r="G3218" t="str">
        <f>""</f>
        <v/>
      </c>
      <c r="H3218" t="str">
        <f>""</f>
        <v/>
      </c>
      <c r="J3218" t="str">
        <f t="shared" si="56"/>
        <v>TEXAS COUNTY &amp; DISTRICT RET</v>
      </c>
    </row>
    <row r="3219" spans="1:10" x14ac:dyDescent="0.3">
      <c r="A3219" t="str">
        <f>""</f>
        <v/>
      </c>
      <c r="G3219" t="str">
        <f>""</f>
        <v/>
      </c>
      <c r="H3219" t="str">
        <f>""</f>
        <v/>
      </c>
      <c r="J3219" t="str">
        <f t="shared" si="56"/>
        <v>TEXAS COUNTY &amp; DISTRICT RET</v>
      </c>
    </row>
    <row r="3220" spans="1:10" x14ac:dyDescent="0.3">
      <c r="A3220" t="str">
        <f>""</f>
        <v/>
      </c>
      <c r="G3220" t="str">
        <f>""</f>
        <v/>
      </c>
      <c r="H3220" t="str">
        <f>""</f>
        <v/>
      </c>
      <c r="J3220" t="str">
        <f t="shared" si="56"/>
        <v>TEXAS COUNTY &amp; DISTRICT RET</v>
      </c>
    </row>
    <row r="3221" spans="1:10" x14ac:dyDescent="0.3">
      <c r="A3221" t="str">
        <f>""</f>
        <v/>
      </c>
      <c r="G3221" t="str">
        <f>""</f>
        <v/>
      </c>
      <c r="H3221" t="str">
        <f>""</f>
        <v/>
      </c>
      <c r="J3221" t="str">
        <f t="shared" si="56"/>
        <v>TEXAS COUNTY &amp; DISTRICT RET</v>
      </c>
    </row>
    <row r="3222" spans="1:10" x14ac:dyDescent="0.3">
      <c r="A3222" t="str">
        <f>""</f>
        <v/>
      </c>
      <c r="G3222" t="str">
        <f>""</f>
        <v/>
      </c>
      <c r="H3222" t="str">
        <f>""</f>
        <v/>
      </c>
      <c r="J3222" t="str">
        <f t="shared" si="56"/>
        <v>TEXAS COUNTY &amp; DISTRICT RET</v>
      </c>
    </row>
    <row r="3223" spans="1:10" x14ac:dyDescent="0.3">
      <c r="A3223" t="str">
        <f>""</f>
        <v/>
      </c>
      <c r="G3223" t="str">
        <f>""</f>
        <v/>
      </c>
      <c r="H3223" t="str">
        <f>""</f>
        <v/>
      </c>
      <c r="J3223" t="str">
        <f t="shared" si="56"/>
        <v>TEXAS COUNTY &amp; DISTRICT RET</v>
      </c>
    </row>
    <row r="3224" spans="1:10" x14ac:dyDescent="0.3">
      <c r="A3224" t="str">
        <f>""</f>
        <v/>
      </c>
      <c r="G3224" t="str">
        <f>""</f>
        <v/>
      </c>
      <c r="H3224" t="str">
        <f>""</f>
        <v/>
      </c>
      <c r="J3224" t="str">
        <f t="shared" si="56"/>
        <v>TEXAS COUNTY &amp; DISTRICT RET</v>
      </c>
    </row>
    <row r="3225" spans="1:10" x14ac:dyDescent="0.3">
      <c r="A3225" t="str">
        <f>""</f>
        <v/>
      </c>
      <c r="F3225" t="s">
        <v>10</v>
      </c>
      <c r="G3225" t="str">
        <f>"RET201705312318"</f>
        <v>RET201705312318</v>
      </c>
      <c r="H3225" t="str">
        <f>"TEXAS COUNTY  DISTRICT RET"</f>
        <v>TEXAS COUNTY  DISTRICT RET</v>
      </c>
      <c r="I3225" s="2">
        <v>5553.34</v>
      </c>
      <c r="J3225" t="str">
        <f>"TEXAS COUNTY  DISTRICT RET"</f>
        <v>TEXAS COUNTY  DISTRICT RET</v>
      </c>
    </row>
    <row r="3226" spans="1:10" x14ac:dyDescent="0.3">
      <c r="A3226" t="str">
        <f>""</f>
        <v/>
      </c>
      <c r="G3226" t="str">
        <f>""</f>
        <v/>
      </c>
      <c r="H3226" t="str">
        <f>""</f>
        <v/>
      </c>
      <c r="J3226" t="str">
        <f>"TEXAS COUNTY  DISTRICT RET"</f>
        <v>TEXAS COUNTY  DISTRICT RET</v>
      </c>
    </row>
    <row r="3227" spans="1:10" x14ac:dyDescent="0.3">
      <c r="A3227" t="str">
        <f>""</f>
        <v/>
      </c>
      <c r="F3227" t="s">
        <v>10</v>
      </c>
      <c r="G3227" t="str">
        <f>"RET201705312319"</f>
        <v>RET201705312319</v>
      </c>
      <c r="H3227" t="str">
        <f>"TEXAS COUNTY &amp; DISTRICT RET"</f>
        <v>TEXAS COUNTY &amp; DISTRICT RET</v>
      </c>
      <c r="I3227" s="2">
        <v>7880.54</v>
      </c>
      <c r="J3227" t="str">
        <f t="shared" ref="J3227:J3258" si="57">"TEXAS COUNTY &amp; DISTRICT RET"</f>
        <v>TEXAS COUNTY &amp; DISTRICT RET</v>
      </c>
    </row>
    <row r="3228" spans="1:10" x14ac:dyDescent="0.3">
      <c r="A3228" t="str">
        <f>""</f>
        <v/>
      </c>
      <c r="G3228" t="str">
        <f>""</f>
        <v/>
      </c>
      <c r="H3228" t="str">
        <f>""</f>
        <v/>
      </c>
      <c r="J3228" t="str">
        <f t="shared" si="57"/>
        <v>TEXAS COUNTY &amp; DISTRICT RET</v>
      </c>
    </row>
    <row r="3229" spans="1:10" x14ac:dyDescent="0.3">
      <c r="A3229" t="str">
        <f>""</f>
        <v/>
      </c>
      <c r="F3229" t="s">
        <v>10</v>
      </c>
      <c r="G3229" t="str">
        <f>"RET201706143096"</f>
        <v>RET201706143096</v>
      </c>
      <c r="H3229" t="str">
        <f>"TEXAS COUNTY &amp; DISTRICT RET"</f>
        <v>TEXAS COUNTY &amp; DISTRICT RET</v>
      </c>
      <c r="I3229" s="2">
        <v>137563.79</v>
      </c>
      <c r="J3229" t="str">
        <f t="shared" si="57"/>
        <v>TEXAS COUNTY &amp; DISTRICT RET</v>
      </c>
    </row>
    <row r="3230" spans="1:10" x14ac:dyDescent="0.3">
      <c r="A3230" t="str">
        <f>""</f>
        <v/>
      </c>
      <c r="G3230" t="str">
        <f>""</f>
        <v/>
      </c>
      <c r="H3230" t="str">
        <f>""</f>
        <v/>
      </c>
      <c r="J3230" t="str">
        <f t="shared" si="57"/>
        <v>TEXAS COUNTY &amp; DISTRICT RET</v>
      </c>
    </row>
    <row r="3231" spans="1:10" x14ac:dyDescent="0.3">
      <c r="A3231" t="str">
        <f>""</f>
        <v/>
      </c>
      <c r="G3231" t="str">
        <f>""</f>
        <v/>
      </c>
      <c r="H3231" t="str">
        <f>""</f>
        <v/>
      </c>
      <c r="J3231" t="str">
        <f t="shared" si="57"/>
        <v>TEXAS COUNTY &amp; DISTRICT RET</v>
      </c>
    </row>
    <row r="3232" spans="1:10" x14ac:dyDescent="0.3">
      <c r="A3232" t="str">
        <f>""</f>
        <v/>
      </c>
      <c r="G3232" t="str">
        <f>""</f>
        <v/>
      </c>
      <c r="H3232" t="str">
        <f>""</f>
        <v/>
      </c>
      <c r="J3232" t="str">
        <f t="shared" si="57"/>
        <v>TEXAS COUNTY &amp; DISTRICT RET</v>
      </c>
    </row>
    <row r="3233" spans="1:10" x14ac:dyDescent="0.3">
      <c r="A3233" t="str">
        <f>""</f>
        <v/>
      </c>
      <c r="G3233" t="str">
        <f>""</f>
        <v/>
      </c>
      <c r="H3233" t="str">
        <f>""</f>
        <v/>
      </c>
      <c r="J3233" t="str">
        <f t="shared" si="57"/>
        <v>TEXAS COUNTY &amp; DISTRICT RET</v>
      </c>
    </row>
    <row r="3234" spans="1:10" x14ac:dyDescent="0.3">
      <c r="A3234" t="str">
        <f>""</f>
        <v/>
      </c>
      <c r="G3234" t="str">
        <f>""</f>
        <v/>
      </c>
      <c r="H3234" t="str">
        <f>""</f>
        <v/>
      </c>
      <c r="J3234" t="str">
        <f t="shared" si="57"/>
        <v>TEXAS COUNTY &amp; DISTRICT RET</v>
      </c>
    </row>
    <row r="3235" spans="1:10" x14ac:dyDescent="0.3">
      <c r="A3235" t="str">
        <f>""</f>
        <v/>
      </c>
      <c r="G3235" t="str">
        <f>""</f>
        <v/>
      </c>
      <c r="H3235" t="str">
        <f>""</f>
        <v/>
      </c>
      <c r="J3235" t="str">
        <f t="shared" si="57"/>
        <v>TEXAS COUNTY &amp; DISTRICT RET</v>
      </c>
    </row>
    <row r="3236" spans="1:10" x14ac:dyDescent="0.3">
      <c r="A3236" t="str">
        <f>""</f>
        <v/>
      </c>
      <c r="G3236" t="str">
        <f>""</f>
        <v/>
      </c>
      <c r="H3236" t="str">
        <f>""</f>
        <v/>
      </c>
      <c r="J3236" t="str">
        <f t="shared" si="57"/>
        <v>TEXAS COUNTY &amp; DISTRICT RET</v>
      </c>
    </row>
    <row r="3237" spans="1:10" x14ac:dyDescent="0.3">
      <c r="A3237" t="str">
        <f>""</f>
        <v/>
      </c>
      <c r="G3237" t="str">
        <f>""</f>
        <v/>
      </c>
      <c r="H3237" t="str">
        <f>""</f>
        <v/>
      </c>
      <c r="J3237" t="str">
        <f t="shared" si="57"/>
        <v>TEXAS COUNTY &amp; DISTRICT RET</v>
      </c>
    </row>
    <row r="3238" spans="1:10" x14ac:dyDescent="0.3">
      <c r="A3238" t="str">
        <f>""</f>
        <v/>
      </c>
      <c r="G3238" t="str">
        <f>""</f>
        <v/>
      </c>
      <c r="H3238" t="str">
        <f>""</f>
        <v/>
      </c>
      <c r="J3238" t="str">
        <f t="shared" si="57"/>
        <v>TEXAS COUNTY &amp; DISTRICT RET</v>
      </c>
    </row>
    <row r="3239" spans="1:10" x14ac:dyDescent="0.3">
      <c r="A3239" t="str">
        <f>""</f>
        <v/>
      </c>
      <c r="G3239" t="str">
        <f>""</f>
        <v/>
      </c>
      <c r="H3239" t="str">
        <f>""</f>
        <v/>
      </c>
      <c r="J3239" t="str">
        <f t="shared" si="57"/>
        <v>TEXAS COUNTY &amp; DISTRICT RET</v>
      </c>
    </row>
    <row r="3240" spans="1:10" x14ac:dyDescent="0.3">
      <c r="A3240" t="str">
        <f>""</f>
        <v/>
      </c>
      <c r="G3240" t="str">
        <f>""</f>
        <v/>
      </c>
      <c r="H3240" t="str">
        <f>""</f>
        <v/>
      </c>
      <c r="J3240" t="str">
        <f t="shared" si="57"/>
        <v>TEXAS COUNTY &amp; DISTRICT RET</v>
      </c>
    </row>
    <row r="3241" spans="1:10" x14ac:dyDescent="0.3">
      <c r="A3241" t="str">
        <f>""</f>
        <v/>
      </c>
      <c r="G3241" t="str">
        <f>""</f>
        <v/>
      </c>
      <c r="H3241" t="str">
        <f>""</f>
        <v/>
      </c>
      <c r="J3241" t="str">
        <f t="shared" si="57"/>
        <v>TEXAS COUNTY &amp; DISTRICT RET</v>
      </c>
    </row>
    <row r="3242" spans="1:10" x14ac:dyDescent="0.3">
      <c r="A3242" t="str">
        <f>""</f>
        <v/>
      </c>
      <c r="G3242" t="str">
        <f>""</f>
        <v/>
      </c>
      <c r="H3242" t="str">
        <f>""</f>
        <v/>
      </c>
      <c r="J3242" t="str">
        <f t="shared" si="57"/>
        <v>TEXAS COUNTY &amp; DISTRICT RET</v>
      </c>
    </row>
    <row r="3243" spans="1:10" x14ac:dyDescent="0.3">
      <c r="A3243" t="str">
        <f>""</f>
        <v/>
      </c>
      <c r="G3243" t="str">
        <f>""</f>
        <v/>
      </c>
      <c r="H3243" t="str">
        <f>""</f>
        <v/>
      </c>
      <c r="J3243" t="str">
        <f t="shared" si="57"/>
        <v>TEXAS COUNTY &amp; DISTRICT RET</v>
      </c>
    </row>
    <row r="3244" spans="1:10" x14ac:dyDescent="0.3">
      <c r="A3244" t="str">
        <f>""</f>
        <v/>
      </c>
      <c r="G3244" t="str">
        <f>""</f>
        <v/>
      </c>
      <c r="H3244" t="str">
        <f>""</f>
        <v/>
      </c>
      <c r="J3244" t="str">
        <f t="shared" si="57"/>
        <v>TEXAS COUNTY &amp; DISTRICT RET</v>
      </c>
    </row>
    <row r="3245" spans="1:10" x14ac:dyDescent="0.3">
      <c r="A3245" t="str">
        <f>""</f>
        <v/>
      </c>
      <c r="G3245" t="str">
        <f>""</f>
        <v/>
      </c>
      <c r="H3245" t="str">
        <f>""</f>
        <v/>
      </c>
      <c r="J3245" t="str">
        <f t="shared" si="57"/>
        <v>TEXAS COUNTY &amp; DISTRICT RET</v>
      </c>
    </row>
    <row r="3246" spans="1:10" x14ac:dyDescent="0.3">
      <c r="A3246" t="str">
        <f>""</f>
        <v/>
      </c>
      <c r="G3246" t="str">
        <f>""</f>
        <v/>
      </c>
      <c r="H3246" t="str">
        <f>""</f>
        <v/>
      </c>
      <c r="J3246" t="str">
        <f t="shared" si="57"/>
        <v>TEXAS COUNTY &amp; DISTRICT RET</v>
      </c>
    </row>
    <row r="3247" spans="1:10" x14ac:dyDescent="0.3">
      <c r="A3247" t="str">
        <f>""</f>
        <v/>
      </c>
      <c r="G3247" t="str">
        <f>""</f>
        <v/>
      </c>
      <c r="H3247" t="str">
        <f>""</f>
        <v/>
      </c>
      <c r="J3247" t="str">
        <f t="shared" si="57"/>
        <v>TEXAS COUNTY &amp; DISTRICT RET</v>
      </c>
    </row>
    <row r="3248" spans="1:10" x14ac:dyDescent="0.3">
      <c r="A3248" t="str">
        <f>""</f>
        <v/>
      </c>
      <c r="G3248" t="str">
        <f>""</f>
        <v/>
      </c>
      <c r="H3248" t="str">
        <f>""</f>
        <v/>
      </c>
      <c r="J3248" t="str">
        <f t="shared" si="57"/>
        <v>TEXAS COUNTY &amp; DISTRICT RET</v>
      </c>
    </row>
    <row r="3249" spans="1:10" x14ac:dyDescent="0.3">
      <c r="A3249" t="str">
        <f>""</f>
        <v/>
      </c>
      <c r="G3249" t="str">
        <f>""</f>
        <v/>
      </c>
      <c r="H3249" t="str">
        <f>""</f>
        <v/>
      </c>
      <c r="J3249" t="str">
        <f t="shared" si="57"/>
        <v>TEXAS COUNTY &amp; DISTRICT RET</v>
      </c>
    </row>
    <row r="3250" spans="1:10" x14ac:dyDescent="0.3">
      <c r="A3250" t="str">
        <f>""</f>
        <v/>
      </c>
      <c r="G3250" t="str">
        <f>""</f>
        <v/>
      </c>
      <c r="H3250" t="str">
        <f>""</f>
        <v/>
      </c>
      <c r="J3250" t="str">
        <f t="shared" si="57"/>
        <v>TEXAS COUNTY &amp; DISTRICT RET</v>
      </c>
    </row>
    <row r="3251" spans="1:10" x14ac:dyDescent="0.3">
      <c r="A3251" t="str">
        <f>""</f>
        <v/>
      </c>
      <c r="G3251" t="str">
        <f>""</f>
        <v/>
      </c>
      <c r="H3251" t="str">
        <f>""</f>
        <v/>
      </c>
      <c r="J3251" t="str">
        <f t="shared" si="57"/>
        <v>TEXAS COUNTY &amp; DISTRICT RET</v>
      </c>
    </row>
    <row r="3252" spans="1:10" x14ac:dyDescent="0.3">
      <c r="A3252" t="str">
        <f>""</f>
        <v/>
      </c>
      <c r="G3252" t="str">
        <f>""</f>
        <v/>
      </c>
      <c r="H3252" t="str">
        <f>""</f>
        <v/>
      </c>
      <c r="J3252" t="str">
        <f t="shared" si="57"/>
        <v>TEXAS COUNTY &amp; DISTRICT RET</v>
      </c>
    </row>
    <row r="3253" spans="1:10" x14ac:dyDescent="0.3">
      <c r="A3253" t="str">
        <f>""</f>
        <v/>
      </c>
      <c r="G3253" t="str">
        <f>""</f>
        <v/>
      </c>
      <c r="H3253" t="str">
        <f>""</f>
        <v/>
      </c>
      <c r="J3253" t="str">
        <f t="shared" si="57"/>
        <v>TEXAS COUNTY &amp; DISTRICT RET</v>
      </c>
    </row>
    <row r="3254" spans="1:10" x14ac:dyDescent="0.3">
      <c r="A3254" t="str">
        <f>""</f>
        <v/>
      </c>
      <c r="G3254" t="str">
        <f>""</f>
        <v/>
      </c>
      <c r="H3254" t="str">
        <f>""</f>
        <v/>
      </c>
      <c r="J3254" t="str">
        <f t="shared" si="57"/>
        <v>TEXAS COUNTY &amp; DISTRICT RET</v>
      </c>
    </row>
    <row r="3255" spans="1:10" x14ac:dyDescent="0.3">
      <c r="A3255" t="str">
        <f>""</f>
        <v/>
      </c>
      <c r="G3255" t="str">
        <f>""</f>
        <v/>
      </c>
      <c r="H3255" t="str">
        <f>""</f>
        <v/>
      </c>
      <c r="J3255" t="str">
        <f t="shared" si="57"/>
        <v>TEXAS COUNTY &amp; DISTRICT RET</v>
      </c>
    </row>
    <row r="3256" spans="1:10" x14ac:dyDescent="0.3">
      <c r="A3256" t="str">
        <f>""</f>
        <v/>
      </c>
      <c r="G3256" t="str">
        <f>""</f>
        <v/>
      </c>
      <c r="H3256" t="str">
        <f>""</f>
        <v/>
      </c>
      <c r="J3256" t="str">
        <f t="shared" si="57"/>
        <v>TEXAS COUNTY &amp; DISTRICT RET</v>
      </c>
    </row>
    <row r="3257" spans="1:10" x14ac:dyDescent="0.3">
      <c r="A3257" t="str">
        <f>""</f>
        <v/>
      </c>
      <c r="G3257" t="str">
        <f>""</f>
        <v/>
      </c>
      <c r="H3257" t="str">
        <f>""</f>
        <v/>
      </c>
      <c r="J3257" t="str">
        <f t="shared" si="57"/>
        <v>TEXAS COUNTY &amp; DISTRICT RET</v>
      </c>
    </row>
    <row r="3258" spans="1:10" x14ac:dyDescent="0.3">
      <c r="A3258" t="str">
        <f>""</f>
        <v/>
      </c>
      <c r="G3258" t="str">
        <f>""</f>
        <v/>
      </c>
      <c r="H3258" t="str">
        <f>""</f>
        <v/>
      </c>
      <c r="J3258" t="str">
        <f t="shared" si="57"/>
        <v>TEXAS COUNTY &amp; DISTRICT RET</v>
      </c>
    </row>
    <row r="3259" spans="1:10" x14ac:dyDescent="0.3">
      <c r="A3259" t="str">
        <f>""</f>
        <v/>
      </c>
      <c r="G3259" t="str">
        <f>""</f>
        <v/>
      </c>
      <c r="H3259" t="str">
        <f>""</f>
        <v/>
      </c>
      <c r="J3259" t="str">
        <f t="shared" ref="J3259:J3279" si="58">"TEXAS COUNTY &amp; DISTRICT RET"</f>
        <v>TEXAS COUNTY &amp; DISTRICT RET</v>
      </c>
    </row>
    <row r="3260" spans="1:10" x14ac:dyDescent="0.3">
      <c r="A3260" t="str">
        <f>""</f>
        <v/>
      </c>
      <c r="G3260" t="str">
        <f>""</f>
        <v/>
      </c>
      <c r="H3260" t="str">
        <f>""</f>
        <v/>
      </c>
      <c r="J3260" t="str">
        <f t="shared" si="58"/>
        <v>TEXAS COUNTY &amp; DISTRICT RET</v>
      </c>
    </row>
    <row r="3261" spans="1:10" x14ac:dyDescent="0.3">
      <c r="A3261" t="str">
        <f>""</f>
        <v/>
      </c>
      <c r="G3261" t="str">
        <f>""</f>
        <v/>
      </c>
      <c r="H3261" t="str">
        <f>""</f>
        <v/>
      </c>
      <c r="J3261" t="str">
        <f t="shared" si="58"/>
        <v>TEXAS COUNTY &amp; DISTRICT RET</v>
      </c>
    </row>
    <row r="3262" spans="1:10" x14ac:dyDescent="0.3">
      <c r="A3262" t="str">
        <f>""</f>
        <v/>
      </c>
      <c r="G3262" t="str">
        <f>""</f>
        <v/>
      </c>
      <c r="H3262" t="str">
        <f>""</f>
        <v/>
      </c>
      <c r="J3262" t="str">
        <f t="shared" si="58"/>
        <v>TEXAS COUNTY &amp; DISTRICT RET</v>
      </c>
    </row>
    <row r="3263" spans="1:10" x14ac:dyDescent="0.3">
      <c r="A3263" t="str">
        <f>""</f>
        <v/>
      </c>
      <c r="G3263" t="str">
        <f>""</f>
        <v/>
      </c>
      <c r="H3263" t="str">
        <f>""</f>
        <v/>
      </c>
      <c r="J3263" t="str">
        <f t="shared" si="58"/>
        <v>TEXAS COUNTY &amp; DISTRICT RET</v>
      </c>
    </row>
    <row r="3264" spans="1:10" x14ac:dyDescent="0.3">
      <c r="A3264" t="str">
        <f>""</f>
        <v/>
      </c>
      <c r="G3264" t="str">
        <f>""</f>
        <v/>
      </c>
      <c r="H3264" t="str">
        <f>""</f>
        <v/>
      </c>
      <c r="J3264" t="str">
        <f t="shared" si="58"/>
        <v>TEXAS COUNTY &amp; DISTRICT RET</v>
      </c>
    </row>
    <row r="3265" spans="1:10" x14ac:dyDescent="0.3">
      <c r="A3265" t="str">
        <f>""</f>
        <v/>
      </c>
      <c r="G3265" t="str">
        <f>""</f>
        <v/>
      </c>
      <c r="H3265" t="str">
        <f>""</f>
        <v/>
      </c>
      <c r="J3265" t="str">
        <f t="shared" si="58"/>
        <v>TEXAS COUNTY &amp; DISTRICT RET</v>
      </c>
    </row>
    <row r="3266" spans="1:10" x14ac:dyDescent="0.3">
      <c r="A3266" t="str">
        <f>""</f>
        <v/>
      </c>
      <c r="G3266" t="str">
        <f>""</f>
        <v/>
      </c>
      <c r="H3266" t="str">
        <f>""</f>
        <v/>
      </c>
      <c r="J3266" t="str">
        <f t="shared" si="58"/>
        <v>TEXAS COUNTY &amp; DISTRICT RET</v>
      </c>
    </row>
    <row r="3267" spans="1:10" x14ac:dyDescent="0.3">
      <c r="A3267" t="str">
        <f>""</f>
        <v/>
      </c>
      <c r="G3267" t="str">
        <f>""</f>
        <v/>
      </c>
      <c r="H3267" t="str">
        <f>""</f>
        <v/>
      </c>
      <c r="J3267" t="str">
        <f t="shared" si="58"/>
        <v>TEXAS COUNTY &amp; DISTRICT RET</v>
      </c>
    </row>
    <row r="3268" spans="1:10" x14ac:dyDescent="0.3">
      <c r="A3268" t="str">
        <f>""</f>
        <v/>
      </c>
      <c r="G3268" t="str">
        <f>""</f>
        <v/>
      </c>
      <c r="H3268" t="str">
        <f>""</f>
        <v/>
      </c>
      <c r="J3268" t="str">
        <f t="shared" si="58"/>
        <v>TEXAS COUNTY &amp; DISTRICT RET</v>
      </c>
    </row>
    <row r="3269" spans="1:10" x14ac:dyDescent="0.3">
      <c r="A3269" t="str">
        <f>""</f>
        <v/>
      </c>
      <c r="G3269" t="str">
        <f>""</f>
        <v/>
      </c>
      <c r="H3269" t="str">
        <f>""</f>
        <v/>
      </c>
      <c r="J3269" t="str">
        <f t="shared" si="58"/>
        <v>TEXAS COUNTY &amp; DISTRICT RET</v>
      </c>
    </row>
    <row r="3270" spans="1:10" x14ac:dyDescent="0.3">
      <c r="A3270" t="str">
        <f>""</f>
        <v/>
      </c>
      <c r="G3270" t="str">
        <f>""</f>
        <v/>
      </c>
      <c r="H3270" t="str">
        <f>""</f>
        <v/>
      </c>
      <c r="J3270" t="str">
        <f t="shared" si="58"/>
        <v>TEXAS COUNTY &amp; DISTRICT RET</v>
      </c>
    </row>
    <row r="3271" spans="1:10" x14ac:dyDescent="0.3">
      <c r="A3271" t="str">
        <f>""</f>
        <v/>
      </c>
      <c r="G3271" t="str">
        <f>""</f>
        <v/>
      </c>
      <c r="H3271" t="str">
        <f>""</f>
        <v/>
      </c>
      <c r="J3271" t="str">
        <f t="shared" si="58"/>
        <v>TEXAS COUNTY &amp; DISTRICT RET</v>
      </c>
    </row>
    <row r="3272" spans="1:10" x14ac:dyDescent="0.3">
      <c r="A3272" t="str">
        <f>""</f>
        <v/>
      </c>
      <c r="G3272" t="str">
        <f>""</f>
        <v/>
      </c>
      <c r="H3272" t="str">
        <f>""</f>
        <v/>
      </c>
      <c r="J3272" t="str">
        <f t="shared" si="58"/>
        <v>TEXAS COUNTY &amp; DISTRICT RET</v>
      </c>
    </row>
    <row r="3273" spans="1:10" x14ac:dyDescent="0.3">
      <c r="A3273" t="str">
        <f>""</f>
        <v/>
      </c>
      <c r="G3273" t="str">
        <f>""</f>
        <v/>
      </c>
      <c r="H3273" t="str">
        <f>""</f>
        <v/>
      </c>
      <c r="J3273" t="str">
        <f t="shared" si="58"/>
        <v>TEXAS COUNTY &amp; DISTRICT RET</v>
      </c>
    </row>
    <row r="3274" spans="1:10" x14ac:dyDescent="0.3">
      <c r="A3274" t="str">
        <f>""</f>
        <v/>
      </c>
      <c r="G3274" t="str">
        <f>""</f>
        <v/>
      </c>
      <c r="H3274" t="str">
        <f>""</f>
        <v/>
      </c>
      <c r="J3274" t="str">
        <f t="shared" si="58"/>
        <v>TEXAS COUNTY &amp; DISTRICT RET</v>
      </c>
    </row>
    <row r="3275" spans="1:10" x14ac:dyDescent="0.3">
      <c r="A3275" t="str">
        <f>""</f>
        <v/>
      </c>
      <c r="G3275" t="str">
        <f>""</f>
        <v/>
      </c>
      <c r="H3275" t="str">
        <f>""</f>
        <v/>
      </c>
      <c r="J3275" t="str">
        <f t="shared" si="58"/>
        <v>TEXAS COUNTY &amp; DISTRICT RET</v>
      </c>
    </row>
    <row r="3276" spans="1:10" x14ac:dyDescent="0.3">
      <c r="A3276" t="str">
        <f>""</f>
        <v/>
      </c>
      <c r="G3276" t="str">
        <f>""</f>
        <v/>
      </c>
      <c r="H3276" t="str">
        <f>""</f>
        <v/>
      </c>
      <c r="J3276" t="str">
        <f t="shared" si="58"/>
        <v>TEXAS COUNTY &amp; DISTRICT RET</v>
      </c>
    </row>
    <row r="3277" spans="1:10" x14ac:dyDescent="0.3">
      <c r="A3277" t="str">
        <f>""</f>
        <v/>
      </c>
      <c r="G3277" t="str">
        <f>""</f>
        <v/>
      </c>
      <c r="H3277" t="str">
        <f>""</f>
        <v/>
      </c>
      <c r="J3277" t="str">
        <f t="shared" si="58"/>
        <v>TEXAS COUNTY &amp; DISTRICT RET</v>
      </c>
    </row>
    <row r="3278" spans="1:10" x14ac:dyDescent="0.3">
      <c r="A3278" t="str">
        <f>""</f>
        <v/>
      </c>
      <c r="G3278" t="str">
        <f>""</f>
        <v/>
      </c>
      <c r="H3278" t="str">
        <f>""</f>
        <v/>
      </c>
      <c r="J3278" t="str">
        <f t="shared" si="58"/>
        <v>TEXAS COUNTY &amp; DISTRICT RET</v>
      </c>
    </row>
    <row r="3279" spans="1:10" x14ac:dyDescent="0.3">
      <c r="A3279" t="str">
        <f>""</f>
        <v/>
      </c>
      <c r="G3279" t="str">
        <f>""</f>
        <v/>
      </c>
      <c r="H3279" t="str">
        <f>""</f>
        <v/>
      </c>
      <c r="J3279" t="str">
        <f t="shared" si="58"/>
        <v>TEXAS COUNTY &amp; DISTRICT RET</v>
      </c>
    </row>
    <row r="3280" spans="1:10" x14ac:dyDescent="0.3">
      <c r="A3280" t="str">
        <f>""</f>
        <v/>
      </c>
      <c r="F3280" t="s">
        <v>10</v>
      </c>
      <c r="G3280" t="str">
        <f>"RET201706143098"</f>
        <v>RET201706143098</v>
      </c>
      <c r="H3280" t="str">
        <f>"TEXAS COUNTY  DISTRICT RET"</f>
        <v>TEXAS COUNTY  DISTRICT RET</v>
      </c>
      <c r="I3280" s="2">
        <v>5546.51</v>
      </c>
      <c r="J3280" t="str">
        <f>"TEXAS COUNTY  DISTRICT RET"</f>
        <v>TEXAS COUNTY  DISTRICT RET</v>
      </c>
    </row>
    <row r="3281" spans="1:10" x14ac:dyDescent="0.3">
      <c r="A3281" t="str">
        <f>""</f>
        <v/>
      </c>
      <c r="G3281" t="str">
        <f>""</f>
        <v/>
      </c>
      <c r="H3281" t="str">
        <f>""</f>
        <v/>
      </c>
      <c r="J3281" t="str">
        <f>"TEXAS COUNTY  DISTRICT RET"</f>
        <v>TEXAS COUNTY  DISTRICT RET</v>
      </c>
    </row>
    <row r="3282" spans="1:10" x14ac:dyDescent="0.3">
      <c r="A3282" t="str">
        <f>""</f>
        <v/>
      </c>
      <c r="F3282" t="s">
        <v>10</v>
      </c>
      <c r="G3282" t="str">
        <f>"RET201706143099"</f>
        <v>RET201706143099</v>
      </c>
      <c r="H3282" t="str">
        <f>"TEXAS COUNTY &amp; DISTRICT RET"</f>
        <v>TEXAS COUNTY &amp; DISTRICT RET</v>
      </c>
      <c r="I3282" s="2">
        <v>8082.09</v>
      </c>
      <c r="J3282" t="str">
        <f t="shared" ref="J3282:J3313" si="59">"TEXAS COUNTY &amp; DISTRICT RET"</f>
        <v>TEXAS COUNTY &amp; DISTRICT RET</v>
      </c>
    </row>
    <row r="3283" spans="1:10" x14ac:dyDescent="0.3">
      <c r="A3283" t="str">
        <f>""</f>
        <v/>
      </c>
      <c r="G3283" t="str">
        <f>""</f>
        <v/>
      </c>
      <c r="H3283" t="str">
        <f>""</f>
        <v/>
      </c>
      <c r="J3283" t="str">
        <f t="shared" si="59"/>
        <v>TEXAS COUNTY &amp; DISTRICT RET</v>
      </c>
    </row>
    <row r="3284" spans="1:10" x14ac:dyDescent="0.3">
      <c r="A3284" t="str">
        <f>""</f>
        <v/>
      </c>
      <c r="F3284" t="s">
        <v>10</v>
      </c>
      <c r="G3284" t="str">
        <f>"RET201706273273"</f>
        <v>RET201706273273</v>
      </c>
      <c r="H3284" t="str">
        <f>"TEXAS COUNTY &amp; DISTRICT RET"</f>
        <v>TEXAS COUNTY &amp; DISTRICT RET</v>
      </c>
      <c r="I3284" s="2">
        <v>134026.25</v>
      </c>
      <c r="J3284" t="str">
        <f t="shared" si="59"/>
        <v>TEXAS COUNTY &amp; DISTRICT RET</v>
      </c>
    </row>
    <row r="3285" spans="1:10" x14ac:dyDescent="0.3">
      <c r="A3285" t="str">
        <f>""</f>
        <v/>
      </c>
      <c r="G3285" t="str">
        <f>""</f>
        <v/>
      </c>
      <c r="H3285" t="str">
        <f>""</f>
        <v/>
      </c>
      <c r="J3285" t="str">
        <f t="shared" si="59"/>
        <v>TEXAS COUNTY &amp; DISTRICT RET</v>
      </c>
    </row>
    <row r="3286" spans="1:10" x14ac:dyDescent="0.3">
      <c r="A3286" t="str">
        <f>""</f>
        <v/>
      </c>
      <c r="G3286" t="str">
        <f>""</f>
        <v/>
      </c>
      <c r="H3286" t="str">
        <f>""</f>
        <v/>
      </c>
      <c r="J3286" t="str">
        <f t="shared" si="59"/>
        <v>TEXAS COUNTY &amp; DISTRICT RET</v>
      </c>
    </row>
    <row r="3287" spans="1:10" x14ac:dyDescent="0.3">
      <c r="A3287" t="str">
        <f>""</f>
        <v/>
      </c>
      <c r="G3287" t="str">
        <f>""</f>
        <v/>
      </c>
      <c r="H3287" t="str">
        <f>""</f>
        <v/>
      </c>
      <c r="J3287" t="str">
        <f t="shared" si="59"/>
        <v>TEXAS COUNTY &amp; DISTRICT RET</v>
      </c>
    </row>
    <row r="3288" spans="1:10" x14ac:dyDescent="0.3">
      <c r="A3288" t="str">
        <f>""</f>
        <v/>
      </c>
      <c r="G3288" t="str">
        <f>""</f>
        <v/>
      </c>
      <c r="H3288" t="str">
        <f>""</f>
        <v/>
      </c>
      <c r="J3288" t="str">
        <f t="shared" si="59"/>
        <v>TEXAS COUNTY &amp; DISTRICT RET</v>
      </c>
    </row>
    <row r="3289" spans="1:10" x14ac:dyDescent="0.3">
      <c r="A3289" t="str">
        <f>""</f>
        <v/>
      </c>
      <c r="G3289" t="str">
        <f>""</f>
        <v/>
      </c>
      <c r="H3289" t="str">
        <f>""</f>
        <v/>
      </c>
      <c r="J3289" t="str">
        <f t="shared" si="59"/>
        <v>TEXAS COUNTY &amp; DISTRICT RET</v>
      </c>
    </row>
    <row r="3290" spans="1:10" x14ac:dyDescent="0.3">
      <c r="A3290" t="str">
        <f>""</f>
        <v/>
      </c>
      <c r="G3290" t="str">
        <f>""</f>
        <v/>
      </c>
      <c r="H3290" t="str">
        <f>""</f>
        <v/>
      </c>
      <c r="J3290" t="str">
        <f t="shared" si="59"/>
        <v>TEXAS COUNTY &amp; DISTRICT RET</v>
      </c>
    </row>
    <row r="3291" spans="1:10" x14ac:dyDescent="0.3">
      <c r="A3291" t="str">
        <f>""</f>
        <v/>
      </c>
      <c r="G3291" t="str">
        <f>""</f>
        <v/>
      </c>
      <c r="H3291" t="str">
        <f>""</f>
        <v/>
      </c>
      <c r="J3291" t="str">
        <f t="shared" si="59"/>
        <v>TEXAS COUNTY &amp; DISTRICT RET</v>
      </c>
    </row>
    <row r="3292" spans="1:10" x14ac:dyDescent="0.3">
      <c r="A3292" t="str">
        <f>""</f>
        <v/>
      </c>
      <c r="G3292" t="str">
        <f>""</f>
        <v/>
      </c>
      <c r="H3292" t="str">
        <f>""</f>
        <v/>
      </c>
      <c r="J3292" t="str">
        <f t="shared" si="59"/>
        <v>TEXAS COUNTY &amp; DISTRICT RET</v>
      </c>
    </row>
    <row r="3293" spans="1:10" x14ac:dyDescent="0.3">
      <c r="A3293" t="str">
        <f>""</f>
        <v/>
      </c>
      <c r="G3293" t="str">
        <f>""</f>
        <v/>
      </c>
      <c r="H3293" t="str">
        <f>""</f>
        <v/>
      </c>
      <c r="J3293" t="str">
        <f t="shared" si="59"/>
        <v>TEXAS COUNTY &amp; DISTRICT RET</v>
      </c>
    </row>
    <row r="3294" spans="1:10" x14ac:dyDescent="0.3">
      <c r="A3294" t="str">
        <f>""</f>
        <v/>
      </c>
      <c r="G3294" t="str">
        <f>""</f>
        <v/>
      </c>
      <c r="H3294" t="str">
        <f>""</f>
        <v/>
      </c>
      <c r="J3294" t="str">
        <f t="shared" si="59"/>
        <v>TEXAS COUNTY &amp; DISTRICT RET</v>
      </c>
    </row>
    <row r="3295" spans="1:10" x14ac:dyDescent="0.3">
      <c r="A3295" t="str">
        <f>""</f>
        <v/>
      </c>
      <c r="G3295" t="str">
        <f>""</f>
        <v/>
      </c>
      <c r="H3295" t="str">
        <f>""</f>
        <v/>
      </c>
      <c r="J3295" t="str">
        <f t="shared" si="59"/>
        <v>TEXAS COUNTY &amp; DISTRICT RET</v>
      </c>
    </row>
    <row r="3296" spans="1:10" x14ac:dyDescent="0.3">
      <c r="A3296" t="str">
        <f>""</f>
        <v/>
      </c>
      <c r="G3296" t="str">
        <f>""</f>
        <v/>
      </c>
      <c r="H3296" t="str">
        <f>""</f>
        <v/>
      </c>
      <c r="J3296" t="str">
        <f t="shared" si="59"/>
        <v>TEXAS COUNTY &amp; DISTRICT RET</v>
      </c>
    </row>
    <row r="3297" spans="1:10" x14ac:dyDescent="0.3">
      <c r="A3297" t="str">
        <f>""</f>
        <v/>
      </c>
      <c r="G3297" t="str">
        <f>""</f>
        <v/>
      </c>
      <c r="H3297" t="str">
        <f>""</f>
        <v/>
      </c>
      <c r="J3297" t="str">
        <f t="shared" si="59"/>
        <v>TEXAS COUNTY &amp; DISTRICT RET</v>
      </c>
    </row>
    <row r="3298" spans="1:10" x14ac:dyDescent="0.3">
      <c r="A3298" t="str">
        <f>""</f>
        <v/>
      </c>
      <c r="G3298" t="str">
        <f>""</f>
        <v/>
      </c>
      <c r="H3298" t="str">
        <f>""</f>
        <v/>
      </c>
      <c r="J3298" t="str">
        <f t="shared" si="59"/>
        <v>TEXAS COUNTY &amp; DISTRICT RET</v>
      </c>
    </row>
    <row r="3299" spans="1:10" x14ac:dyDescent="0.3">
      <c r="A3299" t="str">
        <f>""</f>
        <v/>
      </c>
      <c r="G3299" t="str">
        <f>""</f>
        <v/>
      </c>
      <c r="H3299" t="str">
        <f>""</f>
        <v/>
      </c>
      <c r="J3299" t="str">
        <f t="shared" si="59"/>
        <v>TEXAS COUNTY &amp; DISTRICT RET</v>
      </c>
    </row>
    <row r="3300" spans="1:10" x14ac:dyDescent="0.3">
      <c r="A3300" t="str">
        <f>""</f>
        <v/>
      </c>
      <c r="G3300" t="str">
        <f>""</f>
        <v/>
      </c>
      <c r="H3300" t="str">
        <f>""</f>
        <v/>
      </c>
      <c r="J3300" t="str">
        <f t="shared" si="59"/>
        <v>TEXAS COUNTY &amp; DISTRICT RET</v>
      </c>
    </row>
    <row r="3301" spans="1:10" x14ac:dyDescent="0.3">
      <c r="A3301" t="str">
        <f>""</f>
        <v/>
      </c>
      <c r="G3301" t="str">
        <f>""</f>
        <v/>
      </c>
      <c r="H3301" t="str">
        <f>""</f>
        <v/>
      </c>
      <c r="J3301" t="str">
        <f t="shared" si="59"/>
        <v>TEXAS COUNTY &amp; DISTRICT RET</v>
      </c>
    </row>
    <row r="3302" spans="1:10" x14ac:dyDescent="0.3">
      <c r="A3302" t="str">
        <f>""</f>
        <v/>
      </c>
      <c r="G3302" t="str">
        <f>""</f>
        <v/>
      </c>
      <c r="H3302" t="str">
        <f>""</f>
        <v/>
      </c>
      <c r="J3302" t="str">
        <f t="shared" si="59"/>
        <v>TEXAS COUNTY &amp; DISTRICT RET</v>
      </c>
    </row>
    <row r="3303" spans="1:10" x14ac:dyDescent="0.3">
      <c r="A3303" t="str">
        <f>""</f>
        <v/>
      </c>
      <c r="G3303" t="str">
        <f>""</f>
        <v/>
      </c>
      <c r="H3303" t="str">
        <f>""</f>
        <v/>
      </c>
      <c r="J3303" t="str">
        <f t="shared" si="59"/>
        <v>TEXAS COUNTY &amp; DISTRICT RET</v>
      </c>
    </row>
    <row r="3304" spans="1:10" x14ac:dyDescent="0.3">
      <c r="A3304" t="str">
        <f>""</f>
        <v/>
      </c>
      <c r="G3304" t="str">
        <f>""</f>
        <v/>
      </c>
      <c r="H3304" t="str">
        <f>""</f>
        <v/>
      </c>
      <c r="J3304" t="str">
        <f t="shared" si="59"/>
        <v>TEXAS COUNTY &amp; DISTRICT RET</v>
      </c>
    </row>
    <row r="3305" spans="1:10" x14ac:dyDescent="0.3">
      <c r="A3305" t="str">
        <f>""</f>
        <v/>
      </c>
      <c r="G3305" t="str">
        <f>""</f>
        <v/>
      </c>
      <c r="H3305" t="str">
        <f>""</f>
        <v/>
      </c>
      <c r="J3305" t="str">
        <f t="shared" si="59"/>
        <v>TEXAS COUNTY &amp; DISTRICT RET</v>
      </c>
    </row>
    <row r="3306" spans="1:10" x14ac:dyDescent="0.3">
      <c r="A3306" t="str">
        <f>""</f>
        <v/>
      </c>
      <c r="G3306" t="str">
        <f>""</f>
        <v/>
      </c>
      <c r="H3306" t="str">
        <f>""</f>
        <v/>
      </c>
      <c r="J3306" t="str">
        <f t="shared" si="59"/>
        <v>TEXAS COUNTY &amp; DISTRICT RET</v>
      </c>
    </row>
    <row r="3307" spans="1:10" x14ac:dyDescent="0.3">
      <c r="A3307" t="str">
        <f>""</f>
        <v/>
      </c>
      <c r="G3307" t="str">
        <f>""</f>
        <v/>
      </c>
      <c r="H3307" t="str">
        <f>""</f>
        <v/>
      </c>
      <c r="J3307" t="str">
        <f t="shared" si="59"/>
        <v>TEXAS COUNTY &amp; DISTRICT RET</v>
      </c>
    </row>
    <row r="3308" spans="1:10" x14ac:dyDescent="0.3">
      <c r="A3308" t="str">
        <f>""</f>
        <v/>
      </c>
      <c r="G3308" t="str">
        <f>""</f>
        <v/>
      </c>
      <c r="H3308" t="str">
        <f>""</f>
        <v/>
      </c>
      <c r="J3308" t="str">
        <f t="shared" si="59"/>
        <v>TEXAS COUNTY &amp; DISTRICT RET</v>
      </c>
    </row>
    <row r="3309" spans="1:10" x14ac:dyDescent="0.3">
      <c r="A3309" t="str">
        <f>""</f>
        <v/>
      </c>
      <c r="G3309" t="str">
        <f>""</f>
        <v/>
      </c>
      <c r="H3309" t="str">
        <f>""</f>
        <v/>
      </c>
      <c r="J3309" t="str">
        <f t="shared" si="59"/>
        <v>TEXAS COUNTY &amp; DISTRICT RET</v>
      </c>
    </row>
    <row r="3310" spans="1:10" x14ac:dyDescent="0.3">
      <c r="A3310" t="str">
        <f>""</f>
        <v/>
      </c>
      <c r="G3310" t="str">
        <f>""</f>
        <v/>
      </c>
      <c r="H3310" t="str">
        <f>""</f>
        <v/>
      </c>
      <c r="J3310" t="str">
        <f t="shared" si="59"/>
        <v>TEXAS COUNTY &amp; DISTRICT RET</v>
      </c>
    </row>
    <row r="3311" spans="1:10" x14ac:dyDescent="0.3">
      <c r="A3311" t="str">
        <f>""</f>
        <v/>
      </c>
      <c r="G3311" t="str">
        <f>""</f>
        <v/>
      </c>
      <c r="H3311" t="str">
        <f>""</f>
        <v/>
      </c>
      <c r="J3311" t="str">
        <f t="shared" si="59"/>
        <v>TEXAS COUNTY &amp; DISTRICT RET</v>
      </c>
    </row>
    <row r="3312" spans="1:10" x14ac:dyDescent="0.3">
      <c r="A3312" t="str">
        <f>""</f>
        <v/>
      </c>
      <c r="G3312" t="str">
        <f>""</f>
        <v/>
      </c>
      <c r="H3312" t="str">
        <f>""</f>
        <v/>
      </c>
      <c r="J3312" t="str">
        <f t="shared" si="59"/>
        <v>TEXAS COUNTY &amp; DISTRICT RET</v>
      </c>
    </row>
    <row r="3313" spans="1:10" x14ac:dyDescent="0.3">
      <c r="A3313" t="str">
        <f>""</f>
        <v/>
      </c>
      <c r="G3313" t="str">
        <f>""</f>
        <v/>
      </c>
      <c r="H3313" t="str">
        <f>""</f>
        <v/>
      </c>
      <c r="J3313" t="str">
        <f t="shared" si="59"/>
        <v>TEXAS COUNTY &amp; DISTRICT RET</v>
      </c>
    </row>
    <row r="3314" spans="1:10" x14ac:dyDescent="0.3">
      <c r="A3314" t="str">
        <f>""</f>
        <v/>
      </c>
      <c r="G3314" t="str">
        <f>""</f>
        <v/>
      </c>
      <c r="H3314" t="str">
        <f>""</f>
        <v/>
      </c>
      <c r="J3314" t="str">
        <f t="shared" ref="J3314:J3334" si="60">"TEXAS COUNTY &amp; DISTRICT RET"</f>
        <v>TEXAS COUNTY &amp; DISTRICT RET</v>
      </c>
    </row>
    <row r="3315" spans="1:10" x14ac:dyDescent="0.3">
      <c r="A3315" t="str">
        <f>""</f>
        <v/>
      </c>
      <c r="G3315" t="str">
        <f>""</f>
        <v/>
      </c>
      <c r="H3315" t="str">
        <f>""</f>
        <v/>
      </c>
      <c r="J3315" t="str">
        <f t="shared" si="60"/>
        <v>TEXAS COUNTY &amp; DISTRICT RET</v>
      </c>
    </row>
    <row r="3316" spans="1:10" x14ac:dyDescent="0.3">
      <c r="A3316" t="str">
        <f>""</f>
        <v/>
      </c>
      <c r="G3316" t="str">
        <f>""</f>
        <v/>
      </c>
      <c r="H3316" t="str">
        <f>""</f>
        <v/>
      </c>
      <c r="J3316" t="str">
        <f t="shared" si="60"/>
        <v>TEXAS COUNTY &amp; DISTRICT RET</v>
      </c>
    </row>
    <row r="3317" spans="1:10" x14ac:dyDescent="0.3">
      <c r="A3317" t="str">
        <f>""</f>
        <v/>
      </c>
      <c r="G3317" t="str">
        <f>""</f>
        <v/>
      </c>
      <c r="H3317" t="str">
        <f>""</f>
        <v/>
      </c>
      <c r="J3317" t="str">
        <f t="shared" si="60"/>
        <v>TEXAS COUNTY &amp; DISTRICT RET</v>
      </c>
    </row>
    <row r="3318" spans="1:10" x14ac:dyDescent="0.3">
      <c r="A3318" t="str">
        <f>""</f>
        <v/>
      </c>
      <c r="G3318" t="str">
        <f>""</f>
        <v/>
      </c>
      <c r="H3318" t="str">
        <f>""</f>
        <v/>
      </c>
      <c r="J3318" t="str">
        <f t="shared" si="60"/>
        <v>TEXAS COUNTY &amp; DISTRICT RET</v>
      </c>
    </row>
    <row r="3319" spans="1:10" x14ac:dyDescent="0.3">
      <c r="A3319" t="str">
        <f>""</f>
        <v/>
      </c>
      <c r="G3319" t="str">
        <f>""</f>
        <v/>
      </c>
      <c r="H3319" t="str">
        <f>""</f>
        <v/>
      </c>
      <c r="J3319" t="str">
        <f t="shared" si="60"/>
        <v>TEXAS COUNTY &amp; DISTRICT RET</v>
      </c>
    </row>
    <row r="3320" spans="1:10" x14ac:dyDescent="0.3">
      <c r="A3320" t="str">
        <f>""</f>
        <v/>
      </c>
      <c r="G3320" t="str">
        <f>""</f>
        <v/>
      </c>
      <c r="H3320" t="str">
        <f>""</f>
        <v/>
      </c>
      <c r="J3320" t="str">
        <f t="shared" si="60"/>
        <v>TEXAS COUNTY &amp; DISTRICT RET</v>
      </c>
    </row>
    <row r="3321" spans="1:10" x14ac:dyDescent="0.3">
      <c r="A3321" t="str">
        <f>""</f>
        <v/>
      </c>
      <c r="G3321" t="str">
        <f>""</f>
        <v/>
      </c>
      <c r="H3321" t="str">
        <f>""</f>
        <v/>
      </c>
      <c r="J3321" t="str">
        <f t="shared" si="60"/>
        <v>TEXAS COUNTY &amp; DISTRICT RET</v>
      </c>
    </row>
    <row r="3322" spans="1:10" x14ac:dyDescent="0.3">
      <c r="A3322" t="str">
        <f>""</f>
        <v/>
      </c>
      <c r="G3322" t="str">
        <f>""</f>
        <v/>
      </c>
      <c r="H3322" t="str">
        <f>""</f>
        <v/>
      </c>
      <c r="J3322" t="str">
        <f t="shared" si="60"/>
        <v>TEXAS COUNTY &amp; DISTRICT RET</v>
      </c>
    </row>
    <row r="3323" spans="1:10" x14ac:dyDescent="0.3">
      <c r="A3323" t="str">
        <f>""</f>
        <v/>
      </c>
      <c r="G3323" t="str">
        <f>""</f>
        <v/>
      </c>
      <c r="H3323" t="str">
        <f>""</f>
        <v/>
      </c>
      <c r="J3323" t="str">
        <f t="shared" si="60"/>
        <v>TEXAS COUNTY &amp; DISTRICT RET</v>
      </c>
    </row>
    <row r="3324" spans="1:10" x14ac:dyDescent="0.3">
      <c r="A3324" t="str">
        <f>""</f>
        <v/>
      </c>
      <c r="G3324" t="str">
        <f>""</f>
        <v/>
      </c>
      <c r="H3324" t="str">
        <f>""</f>
        <v/>
      </c>
      <c r="J3324" t="str">
        <f t="shared" si="60"/>
        <v>TEXAS COUNTY &amp; DISTRICT RET</v>
      </c>
    </row>
    <row r="3325" spans="1:10" x14ac:dyDescent="0.3">
      <c r="A3325" t="str">
        <f>""</f>
        <v/>
      </c>
      <c r="G3325" t="str">
        <f>""</f>
        <v/>
      </c>
      <c r="H3325" t="str">
        <f>""</f>
        <v/>
      </c>
      <c r="J3325" t="str">
        <f t="shared" si="60"/>
        <v>TEXAS COUNTY &amp; DISTRICT RET</v>
      </c>
    </row>
    <row r="3326" spans="1:10" x14ac:dyDescent="0.3">
      <c r="A3326" t="str">
        <f>""</f>
        <v/>
      </c>
      <c r="G3326" t="str">
        <f>""</f>
        <v/>
      </c>
      <c r="H3326" t="str">
        <f>""</f>
        <v/>
      </c>
      <c r="J3326" t="str">
        <f t="shared" si="60"/>
        <v>TEXAS COUNTY &amp; DISTRICT RET</v>
      </c>
    </row>
    <row r="3327" spans="1:10" x14ac:dyDescent="0.3">
      <c r="A3327" t="str">
        <f>""</f>
        <v/>
      </c>
      <c r="G3327" t="str">
        <f>""</f>
        <v/>
      </c>
      <c r="H3327" t="str">
        <f>""</f>
        <v/>
      </c>
      <c r="J3327" t="str">
        <f t="shared" si="60"/>
        <v>TEXAS COUNTY &amp; DISTRICT RET</v>
      </c>
    </row>
    <row r="3328" spans="1:10" x14ac:dyDescent="0.3">
      <c r="A3328" t="str">
        <f>""</f>
        <v/>
      </c>
      <c r="G3328" t="str">
        <f>""</f>
        <v/>
      </c>
      <c r="H3328" t="str">
        <f>""</f>
        <v/>
      </c>
      <c r="J3328" t="str">
        <f t="shared" si="60"/>
        <v>TEXAS COUNTY &amp; DISTRICT RET</v>
      </c>
    </row>
    <row r="3329" spans="1:10" x14ac:dyDescent="0.3">
      <c r="A3329" t="str">
        <f>""</f>
        <v/>
      </c>
      <c r="G3329" t="str">
        <f>""</f>
        <v/>
      </c>
      <c r="H3329" t="str">
        <f>""</f>
        <v/>
      </c>
      <c r="J3329" t="str">
        <f t="shared" si="60"/>
        <v>TEXAS COUNTY &amp; DISTRICT RET</v>
      </c>
    </row>
    <row r="3330" spans="1:10" x14ac:dyDescent="0.3">
      <c r="A3330" t="str">
        <f>""</f>
        <v/>
      </c>
      <c r="G3330" t="str">
        <f>""</f>
        <v/>
      </c>
      <c r="H3330" t="str">
        <f>""</f>
        <v/>
      </c>
      <c r="J3330" t="str">
        <f t="shared" si="60"/>
        <v>TEXAS COUNTY &amp; DISTRICT RET</v>
      </c>
    </row>
    <row r="3331" spans="1:10" x14ac:dyDescent="0.3">
      <c r="A3331" t="str">
        <f>""</f>
        <v/>
      </c>
      <c r="G3331" t="str">
        <f>""</f>
        <v/>
      </c>
      <c r="H3331" t="str">
        <f>""</f>
        <v/>
      </c>
      <c r="J3331" t="str">
        <f t="shared" si="60"/>
        <v>TEXAS COUNTY &amp; DISTRICT RET</v>
      </c>
    </row>
    <row r="3332" spans="1:10" x14ac:dyDescent="0.3">
      <c r="A3332" t="str">
        <f>""</f>
        <v/>
      </c>
      <c r="G3332" t="str">
        <f>""</f>
        <v/>
      </c>
      <c r="H3332" t="str">
        <f>""</f>
        <v/>
      </c>
      <c r="J3332" t="str">
        <f t="shared" si="60"/>
        <v>TEXAS COUNTY &amp; DISTRICT RET</v>
      </c>
    </row>
    <row r="3333" spans="1:10" x14ac:dyDescent="0.3">
      <c r="A3333" t="str">
        <f>""</f>
        <v/>
      </c>
      <c r="G3333" t="str">
        <f>""</f>
        <v/>
      </c>
      <c r="H3333" t="str">
        <f>""</f>
        <v/>
      </c>
      <c r="J3333" t="str">
        <f t="shared" si="60"/>
        <v>TEXAS COUNTY &amp; DISTRICT RET</v>
      </c>
    </row>
    <row r="3334" spans="1:10" x14ac:dyDescent="0.3">
      <c r="A3334" t="str">
        <f>""</f>
        <v/>
      </c>
      <c r="G3334" t="str">
        <f>""</f>
        <v/>
      </c>
      <c r="H3334" t="str">
        <f>""</f>
        <v/>
      </c>
      <c r="J3334" t="str">
        <f t="shared" si="60"/>
        <v>TEXAS COUNTY &amp; DISTRICT RET</v>
      </c>
    </row>
    <row r="3335" spans="1:10" x14ac:dyDescent="0.3">
      <c r="A3335" t="str">
        <f>""</f>
        <v/>
      </c>
      <c r="F3335" t="s">
        <v>10</v>
      </c>
      <c r="G3335" t="str">
        <f>"RET201706273274"</f>
        <v>RET201706273274</v>
      </c>
      <c r="H3335" t="str">
        <f>"TEXAS COUNTY  DISTRICT RET"</f>
        <v>TEXAS COUNTY  DISTRICT RET</v>
      </c>
      <c r="I3335" s="2">
        <v>5579.87</v>
      </c>
      <c r="J3335" t="str">
        <f>"TEXAS COUNTY  DISTRICT RET"</f>
        <v>TEXAS COUNTY  DISTRICT RET</v>
      </c>
    </row>
    <row r="3336" spans="1:10" x14ac:dyDescent="0.3">
      <c r="A3336" t="str">
        <f>""</f>
        <v/>
      </c>
      <c r="G3336" t="str">
        <f>""</f>
        <v/>
      </c>
      <c r="H3336" t="str">
        <f>""</f>
        <v/>
      </c>
      <c r="J3336" t="str">
        <f>"TEXAS COUNTY  DISTRICT RET"</f>
        <v>TEXAS COUNTY  DISTRICT RET</v>
      </c>
    </row>
    <row r="3337" spans="1:10" x14ac:dyDescent="0.3">
      <c r="A3337" t="str">
        <f>""</f>
        <v/>
      </c>
      <c r="F3337" t="s">
        <v>10</v>
      </c>
      <c r="G3337" t="str">
        <f>"RET201706273275"</f>
        <v>RET201706273275</v>
      </c>
      <c r="H3337" t="str">
        <f>"TEXAS COUNTY &amp; DISTRICT RET"</f>
        <v>TEXAS COUNTY &amp; DISTRICT RET</v>
      </c>
      <c r="I3337" s="2">
        <v>7728.37</v>
      </c>
      <c r="J3337" t="str">
        <f>"TEXAS COUNTY &amp; DISTRICT RET"</f>
        <v>TEXAS COUNTY &amp; DISTRICT RET</v>
      </c>
    </row>
    <row r="3338" spans="1:10" x14ac:dyDescent="0.3">
      <c r="A3338" t="str">
        <f>""</f>
        <v/>
      </c>
      <c r="G3338" t="str">
        <f>""</f>
        <v/>
      </c>
      <c r="H3338" t="str">
        <f>""</f>
        <v/>
      </c>
      <c r="J3338" t="str">
        <f>"TEXAS COUNTY &amp; DISTRICT RET"</f>
        <v>TEXAS COUNTY &amp; DISTRICT RET</v>
      </c>
    </row>
    <row r="3339" spans="1:10" x14ac:dyDescent="0.3">
      <c r="A3339" t="str">
        <f>"002457"</f>
        <v>002457</v>
      </c>
      <c r="B3339" t="s">
        <v>578</v>
      </c>
      <c r="C3339">
        <v>45663</v>
      </c>
      <c r="D3339" s="2">
        <v>1370</v>
      </c>
      <c r="E3339" s="1">
        <v>42912</v>
      </c>
      <c r="F3339" t="s">
        <v>10</v>
      </c>
      <c r="G3339" t="str">
        <f>"LEG201705312317"</f>
        <v>LEG201705312317</v>
      </c>
      <c r="H3339" t="str">
        <f>"TEXAS LEGAL PROTECTION PLAN"</f>
        <v>TEXAS LEGAL PROTECTION PLAN</v>
      </c>
      <c r="I3339" s="2">
        <v>675</v>
      </c>
      <c r="J3339" t="str">
        <f>"TEXAS LEGAL PROTECTION PLAN"</f>
        <v>TEXAS LEGAL PROTECTION PLAN</v>
      </c>
    </row>
    <row r="3340" spans="1:10" x14ac:dyDescent="0.3">
      <c r="A3340" t="str">
        <f>""</f>
        <v/>
      </c>
      <c r="F3340" t="s">
        <v>10</v>
      </c>
      <c r="G3340" t="str">
        <f>"LEG201705312318"</f>
        <v>LEG201705312318</v>
      </c>
      <c r="H3340" t="str">
        <f>"TEXAS LEGAL PROTECTION PLAN"</f>
        <v>TEXAS LEGAL PROTECTION PLAN</v>
      </c>
      <c r="I3340" s="2">
        <v>10</v>
      </c>
      <c r="J3340" t="str">
        <f>"TEXAS LEGAL PROTECTION PLAN"</f>
        <v>TEXAS LEGAL PROTECTION PLAN</v>
      </c>
    </row>
    <row r="3341" spans="1:10" x14ac:dyDescent="0.3">
      <c r="A3341" t="str">
        <f>""</f>
        <v/>
      </c>
      <c r="F3341" t="s">
        <v>10</v>
      </c>
      <c r="G3341" t="str">
        <f>"LEG201706143096"</f>
        <v>LEG201706143096</v>
      </c>
      <c r="H3341" t="str">
        <f>"TEXAS LEGAL PROTECTION PLAN"</f>
        <v>TEXAS LEGAL PROTECTION PLAN</v>
      </c>
      <c r="I3341" s="2">
        <v>675</v>
      </c>
      <c r="J3341" t="str">
        <f>"TEXAS LEGAL PROTECTION PLAN"</f>
        <v>TEXAS LEGAL PROTECTION PLAN</v>
      </c>
    </row>
    <row r="3342" spans="1:10" x14ac:dyDescent="0.3">
      <c r="A3342" t="str">
        <f>""</f>
        <v/>
      </c>
      <c r="F3342" t="s">
        <v>10</v>
      </c>
      <c r="G3342" t="str">
        <f>"LEG201706143098"</f>
        <v>LEG201706143098</v>
      </c>
      <c r="H3342" t="str">
        <f>"TEXAS LEGAL PROTECTION PLAN"</f>
        <v>TEXAS LEGAL PROTECTION PLAN</v>
      </c>
      <c r="I3342" s="2">
        <v>10</v>
      </c>
      <c r="J3342" t="str">
        <f>"TEXAS LEGAL PROTECTION PLAN"</f>
        <v>TEXAS LEGAL PROTECTION PLAN</v>
      </c>
    </row>
    <row r="3343" spans="1:10" x14ac:dyDescent="0.3">
      <c r="A3343" t="str">
        <f>"T14362"</f>
        <v>T14362</v>
      </c>
      <c r="B3343" t="s">
        <v>579</v>
      </c>
      <c r="C3343">
        <v>45635</v>
      </c>
      <c r="D3343" s="2">
        <v>186</v>
      </c>
      <c r="E3343" s="1">
        <v>42888</v>
      </c>
      <c r="F3343" t="s">
        <v>10</v>
      </c>
      <c r="G3343" t="str">
        <f>"SL6201705312317"</f>
        <v>SL6201705312317</v>
      </c>
      <c r="H3343" t="str">
        <f>"TG STUDENT LOAN - P CROUCH"</f>
        <v>TG STUDENT LOAN - P CROUCH</v>
      </c>
      <c r="I3343" s="2">
        <v>186</v>
      </c>
      <c r="J3343" t="str">
        <f>"TG STUDENT LOAN - P CROUCH"</f>
        <v>TG STUDENT LOAN - P CROUCH</v>
      </c>
    </row>
    <row r="3344" spans="1:10" x14ac:dyDescent="0.3">
      <c r="A3344" t="str">
        <f>"T14362"</f>
        <v>T14362</v>
      </c>
      <c r="B3344" t="s">
        <v>579</v>
      </c>
      <c r="C3344">
        <v>45637</v>
      </c>
      <c r="D3344" s="2">
        <v>186</v>
      </c>
      <c r="E3344" s="1">
        <v>42895</v>
      </c>
      <c r="F3344" t="s">
        <v>10</v>
      </c>
      <c r="G3344" t="str">
        <f>"201706093036"</f>
        <v>201706093036</v>
      </c>
      <c r="H3344" t="str">
        <f>"REISSUE CK MAY'17 DED P CROUCH"</f>
        <v>REISSUE CK MAY'17 DED P CROUCH</v>
      </c>
      <c r="I3344" s="2">
        <v>186</v>
      </c>
      <c r="J3344" t="str">
        <f>"REISSUE CK MAY'17 DED P CROUCH"</f>
        <v>REISSUE CK MAY'17 DED P CROUCH</v>
      </c>
    </row>
    <row r="3345" spans="1:10" x14ac:dyDescent="0.3">
      <c r="A3345" t="str">
        <f>"T14362"</f>
        <v>T14362</v>
      </c>
      <c r="B3345" t="s">
        <v>579</v>
      </c>
      <c r="C3345">
        <v>45662</v>
      </c>
      <c r="D3345" s="2">
        <v>186</v>
      </c>
      <c r="E3345" s="1">
        <v>42902</v>
      </c>
      <c r="F3345" t="s">
        <v>10</v>
      </c>
      <c r="G3345" t="str">
        <f>"SL6201706143096"</f>
        <v>SL6201706143096</v>
      </c>
      <c r="H3345" t="str">
        <f>"TG STUDENT LOAN - P CROUCH"</f>
        <v>TG STUDENT LOAN - P CROUCH</v>
      </c>
      <c r="I3345" s="2">
        <v>186</v>
      </c>
      <c r="J3345" t="str">
        <f>"TG STUDENT LOAN - P CROUCH"</f>
        <v>TG STUDENT LOAN - P CROUCH</v>
      </c>
    </row>
    <row r="3346" spans="1:10" x14ac:dyDescent="0.3">
      <c r="A3346" t="str">
        <f>"T14362"</f>
        <v>T14362</v>
      </c>
      <c r="B3346" t="s">
        <v>579</v>
      </c>
      <c r="C3346">
        <v>45689</v>
      </c>
      <c r="D3346" s="2">
        <v>186</v>
      </c>
      <c r="E3346" s="1">
        <v>42916</v>
      </c>
      <c r="F3346" t="s">
        <v>10</v>
      </c>
      <c r="G3346" t="str">
        <f>"SL6201706273273"</f>
        <v>SL6201706273273</v>
      </c>
      <c r="H3346" t="str">
        <f>"TG STUDENT LOAN - P CROUCH"</f>
        <v>TG STUDENT LOAN - P CROUCH</v>
      </c>
      <c r="I3346" s="2">
        <v>186</v>
      </c>
      <c r="J3346" t="str">
        <f>"TG STUDENT LOAN - P CROUCH"</f>
        <v>TG STUDENT LOAN - P CROUCH</v>
      </c>
    </row>
    <row r="3347" spans="1:10" x14ac:dyDescent="0.3">
      <c r="A3347" t="str">
        <f>"VERITY"</f>
        <v>VERITY</v>
      </c>
      <c r="B3347" t="s">
        <v>580</v>
      </c>
      <c r="C3347">
        <v>0</v>
      </c>
      <c r="D3347" s="2">
        <v>17663.88</v>
      </c>
      <c r="E3347" s="1">
        <v>42888</v>
      </c>
      <c r="F3347" t="s">
        <v>10</v>
      </c>
      <c r="G3347" t="str">
        <f>"FSA201705312317"</f>
        <v>FSA201705312317</v>
      </c>
      <c r="H3347" t="str">
        <f>"VERITY NAT 125 VENDOR"</f>
        <v>VERITY NAT 125 VENDOR</v>
      </c>
      <c r="I3347" s="2">
        <v>8265.5300000000007</v>
      </c>
      <c r="J3347" t="str">
        <f>"VERITY NAT 125 VENDOR"</f>
        <v>VERITY NAT 125 VENDOR</v>
      </c>
    </row>
    <row r="3348" spans="1:10" x14ac:dyDescent="0.3">
      <c r="A3348" t="str">
        <f>""</f>
        <v/>
      </c>
      <c r="F3348" t="s">
        <v>10</v>
      </c>
      <c r="G3348" t="str">
        <f>"FSA201705312318"</f>
        <v>FSA201705312318</v>
      </c>
      <c r="H3348" t="str">
        <f>"VERITY NAT 125 VENDOR"</f>
        <v>VERITY NAT 125 VENDOR</v>
      </c>
      <c r="I3348" s="2">
        <v>528.16999999999996</v>
      </c>
      <c r="J3348" t="str">
        <f>"VERITY NAT 125 VENDOR"</f>
        <v>VERITY NAT 125 VENDOR</v>
      </c>
    </row>
    <row r="3349" spans="1:10" x14ac:dyDescent="0.3">
      <c r="A3349" t="str">
        <f>""</f>
        <v/>
      </c>
      <c r="F3349" t="s">
        <v>10</v>
      </c>
      <c r="G3349" t="str">
        <f>"FSC201705312317"</f>
        <v>FSC201705312317</v>
      </c>
      <c r="H3349" t="str">
        <f>"VERITY NAT 125 DEP CARE"</f>
        <v>VERITY NAT 125 DEP CARE</v>
      </c>
      <c r="I3349" s="2">
        <v>416.66</v>
      </c>
      <c r="J3349" t="str">
        <f>"VERITY NAT 125 DEP CARE"</f>
        <v>VERITY NAT 125 DEP CARE</v>
      </c>
    </row>
    <row r="3350" spans="1:10" x14ac:dyDescent="0.3">
      <c r="A3350" t="str">
        <f>""</f>
        <v/>
      </c>
      <c r="F3350" t="s">
        <v>10</v>
      </c>
      <c r="G3350" t="str">
        <f>"FSF201705312317"</f>
        <v>FSF201705312317</v>
      </c>
      <c r="H3350" t="str">
        <f>"VERITY NAT 125 VENDOR"</f>
        <v>VERITY NAT 125 VENDOR</v>
      </c>
      <c r="I3350" s="2">
        <v>629</v>
      </c>
      <c r="J3350" t="str">
        <f t="shared" ref="J3350:J3389" si="61">"VERITY NAT 125 VENDOR"</f>
        <v>VERITY NAT 125 VENDOR</v>
      </c>
    </row>
    <row r="3351" spans="1:10" x14ac:dyDescent="0.3">
      <c r="A3351" t="str">
        <f>""</f>
        <v/>
      </c>
      <c r="G3351" t="str">
        <f>""</f>
        <v/>
      </c>
      <c r="H3351" t="str">
        <f>""</f>
        <v/>
      </c>
      <c r="J3351" t="str">
        <f t="shared" si="61"/>
        <v>VERITY NAT 125 VENDOR</v>
      </c>
    </row>
    <row r="3352" spans="1:10" x14ac:dyDescent="0.3">
      <c r="A3352" t="str">
        <f>""</f>
        <v/>
      </c>
      <c r="G3352" t="str">
        <f>""</f>
        <v/>
      </c>
      <c r="H3352" t="str">
        <f>""</f>
        <v/>
      </c>
      <c r="J3352" t="str">
        <f t="shared" si="61"/>
        <v>VERITY NAT 125 VENDOR</v>
      </c>
    </row>
    <row r="3353" spans="1:10" x14ac:dyDescent="0.3">
      <c r="A3353" t="str">
        <f>""</f>
        <v/>
      </c>
      <c r="G3353" t="str">
        <f>""</f>
        <v/>
      </c>
      <c r="H3353" t="str">
        <f>""</f>
        <v/>
      </c>
      <c r="J3353" t="str">
        <f t="shared" si="61"/>
        <v>VERITY NAT 125 VENDOR</v>
      </c>
    </row>
    <row r="3354" spans="1:10" x14ac:dyDescent="0.3">
      <c r="A3354" t="str">
        <f>""</f>
        <v/>
      </c>
      <c r="G3354" t="str">
        <f>""</f>
        <v/>
      </c>
      <c r="H3354" t="str">
        <f>""</f>
        <v/>
      </c>
      <c r="J3354" t="str">
        <f t="shared" si="61"/>
        <v>VERITY NAT 125 VENDOR</v>
      </c>
    </row>
    <row r="3355" spans="1:10" x14ac:dyDescent="0.3">
      <c r="A3355" t="str">
        <f>""</f>
        <v/>
      </c>
      <c r="G3355" t="str">
        <f>""</f>
        <v/>
      </c>
      <c r="H3355" t="str">
        <f>""</f>
        <v/>
      </c>
      <c r="J3355" t="str">
        <f t="shared" si="61"/>
        <v>VERITY NAT 125 VENDOR</v>
      </c>
    </row>
    <row r="3356" spans="1:10" x14ac:dyDescent="0.3">
      <c r="A3356" t="str">
        <f>""</f>
        <v/>
      </c>
      <c r="G3356" t="str">
        <f>""</f>
        <v/>
      </c>
      <c r="H3356" t="str">
        <f>""</f>
        <v/>
      </c>
      <c r="J3356" t="str">
        <f t="shared" si="61"/>
        <v>VERITY NAT 125 VENDOR</v>
      </c>
    </row>
    <row r="3357" spans="1:10" x14ac:dyDescent="0.3">
      <c r="A3357" t="str">
        <f>""</f>
        <v/>
      </c>
      <c r="G3357" t="str">
        <f>""</f>
        <v/>
      </c>
      <c r="H3357" t="str">
        <f>""</f>
        <v/>
      </c>
      <c r="J3357" t="str">
        <f t="shared" si="61"/>
        <v>VERITY NAT 125 VENDOR</v>
      </c>
    </row>
    <row r="3358" spans="1:10" x14ac:dyDescent="0.3">
      <c r="A3358" t="str">
        <f>""</f>
        <v/>
      </c>
      <c r="G3358" t="str">
        <f>""</f>
        <v/>
      </c>
      <c r="H3358" t="str">
        <f>""</f>
        <v/>
      </c>
      <c r="J3358" t="str">
        <f t="shared" si="61"/>
        <v>VERITY NAT 125 VENDOR</v>
      </c>
    </row>
    <row r="3359" spans="1:10" x14ac:dyDescent="0.3">
      <c r="A3359" t="str">
        <f>""</f>
        <v/>
      </c>
      <c r="G3359" t="str">
        <f>""</f>
        <v/>
      </c>
      <c r="H3359" t="str">
        <f>""</f>
        <v/>
      </c>
      <c r="J3359" t="str">
        <f t="shared" si="61"/>
        <v>VERITY NAT 125 VENDOR</v>
      </c>
    </row>
    <row r="3360" spans="1:10" x14ac:dyDescent="0.3">
      <c r="A3360" t="str">
        <f>""</f>
        <v/>
      </c>
      <c r="G3360" t="str">
        <f>""</f>
        <v/>
      </c>
      <c r="H3360" t="str">
        <f>""</f>
        <v/>
      </c>
      <c r="J3360" t="str">
        <f t="shared" si="61"/>
        <v>VERITY NAT 125 VENDOR</v>
      </c>
    </row>
    <row r="3361" spans="1:10" x14ac:dyDescent="0.3">
      <c r="A3361" t="str">
        <f>""</f>
        <v/>
      </c>
      <c r="G3361" t="str">
        <f>""</f>
        <v/>
      </c>
      <c r="H3361" t="str">
        <f>""</f>
        <v/>
      </c>
      <c r="J3361" t="str">
        <f t="shared" si="61"/>
        <v>VERITY NAT 125 VENDOR</v>
      </c>
    </row>
    <row r="3362" spans="1:10" x14ac:dyDescent="0.3">
      <c r="A3362" t="str">
        <f>""</f>
        <v/>
      </c>
      <c r="G3362" t="str">
        <f>""</f>
        <v/>
      </c>
      <c r="H3362" t="str">
        <f>""</f>
        <v/>
      </c>
      <c r="J3362" t="str">
        <f t="shared" si="61"/>
        <v>VERITY NAT 125 VENDOR</v>
      </c>
    </row>
    <row r="3363" spans="1:10" x14ac:dyDescent="0.3">
      <c r="A3363" t="str">
        <f>""</f>
        <v/>
      </c>
      <c r="G3363" t="str">
        <f>""</f>
        <v/>
      </c>
      <c r="H3363" t="str">
        <f>""</f>
        <v/>
      </c>
      <c r="J3363" t="str">
        <f t="shared" si="61"/>
        <v>VERITY NAT 125 VENDOR</v>
      </c>
    </row>
    <row r="3364" spans="1:10" x14ac:dyDescent="0.3">
      <c r="A3364" t="str">
        <f>""</f>
        <v/>
      </c>
      <c r="G3364" t="str">
        <f>""</f>
        <v/>
      </c>
      <c r="H3364" t="str">
        <f>""</f>
        <v/>
      </c>
      <c r="J3364" t="str">
        <f t="shared" si="61"/>
        <v>VERITY NAT 125 VENDOR</v>
      </c>
    </row>
    <row r="3365" spans="1:10" x14ac:dyDescent="0.3">
      <c r="A3365" t="str">
        <f>""</f>
        <v/>
      </c>
      <c r="G3365" t="str">
        <f>""</f>
        <v/>
      </c>
      <c r="H3365" t="str">
        <f>""</f>
        <v/>
      </c>
      <c r="J3365" t="str">
        <f t="shared" si="61"/>
        <v>VERITY NAT 125 VENDOR</v>
      </c>
    </row>
    <row r="3366" spans="1:10" x14ac:dyDescent="0.3">
      <c r="A3366" t="str">
        <f>""</f>
        <v/>
      </c>
      <c r="G3366" t="str">
        <f>""</f>
        <v/>
      </c>
      <c r="H3366" t="str">
        <f>""</f>
        <v/>
      </c>
      <c r="J3366" t="str">
        <f t="shared" si="61"/>
        <v>VERITY NAT 125 VENDOR</v>
      </c>
    </row>
    <row r="3367" spans="1:10" x14ac:dyDescent="0.3">
      <c r="A3367" t="str">
        <f>""</f>
        <v/>
      </c>
      <c r="G3367" t="str">
        <f>""</f>
        <v/>
      </c>
      <c r="H3367" t="str">
        <f>""</f>
        <v/>
      </c>
      <c r="J3367" t="str">
        <f t="shared" si="61"/>
        <v>VERITY NAT 125 VENDOR</v>
      </c>
    </row>
    <row r="3368" spans="1:10" x14ac:dyDescent="0.3">
      <c r="A3368" t="str">
        <f>""</f>
        <v/>
      </c>
      <c r="G3368" t="str">
        <f>""</f>
        <v/>
      </c>
      <c r="H3368" t="str">
        <f>""</f>
        <v/>
      </c>
      <c r="J3368" t="str">
        <f t="shared" si="61"/>
        <v>VERITY NAT 125 VENDOR</v>
      </c>
    </row>
    <row r="3369" spans="1:10" x14ac:dyDescent="0.3">
      <c r="A3369" t="str">
        <f>""</f>
        <v/>
      </c>
      <c r="G3369" t="str">
        <f>""</f>
        <v/>
      </c>
      <c r="H3369" t="str">
        <f>""</f>
        <v/>
      </c>
      <c r="J3369" t="str">
        <f t="shared" si="61"/>
        <v>VERITY NAT 125 VENDOR</v>
      </c>
    </row>
    <row r="3370" spans="1:10" x14ac:dyDescent="0.3">
      <c r="A3370" t="str">
        <f>""</f>
        <v/>
      </c>
      <c r="G3370" t="str">
        <f>""</f>
        <v/>
      </c>
      <c r="H3370" t="str">
        <f>""</f>
        <v/>
      </c>
      <c r="J3370" t="str">
        <f t="shared" si="61"/>
        <v>VERITY NAT 125 VENDOR</v>
      </c>
    </row>
    <row r="3371" spans="1:10" x14ac:dyDescent="0.3">
      <c r="A3371" t="str">
        <f>""</f>
        <v/>
      </c>
      <c r="G3371" t="str">
        <f>""</f>
        <v/>
      </c>
      <c r="H3371" t="str">
        <f>""</f>
        <v/>
      </c>
      <c r="J3371" t="str">
        <f t="shared" si="61"/>
        <v>VERITY NAT 125 VENDOR</v>
      </c>
    </row>
    <row r="3372" spans="1:10" x14ac:dyDescent="0.3">
      <c r="A3372" t="str">
        <f>""</f>
        <v/>
      </c>
      <c r="G3372" t="str">
        <f>""</f>
        <v/>
      </c>
      <c r="H3372" t="str">
        <f>""</f>
        <v/>
      </c>
      <c r="J3372" t="str">
        <f t="shared" si="61"/>
        <v>VERITY NAT 125 VENDOR</v>
      </c>
    </row>
    <row r="3373" spans="1:10" x14ac:dyDescent="0.3">
      <c r="A3373" t="str">
        <f>""</f>
        <v/>
      </c>
      <c r="G3373" t="str">
        <f>""</f>
        <v/>
      </c>
      <c r="H3373" t="str">
        <f>""</f>
        <v/>
      </c>
      <c r="J3373" t="str">
        <f t="shared" si="61"/>
        <v>VERITY NAT 125 VENDOR</v>
      </c>
    </row>
    <row r="3374" spans="1:10" x14ac:dyDescent="0.3">
      <c r="A3374" t="str">
        <f>""</f>
        <v/>
      </c>
      <c r="G3374" t="str">
        <f>""</f>
        <v/>
      </c>
      <c r="H3374" t="str">
        <f>""</f>
        <v/>
      </c>
      <c r="J3374" t="str">
        <f t="shared" si="61"/>
        <v>VERITY NAT 125 VENDOR</v>
      </c>
    </row>
    <row r="3375" spans="1:10" x14ac:dyDescent="0.3">
      <c r="A3375" t="str">
        <f>""</f>
        <v/>
      </c>
      <c r="G3375" t="str">
        <f>""</f>
        <v/>
      </c>
      <c r="H3375" t="str">
        <f>""</f>
        <v/>
      </c>
      <c r="J3375" t="str">
        <f t="shared" si="61"/>
        <v>VERITY NAT 125 VENDOR</v>
      </c>
    </row>
    <row r="3376" spans="1:10" x14ac:dyDescent="0.3">
      <c r="A3376" t="str">
        <f>""</f>
        <v/>
      </c>
      <c r="G3376" t="str">
        <f>""</f>
        <v/>
      </c>
      <c r="H3376" t="str">
        <f>""</f>
        <v/>
      </c>
      <c r="J3376" t="str">
        <f t="shared" si="61"/>
        <v>VERITY NAT 125 VENDOR</v>
      </c>
    </row>
    <row r="3377" spans="1:10" x14ac:dyDescent="0.3">
      <c r="A3377" t="str">
        <f>""</f>
        <v/>
      </c>
      <c r="G3377" t="str">
        <f>""</f>
        <v/>
      </c>
      <c r="H3377" t="str">
        <f>""</f>
        <v/>
      </c>
      <c r="J3377" t="str">
        <f t="shared" si="61"/>
        <v>VERITY NAT 125 VENDOR</v>
      </c>
    </row>
    <row r="3378" spans="1:10" x14ac:dyDescent="0.3">
      <c r="A3378" t="str">
        <f>""</f>
        <v/>
      </c>
      <c r="G3378" t="str">
        <f>""</f>
        <v/>
      </c>
      <c r="H3378" t="str">
        <f>""</f>
        <v/>
      </c>
      <c r="J3378" t="str">
        <f t="shared" si="61"/>
        <v>VERITY NAT 125 VENDOR</v>
      </c>
    </row>
    <row r="3379" spans="1:10" x14ac:dyDescent="0.3">
      <c r="A3379" t="str">
        <f>""</f>
        <v/>
      </c>
      <c r="G3379" t="str">
        <f>""</f>
        <v/>
      </c>
      <c r="H3379" t="str">
        <f>""</f>
        <v/>
      </c>
      <c r="J3379" t="str">
        <f t="shared" si="61"/>
        <v>VERITY NAT 125 VENDOR</v>
      </c>
    </row>
    <row r="3380" spans="1:10" x14ac:dyDescent="0.3">
      <c r="A3380" t="str">
        <f>""</f>
        <v/>
      </c>
      <c r="G3380" t="str">
        <f>""</f>
        <v/>
      </c>
      <c r="H3380" t="str">
        <f>""</f>
        <v/>
      </c>
      <c r="J3380" t="str">
        <f t="shared" si="61"/>
        <v>VERITY NAT 125 VENDOR</v>
      </c>
    </row>
    <row r="3381" spans="1:10" x14ac:dyDescent="0.3">
      <c r="A3381" t="str">
        <f>""</f>
        <v/>
      </c>
      <c r="G3381" t="str">
        <f>""</f>
        <v/>
      </c>
      <c r="H3381" t="str">
        <f>""</f>
        <v/>
      </c>
      <c r="J3381" t="str">
        <f t="shared" si="61"/>
        <v>VERITY NAT 125 VENDOR</v>
      </c>
    </row>
    <row r="3382" spans="1:10" x14ac:dyDescent="0.3">
      <c r="A3382" t="str">
        <f>""</f>
        <v/>
      </c>
      <c r="G3382" t="str">
        <f>""</f>
        <v/>
      </c>
      <c r="H3382" t="str">
        <f>""</f>
        <v/>
      </c>
      <c r="J3382" t="str">
        <f t="shared" si="61"/>
        <v>VERITY NAT 125 VENDOR</v>
      </c>
    </row>
    <row r="3383" spans="1:10" x14ac:dyDescent="0.3">
      <c r="A3383" t="str">
        <f>""</f>
        <v/>
      </c>
      <c r="G3383" t="str">
        <f>""</f>
        <v/>
      </c>
      <c r="H3383" t="str">
        <f>""</f>
        <v/>
      </c>
      <c r="J3383" t="str">
        <f t="shared" si="61"/>
        <v>VERITY NAT 125 VENDOR</v>
      </c>
    </row>
    <row r="3384" spans="1:10" x14ac:dyDescent="0.3">
      <c r="A3384" t="str">
        <f>""</f>
        <v/>
      </c>
      <c r="G3384" t="str">
        <f>""</f>
        <v/>
      </c>
      <c r="H3384" t="str">
        <f>""</f>
        <v/>
      </c>
      <c r="J3384" t="str">
        <f t="shared" si="61"/>
        <v>VERITY NAT 125 VENDOR</v>
      </c>
    </row>
    <row r="3385" spans="1:10" x14ac:dyDescent="0.3">
      <c r="A3385" t="str">
        <f>""</f>
        <v/>
      </c>
      <c r="G3385" t="str">
        <f>""</f>
        <v/>
      </c>
      <c r="H3385" t="str">
        <f>""</f>
        <v/>
      </c>
      <c r="J3385" t="str">
        <f t="shared" si="61"/>
        <v>VERITY NAT 125 VENDOR</v>
      </c>
    </row>
    <row r="3386" spans="1:10" x14ac:dyDescent="0.3">
      <c r="A3386" t="str">
        <f>""</f>
        <v/>
      </c>
      <c r="G3386" t="str">
        <f>""</f>
        <v/>
      </c>
      <c r="H3386" t="str">
        <f>""</f>
        <v/>
      </c>
      <c r="J3386" t="str">
        <f t="shared" si="61"/>
        <v>VERITY NAT 125 VENDOR</v>
      </c>
    </row>
    <row r="3387" spans="1:10" x14ac:dyDescent="0.3">
      <c r="A3387" t="str">
        <f>""</f>
        <v/>
      </c>
      <c r="G3387" t="str">
        <f>""</f>
        <v/>
      </c>
      <c r="H3387" t="str">
        <f>""</f>
        <v/>
      </c>
      <c r="J3387" t="str">
        <f t="shared" si="61"/>
        <v>VERITY NAT 125 VENDOR</v>
      </c>
    </row>
    <row r="3388" spans="1:10" x14ac:dyDescent="0.3">
      <c r="A3388" t="str">
        <f>""</f>
        <v/>
      </c>
      <c r="F3388" t="s">
        <v>10</v>
      </c>
      <c r="G3388" t="str">
        <f>"FSF201705312318"</f>
        <v>FSF201705312318</v>
      </c>
      <c r="H3388" t="str">
        <f>"VERITY NAT 125 VENDOR"</f>
        <v>VERITY NAT 125 VENDOR</v>
      </c>
      <c r="I3388" s="2">
        <v>25.5</v>
      </c>
      <c r="J3388" t="str">
        <f t="shared" si="61"/>
        <v>VERITY NAT 125 VENDOR</v>
      </c>
    </row>
    <row r="3389" spans="1:10" x14ac:dyDescent="0.3">
      <c r="A3389" t="str">
        <f>""</f>
        <v/>
      </c>
      <c r="G3389" t="str">
        <f>""</f>
        <v/>
      </c>
      <c r="H3389" t="str">
        <f>""</f>
        <v/>
      </c>
      <c r="J3389" t="str">
        <f t="shared" si="61"/>
        <v>VERITY NAT 125 VENDOR</v>
      </c>
    </row>
    <row r="3390" spans="1:10" x14ac:dyDescent="0.3">
      <c r="A3390" t="str">
        <f>""</f>
        <v/>
      </c>
      <c r="F3390" t="s">
        <v>10</v>
      </c>
      <c r="G3390" t="str">
        <f>"FSO201705312317"</f>
        <v>FSO201705312317</v>
      </c>
      <c r="H3390" t="str">
        <f>"VERITY FSA ONLY FEE"</f>
        <v>VERITY FSA ONLY FEE</v>
      </c>
      <c r="I3390" s="2">
        <v>24</v>
      </c>
      <c r="J3390" t="str">
        <f t="shared" ref="J3390:J3399" si="62">"VERITY FSA ONLY FEE"</f>
        <v>VERITY FSA ONLY FEE</v>
      </c>
    </row>
    <row r="3391" spans="1:10" x14ac:dyDescent="0.3">
      <c r="A3391" t="str">
        <f>""</f>
        <v/>
      </c>
      <c r="G3391" t="str">
        <f>""</f>
        <v/>
      </c>
      <c r="H3391" t="str">
        <f>""</f>
        <v/>
      </c>
      <c r="J3391" t="str">
        <f t="shared" si="62"/>
        <v>VERITY FSA ONLY FEE</v>
      </c>
    </row>
    <row r="3392" spans="1:10" x14ac:dyDescent="0.3">
      <c r="A3392" t="str">
        <f>""</f>
        <v/>
      </c>
      <c r="G3392" t="str">
        <f>""</f>
        <v/>
      </c>
      <c r="H3392" t="str">
        <f>""</f>
        <v/>
      </c>
      <c r="J3392" t="str">
        <f t="shared" si="62"/>
        <v>VERITY FSA ONLY FEE</v>
      </c>
    </row>
    <row r="3393" spans="1:10" x14ac:dyDescent="0.3">
      <c r="A3393" t="str">
        <f>""</f>
        <v/>
      </c>
      <c r="G3393" t="str">
        <f>""</f>
        <v/>
      </c>
      <c r="H3393" t="str">
        <f>""</f>
        <v/>
      </c>
      <c r="J3393" t="str">
        <f t="shared" si="62"/>
        <v>VERITY FSA ONLY FEE</v>
      </c>
    </row>
    <row r="3394" spans="1:10" x14ac:dyDescent="0.3">
      <c r="A3394" t="str">
        <f>""</f>
        <v/>
      </c>
      <c r="G3394" t="str">
        <f>""</f>
        <v/>
      </c>
      <c r="H3394" t="str">
        <f>""</f>
        <v/>
      </c>
      <c r="J3394" t="str">
        <f t="shared" si="62"/>
        <v>VERITY FSA ONLY FEE</v>
      </c>
    </row>
    <row r="3395" spans="1:10" x14ac:dyDescent="0.3">
      <c r="A3395" t="str">
        <f>""</f>
        <v/>
      </c>
      <c r="G3395" t="str">
        <f>""</f>
        <v/>
      </c>
      <c r="H3395" t="str">
        <f>""</f>
        <v/>
      </c>
      <c r="J3395" t="str">
        <f t="shared" si="62"/>
        <v>VERITY FSA ONLY FEE</v>
      </c>
    </row>
    <row r="3396" spans="1:10" x14ac:dyDescent="0.3">
      <c r="A3396" t="str">
        <f>""</f>
        <v/>
      </c>
      <c r="G3396" t="str">
        <f>""</f>
        <v/>
      </c>
      <c r="H3396" t="str">
        <f>""</f>
        <v/>
      </c>
      <c r="J3396" t="str">
        <f t="shared" si="62"/>
        <v>VERITY FSA ONLY FEE</v>
      </c>
    </row>
    <row r="3397" spans="1:10" x14ac:dyDescent="0.3">
      <c r="A3397" t="str">
        <f>""</f>
        <v/>
      </c>
      <c r="G3397" t="str">
        <f>""</f>
        <v/>
      </c>
      <c r="H3397" t="str">
        <f>""</f>
        <v/>
      </c>
      <c r="J3397" t="str">
        <f t="shared" si="62"/>
        <v>VERITY FSA ONLY FEE</v>
      </c>
    </row>
    <row r="3398" spans="1:10" x14ac:dyDescent="0.3">
      <c r="A3398" t="str">
        <f>""</f>
        <v/>
      </c>
      <c r="G3398" t="str">
        <f>""</f>
        <v/>
      </c>
      <c r="H3398" t="str">
        <f>""</f>
        <v/>
      </c>
      <c r="J3398" t="str">
        <f t="shared" si="62"/>
        <v>VERITY FSA ONLY FEE</v>
      </c>
    </row>
    <row r="3399" spans="1:10" x14ac:dyDescent="0.3">
      <c r="A3399" t="str">
        <f>""</f>
        <v/>
      </c>
      <c r="G3399" t="str">
        <f>""</f>
        <v/>
      </c>
      <c r="H3399" t="str">
        <f>""</f>
        <v/>
      </c>
      <c r="J3399" t="str">
        <f t="shared" si="62"/>
        <v>VERITY FSA ONLY FEE</v>
      </c>
    </row>
    <row r="3400" spans="1:10" x14ac:dyDescent="0.3">
      <c r="A3400" t="str">
        <f>""</f>
        <v/>
      </c>
      <c r="F3400" t="s">
        <v>10</v>
      </c>
      <c r="G3400" t="str">
        <f>"FSO201705312318"</f>
        <v>FSO201705312318</v>
      </c>
      <c r="H3400" t="str">
        <f>"VERITY FSA ONLY"</f>
        <v>VERITY FSA ONLY</v>
      </c>
      <c r="I3400" s="2">
        <v>3</v>
      </c>
      <c r="J3400" t="str">
        <f>"VERITY FSA ONLY"</f>
        <v>VERITY FSA ONLY</v>
      </c>
    </row>
    <row r="3401" spans="1:10" x14ac:dyDescent="0.3">
      <c r="A3401" t="str">
        <f>""</f>
        <v/>
      </c>
      <c r="G3401" t="str">
        <f>""</f>
        <v/>
      </c>
      <c r="H3401" t="str">
        <f>""</f>
        <v/>
      </c>
      <c r="J3401" t="str">
        <f>"VERITY FSA ONLY"</f>
        <v>VERITY FSA ONLY</v>
      </c>
    </row>
    <row r="3402" spans="1:10" x14ac:dyDescent="0.3">
      <c r="A3402" t="str">
        <f>""</f>
        <v/>
      </c>
      <c r="F3402" t="s">
        <v>10</v>
      </c>
      <c r="G3402" t="str">
        <f>"HRA201705312317"</f>
        <v>HRA201705312317</v>
      </c>
      <c r="H3402" t="str">
        <f>"VERITY HRA FEES"</f>
        <v>VERITY HRA FEES</v>
      </c>
      <c r="I3402" s="2">
        <v>6768.02</v>
      </c>
      <c r="J3402" t="str">
        <f t="shared" ref="J3402:J3449" si="63">"VERITY HRA FEES"</f>
        <v>VERITY HRA FEES</v>
      </c>
    </row>
    <row r="3403" spans="1:10" x14ac:dyDescent="0.3">
      <c r="A3403" t="str">
        <f>""</f>
        <v/>
      </c>
      <c r="G3403" t="str">
        <f>""</f>
        <v/>
      </c>
      <c r="H3403" t="str">
        <f>""</f>
        <v/>
      </c>
      <c r="J3403" t="str">
        <f t="shared" si="63"/>
        <v>VERITY HRA FEES</v>
      </c>
    </row>
    <row r="3404" spans="1:10" x14ac:dyDescent="0.3">
      <c r="A3404" t="str">
        <f>""</f>
        <v/>
      </c>
      <c r="G3404" t="str">
        <f>""</f>
        <v/>
      </c>
      <c r="H3404" t="str">
        <f>""</f>
        <v/>
      </c>
      <c r="J3404" t="str">
        <f t="shared" si="63"/>
        <v>VERITY HRA FEES</v>
      </c>
    </row>
    <row r="3405" spans="1:10" x14ac:dyDescent="0.3">
      <c r="A3405" t="str">
        <f>""</f>
        <v/>
      </c>
      <c r="G3405" t="str">
        <f>""</f>
        <v/>
      </c>
      <c r="H3405" t="str">
        <f>""</f>
        <v/>
      </c>
      <c r="J3405" t="str">
        <f t="shared" si="63"/>
        <v>VERITY HRA FEES</v>
      </c>
    </row>
    <row r="3406" spans="1:10" x14ac:dyDescent="0.3">
      <c r="A3406" t="str">
        <f>""</f>
        <v/>
      </c>
      <c r="G3406" t="str">
        <f>""</f>
        <v/>
      </c>
      <c r="H3406" t="str">
        <f>""</f>
        <v/>
      </c>
      <c r="J3406" t="str">
        <f t="shared" si="63"/>
        <v>VERITY HRA FEES</v>
      </c>
    </row>
    <row r="3407" spans="1:10" x14ac:dyDescent="0.3">
      <c r="A3407" t="str">
        <f>""</f>
        <v/>
      </c>
      <c r="G3407" t="str">
        <f>""</f>
        <v/>
      </c>
      <c r="H3407" t="str">
        <f>""</f>
        <v/>
      </c>
      <c r="J3407" t="str">
        <f t="shared" si="63"/>
        <v>VERITY HRA FEES</v>
      </c>
    </row>
    <row r="3408" spans="1:10" x14ac:dyDescent="0.3">
      <c r="A3408" t="str">
        <f>""</f>
        <v/>
      </c>
      <c r="G3408" t="str">
        <f>""</f>
        <v/>
      </c>
      <c r="H3408" t="str">
        <f>""</f>
        <v/>
      </c>
      <c r="J3408" t="str">
        <f t="shared" si="63"/>
        <v>VERITY HRA FEES</v>
      </c>
    </row>
    <row r="3409" spans="1:10" x14ac:dyDescent="0.3">
      <c r="A3409" t="str">
        <f>""</f>
        <v/>
      </c>
      <c r="G3409" t="str">
        <f>""</f>
        <v/>
      </c>
      <c r="H3409" t="str">
        <f>""</f>
        <v/>
      </c>
      <c r="J3409" t="str">
        <f t="shared" si="63"/>
        <v>VERITY HRA FEES</v>
      </c>
    </row>
    <row r="3410" spans="1:10" x14ac:dyDescent="0.3">
      <c r="A3410" t="str">
        <f>""</f>
        <v/>
      </c>
      <c r="G3410" t="str">
        <f>""</f>
        <v/>
      </c>
      <c r="H3410" t="str">
        <f>""</f>
        <v/>
      </c>
      <c r="J3410" t="str">
        <f t="shared" si="63"/>
        <v>VERITY HRA FEES</v>
      </c>
    </row>
    <row r="3411" spans="1:10" x14ac:dyDescent="0.3">
      <c r="A3411" t="str">
        <f>""</f>
        <v/>
      </c>
      <c r="G3411" t="str">
        <f>""</f>
        <v/>
      </c>
      <c r="H3411" t="str">
        <f>""</f>
        <v/>
      </c>
      <c r="J3411" t="str">
        <f t="shared" si="63"/>
        <v>VERITY HRA FEES</v>
      </c>
    </row>
    <row r="3412" spans="1:10" x14ac:dyDescent="0.3">
      <c r="A3412" t="str">
        <f>""</f>
        <v/>
      </c>
      <c r="G3412" t="str">
        <f>""</f>
        <v/>
      </c>
      <c r="H3412" t="str">
        <f>""</f>
        <v/>
      </c>
      <c r="J3412" t="str">
        <f t="shared" si="63"/>
        <v>VERITY HRA FEES</v>
      </c>
    </row>
    <row r="3413" spans="1:10" x14ac:dyDescent="0.3">
      <c r="A3413" t="str">
        <f>""</f>
        <v/>
      </c>
      <c r="G3413" t="str">
        <f>""</f>
        <v/>
      </c>
      <c r="H3413" t="str">
        <f>""</f>
        <v/>
      </c>
      <c r="J3413" t="str">
        <f t="shared" si="63"/>
        <v>VERITY HRA FEES</v>
      </c>
    </row>
    <row r="3414" spans="1:10" x14ac:dyDescent="0.3">
      <c r="A3414" t="str">
        <f>""</f>
        <v/>
      </c>
      <c r="G3414" t="str">
        <f>""</f>
        <v/>
      </c>
      <c r="H3414" t="str">
        <f>""</f>
        <v/>
      </c>
      <c r="J3414" t="str">
        <f t="shared" si="63"/>
        <v>VERITY HRA FEES</v>
      </c>
    </row>
    <row r="3415" spans="1:10" x14ac:dyDescent="0.3">
      <c r="A3415" t="str">
        <f>""</f>
        <v/>
      </c>
      <c r="G3415" t="str">
        <f>""</f>
        <v/>
      </c>
      <c r="H3415" t="str">
        <f>""</f>
        <v/>
      </c>
      <c r="J3415" t="str">
        <f t="shared" si="63"/>
        <v>VERITY HRA FEES</v>
      </c>
    </row>
    <row r="3416" spans="1:10" x14ac:dyDescent="0.3">
      <c r="A3416" t="str">
        <f>""</f>
        <v/>
      </c>
      <c r="G3416" t="str">
        <f>""</f>
        <v/>
      </c>
      <c r="H3416" t="str">
        <f>""</f>
        <v/>
      </c>
      <c r="J3416" t="str">
        <f t="shared" si="63"/>
        <v>VERITY HRA FEES</v>
      </c>
    </row>
    <row r="3417" spans="1:10" x14ac:dyDescent="0.3">
      <c r="A3417" t="str">
        <f>""</f>
        <v/>
      </c>
      <c r="G3417" t="str">
        <f>""</f>
        <v/>
      </c>
      <c r="H3417" t="str">
        <f>""</f>
        <v/>
      </c>
      <c r="J3417" t="str">
        <f t="shared" si="63"/>
        <v>VERITY HRA FEES</v>
      </c>
    </row>
    <row r="3418" spans="1:10" x14ac:dyDescent="0.3">
      <c r="A3418" t="str">
        <f>""</f>
        <v/>
      </c>
      <c r="G3418" t="str">
        <f>""</f>
        <v/>
      </c>
      <c r="H3418" t="str">
        <f>""</f>
        <v/>
      </c>
      <c r="J3418" t="str">
        <f t="shared" si="63"/>
        <v>VERITY HRA FEES</v>
      </c>
    </row>
    <row r="3419" spans="1:10" x14ac:dyDescent="0.3">
      <c r="A3419" t="str">
        <f>""</f>
        <v/>
      </c>
      <c r="G3419" t="str">
        <f>""</f>
        <v/>
      </c>
      <c r="H3419" t="str">
        <f>""</f>
        <v/>
      </c>
      <c r="J3419" t="str">
        <f t="shared" si="63"/>
        <v>VERITY HRA FEES</v>
      </c>
    </row>
    <row r="3420" spans="1:10" x14ac:dyDescent="0.3">
      <c r="A3420" t="str">
        <f>""</f>
        <v/>
      </c>
      <c r="G3420" t="str">
        <f>""</f>
        <v/>
      </c>
      <c r="H3420" t="str">
        <f>""</f>
        <v/>
      </c>
      <c r="J3420" t="str">
        <f t="shared" si="63"/>
        <v>VERITY HRA FEES</v>
      </c>
    </row>
    <row r="3421" spans="1:10" x14ac:dyDescent="0.3">
      <c r="A3421" t="str">
        <f>""</f>
        <v/>
      </c>
      <c r="G3421" t="str">
        <f>""</f>
        <v/>
      </c>
      <c r="H3421" t="str">
        <f>""</f>
        <v/>
      </c>
      <c r="J3421" t="str">
        <f t="shared" si="63"/>
        <v>VERITY HRA FEES</v>
      </c>
    </row>
    <row r="3422" spans="1:10" x14ac:dyDescent="0.3">
      <c r="A3422" t="str">
        <f>""</f>
        <v/>
      </c>
      <c r="G3422" t="str">
        <f>""</f>
        <v/>
      </c>
      <c r="H3422" t="str">
        <f>""</f>
        <v/>
      </c>
      <c r="J3422" t="str">
        <f t="shared" si="63"/>
        <v>VERITY HRA FEES</v>
      </c>
    </row>
    <row r="3423" spans="1:10" x14ac:dyDescent="0.3">
      <c r="A3423" t="str">
        <f>""</f>
        <v/>
      </c>
      <c r="G3423" t="str">
        <f>""</f>
        <v/>
      </c>
      <c r="H3423" t="str">
        <f>""</f>
        <v/>
      </c>
      <c r="J3423" t="str">
        <f t="shared" si="63"/>
        <v>VERITY HRA FEES</v>
      </c>
    </row>
    <row r="3424" spans="1:10" x14ac:dyDescent="0.3">
      <c r="A3424" t="str">
        <f>""</f>
        <v/>
      </c>
      <c r="G3424" t="str">
        <f>""</f>
        <v/>
      </c>
      <c r="H3424" t="str">
        <f>""</f>
        <v/>
      </c>
      <c r="J3424" t="str">
        <f t="shared" si="63"/>
        <v>VERITY HRA FEES</v>
      </c>
    </row>
    <row r="3425" spans="1:10" x14ac:dyDescent="0.3">
      <c r="A3425" t="str">
        <f>""</f>
        <v/>
      </c>
      <c r="G3425" t="str">
        <f>""</f>
        <v/>
      </c>
      <c r="H3425" t="str">
        <f>""</f>
        <v/>
      </c>
      <c r="J3425" t="str">
        <f t="shared" si="63"/>
        <v>VERITY HRA FEES</v>
      </c>
    </row>
    <row r="3426" spans="1:10" x14ac:dyDescent="0.3">
      <c r="A3426" t="str">
        <f>""</f>
        <v/>
      </c>
      <c r="G3426" t="str">
        <f>""</f>
        <v/>
      </c>
      <c r="H3426" t="str">
        <f>""</f>
        <v/>
      </c>
      <c r="J3426" t="str">
        <f t="shared" si="63"/>
        <v>VERITY HRA FEES</v>
      </c>
    </row>
    <row r="3427" spans="1:10" x14ac:dyDescent="0.3">
      <c r="A3427" t="str">
        <f>""</f>
        <v/>
      </c>
      <c r="G3427" t="str">
        <f>""</f>
        <v/>
      </c>
      <c r="H3427" t="str">
        <f>""</f>
        <v/>
      </c>
      <c r="J3427" t="str">
        <f t="shared" si="63"/>
        <v>VERITY HRA FEES</v>
      </c>
    </row>
    <row r="3428" spans="1:10" x14ac:dyDescent="0.3">
      <c r="A3428" t="str">
        <f>""</f>
        <v/>
      </c>
      <c r="G3428" t="str">
        <f>""</f>
        <v/>
      </c>
      <c r="H3428" t="str">
        <f>""</f>
        <v/>
      </c>
      <c r="J3428" t="str">
        <f t="shared" si="63"/>
        <v>VERITY HRA FEES</v>
      </c>
    </row>
    <row r="3429" spans="1:10" x14ac:dyDescent="0.3">
      <c r="A3429" t="str">
        <f>""</f>
        <v/>
      </c>
      <c r="G3429" t="str">
        <f>""</f>
        <v/>
      </c>
      <c r="H3429" t="str">
        <f>""</f>
        <v/>
      </c>
      <c r="J3429" t="str">
        <f t="shared" si="63"/>
        <v>VERITY HRA FEES</v>
      </c>
    </row>
    <row r="3430" spans="1:10" x14ac:dyDescent="0.3">
      <c r="A3430" t="str">
        <f>""</f>
        <v/>
      </c>
      <c r="G3430" t="str">
        <f>""</f>
        <v/>
      </c>
      <c r="H3430" t="str">
        <f>""</f>
        <v/>
      </c>
      <c r="J3430" t="str">
        <f t="shared" si="63"/>
        <v>VERITY HRA FEES</v>
      </c>
    </row>
    <row r="3431" spans="1:10" x14ac:dyDescent="0.3">
      <c r="A3431" t="str">
        <f>""</f>
        <v/>
      </c>
      <c r="G3431" t="str">
        <f>""</f>
        <v/>
      </c>
      <c r="H3431" t="str">
        <f>""</f>
        <v/>
      </c>
      <c r="J3431" t="str">
        <f t="shared" si="63"/>
        <v>VERITY HRA FEES</v>
      </c>
    </row>
    <row r="3432" spans="1:10" x14ac:dyDescent="0.3">
      <c r="A3432" t="str">
        <f>""</f>
        <v/>
      </c>
      <c r="G3432" t="str">
        <f>""</f>
        <v/>
      </c>
      <c r="H3432" t="str">
        <f>""</f>
        <v/>
      </c>
      <c r="J3432" t="str">
        <f t="shared" si="63"/>
        <v>VERITY HRA FEES</v>
      </c>
    </row>
    <row r="3433" spans="1:10" x14ac:dyDescent="0.3">
      <c r="A3433" t="str">
        <f>""</f>
        <v/>
      </c>
      <c r="G3433" t="str">
        <f>""</f>
        <v/>
      </c>
      <c r="H3433" t="str">
        <f>""</f>
        <v/>
      </c>
      <c r="J3433" t="str">
        <f t="shared" si="63"/>
        <v>VERITY HRA FEES</v>
      </c>
    </row>
    <row r="3434" spans="1:10" x14ac:dyDescent="0.3">
      <c r="A3434" t="str">
        <f>""</f>
        <v/>
      </c>
      <c r="G3434" t="str">
        <f>""</f>
        <v/>
      </c>
      <c r="H3434" t="str">
        <f>""</f>
        <v/>
      </c>
      <c r="J3434" t="str">
        <f t="shared" si="63"/>
        <v>VERITY HRA FEES</v>
      </c>
    </row>
    <row r="3435" spans="1:10" x14ac:dyDescent="0.3">
      <c r="A3435" t="str">
        <f>""</f>
        <v/>
      </c>
      <c r="G3435" t="str">
        <f>""</f>
        <v/>
      </c>
      <c r="H3435" t="str">
        <f>""</f>
        <v/>
      </c>
      <c r="J3435" t="str">
        <f t="shared" si="63"/>
        <v>VERITY HRA FEES</v>
      </c>
    </row>
    <row r="3436" spans="1:10" x14ac:dyDescent="0.3">
      <c r="A3436" t="str">
        <f>""</f>
        <v/>
      </c>
      <c r="G3436" t="str">
        <f>""</f>
        <v/>
      </c>
      <c r="H3436" t="str">
        <f>""</f>
        <v/>
      </c>
      <c r="J3436" t="str">
        <f t="shared" si="63"/>
        <v>VERITY HRA FEES</v>
      </c>
    </row>
    <row r="3437" spans="1:10" x14ac:dyDescent="0.3">
      <c r="A3437" t="str">
        <f>""</f>
        <v/>
      </c>
      <c r="G3437" t="str">
        <f>""</f>
        <v/>
      </c>
      <c r="H3437" t="str">
        <f>""</f>
        <v/>
      </c>
      <c r="J3437" t="str">
        <f t="shared" si="63"/>
        <v>VERITY HRA FEES</v>
      </c>
    </row>
    <row r="3438" spans="1:10" x14ac:dyDescent="0.3">
      <c r="A3438" t="str">
        <f>""</f>
        <v/>
      </c>
      <c r="G3438" t="str">
        <f>""</f>
        <v/>
      </c>
      <c r="H3438" t="str">
        <f>""</f>
        <v/>
      </c>
      <c r="J3438" t="str">
        <f t="shared" si="63"/>
        <v>VERITY HRA FEES</v>
      </c>
    </row>
    <row r="3439" spans="1:10" x14ac:dyDescent="0.3">
      <c r="A3439" t="str">
        <f>""</f>
        <v/>
      </c>
      <c r="G3439" t="str">
        <f>""</f>
        <v/>
      </c>
      <c r="H3439" t="str">
        <f>""</f>
        <v/>
      </c>
      <c r="J3439" t="str">
        <f t="shared" si="63"/>
        <v>VERITY HRA FEES</v>
      </c>
    </row>
    <row r="3440" spans="1:10" x14ac:dyDescent="0.3">
      <c r="A3440" t="str">
        <f>""</f>
        <v/>
      </c>
      <c r="G3440" t="str">
        <f>""</f>
        <v/>
      </c>
      <c r="H3440" t="str">
        <f>""</f>
        <v/>
      </c>
      <c r="J3440" t="str">
        <f t="shared" si="63"/>
        <v>VERITY HRA FEES</v>
      </c>
    </row>
    <row r="3441" spans="1:10" x14ac:dyDescent="0.3">
      <c r="A3441" t="str">
        <f>""</f>
        <v/>
      </c>
      <c r="G3441" t="str">
        <f>""</f>
        <v/>
      </c>
      <c r="H3441" t="str">
        <f>""</f>
        <v/>
      </c>
      <c r="J3441" t="str">
        <f t="shared" si="63"/>
        <v>VERITY HRA FEES</v>
      </c>
    </row>
    <row r="3442" spans="1:10" x14ac:dyDescent="0.3">
      <c r="A3442" t="str">
        <f>""</f>
        <v/>
      </c>
      <c r="G3442" t="str">
        <f>""</f>
        <v/>
      </c>
      <c r="H3442" t="str">
        <f>""</f>
        <v/>
      </c>
      <c r="J3442" t="str">
        <f t="shared" si="63"/>
        <v>VERITY HRA FEES</v>
      </c>
    </row>
    <row r="3443" spans="1:10" x14ac:dyDescent="0.3">
      <c r="A3443" t="str">
        <f>""</f>
        <v/>
      </c>
      <c r="G3443" t="str">
        <f>""</f>
        <v/>
      </c>
      <c r="H3443" t="str">
        <f>""</f>
        <v/>
      </c>
      <c r="J3443" t="str">
        <f t="shared" si="63"/>
        <v>VERITY HRA FEES</v>
      </c>
    </row>
    <row r="3444" spans="1:10" x14ac:dyDescent="0.3">
      <c r="A3444" t="str">
        <f>""</f>
        <v/>
      </c>
      <c r="G3444" t="str">
        <f>""</f>
        <v/>
      </c>
      <c r="H3444" t="str">
        <f>""</f>
        <v/>
      </c>
      <c r="J3444" t="str">
        <f t="shared" si="63"/>
        <v>VERITY HRA FEES</v>
      </c>
    </row>
    <row r="3445" spans="1:10" x14ac:dyDescent="0.3">
      <c r="A3445" t="str">
        <f>""</f>
        <v/>
      </c>
      <c r="G3445" t="str">
        <f>""</f>
        <v/>
      </c>
      <c r="H3445" t="str">
        <f>""</f>
        <v/>
      </c>
      <c r="J3445" t="str">
        <f t="shared" si="63"/>
        <v>VERITY HRA FEES</v>
      </c>
    </row>
    <row r="3446" spans="1:10" x14ac:dyDescent="0.3">
      <c r="A3446" t="str">
        <f>""</f>
        <v/>
      </c>
      <c r="G3446" t="str">
        <f>""</f>
        <v/>
      </c>
      <c r="H3446" t="str">
        <f>""</f>
        <v/>
      </c>
      <c r="J3446" t="str">
        <f t="shared" si="63"/>
        <v>VERITY HRA FEES</v>
      </c>
    </row>
    <row r="3447" spans="1:10" x14ac:dyDescent="0.3">
      <c r="A3447" t="str">
        <f>""</f>
        <v/>
      </c>
      <c r="G3447" t="str">
        <f>""</f>
        <v/>
      </c>
      <c r="H3447" t="str">
        <f>""</f>
        <v/>
      </c>
      <c r="J3447" t="str">
        <f t="shared" si="63"/>
        <v>VERITY HRA FEES</v>
      </c>
    </row>
    <row r="3448" spans="1:10" x14ac:dyDescent="0.3">
      <c r="A3448" t="str">
        <f>""</f>
        <v/>
      </c>
      <c r="G3448" t="str">
        <f>""</f>
        <v/>
      </c>
      <c r="H3448" t="str">
        <f>""</f>
        <v/>
      </c>
      <c r="J3448" t="str">
        <f t="shared" si="63"/>
        <v>VERITY HRA FEES</v>
      </c>
    </row>
    <row r="3449" spans="1:10" x14ac:dyDescent="0.3">
      <c r="A3449" t="str">
        <f>""</f>
        <v/>
      </c>
      <c r="F3449" t="s">
        <v>10</v>
      </c>
      <c r="G3449" t="str">
        <f>"HRA201705312318"</f>
        <v>HRA201705312318</v>
      </c>
      <c r="H3449" t="str">
        <f>"VERITY HRA FEES"</f>
        <v>VERITY HRA FEES</v>
      </c>
      <c r="I3449" s="2">
        <v>200</v>
      </c>
      <c r="J3449" t="str">
        <f t="shared" si="63"/>
        <v>VERITY HRA FEES</v>
      </c>
    </row>
    <row r="3450" spans="1:10" x14ac:dyDescent="0.3">
      <c r="A3450" t="str">
        <f>""</f>
        <v/>
      </c>
      <c r="F3450" t="s">
        <v>10</v>
      </c>
      <c r="G3450" t="str">
        <f>"HRF201705312317"</f>
        <v>HRF201705312317</v>
      </c>
      <c r="H3450" t="str">
        <f>"VERITY HRA FEE"</f>
        <v>VERITY HRA FEE</v>
      </c>
      <c r="I3450" s="2">
        <v>774</v>
      </c>
      <c r="J3450" t="str">
        <f t="shared" ref="J3450:J3489" si="64">"VERITY HRA FEE"</f>
        <v>VERITY HRA FEE</v>
      </c>
    </row>
    <row r="3451" spans="1:10" x14ac:dyDescent="0.3">
      <c r="A3451" t="str">
        <f>""</f>
        <v/>
      </c>
      <c r="G3451" t="str">
        <f>""</f>
        <v/>
      </c>
      <c r="H3451" t="str">
        <f>""</f>
        <v/>
      </c>
      <c r="J3451" t="str">
        <f t="shared" si="64"/>
        <v>VERITY HRA FEE</v>
      </c>
    </row>
    <row r="3452" spans="1:10" x14ac:dyDescent="0.3">
      <c r="A3452" t="str">
        <f>""</f>
        <v/>
      </c>
      <c r="G3452" t="str">
        <f>""</f>
        <v/>
      </c>
      <c r="H3452" t="str">
        <f>""</f>
        <v/>
      </c>
      <c r="J3452" t="str">
        <f t="shared" si="64"/>
        <v>VERITY HRA FEE</v>
      </c>
    </row>
    <row r="3453" spans="1:10" x14ac:dyDescent="0.3">
      <c r="A3453" t="str">
        <f>""</f>
        <v/>
      </c>
      <c r="G3453" t="str">
        <f>""</f>
        <v/>
      </c>
      <c r="H3453" t="str">
        <f>""</f>
        <v/>
      </c>
      <c r="J3453" t="str">
        <f t="shared" si="64"/>
        <v>VERITY HRA FEE</v>
      </c>
    </row>
    <row r="3454" spans="1:10" x14ac:dyDescent="0.3">
      <c r="A3454" t="str">
        <f>""</f>
        <v/>
      </c>
      <c r="G3454" t="str">
        <f>""</f>
        <v/>
      </c>
      <c r="H3454" t="str">
        <f>""</f>
        <v/>
      </c>
      <c r="J3454" t="str">
        <f t="shared" si="64"/>
        <v>VERITY HRA FEE</v>
      </c>
    </row>
    <row r="3455" spans="1:10" x14ac:dyDescent="0.3">
      <c r="A3455" t="str">
        <f>""</f>
        <v/>
      </c>
      <c r="G3455" t="str">
        <f>""</f>
        <v/>
      </c>
      <c r="H3455" t="str">
        <f>""</f>
        <v/>
      </c>
      <c r="J3455" t="str">
        <f t="shared" si="64"/>
        <v>VERITY HRA FEE</v>
      </c>
    </row>
    <row r="3456" spans="1:10" x14ac:dyDescent="0.3">
      <c r="A3456" t="str">
        <f>""</f>
        <v/>
      </c>
      <c r="G3456" t="str">
        <f>""</f>
        <v/>
      </c>
      <c r="H3456" t="str">
        <f>""</f>
        <v/>
      </c>
      <c r="J3456" t="str">
        <f t="shared" si="64"/>
        <v>VERITY HRA FEE</v>
      </c>
    </row>
    <row r="3457" spans="1:10" x14ac:dyDescent="0.3">
      <c r="A3457" t="str">
        <f>""</f>
        <v/>
      </c>
      <c r="G3457" t="str">
        <f>""</f>
        <v/>
      </c>
      <c r="H3457" t="str">
        <f>""</f>
        <v/>
      </c>
      <c r="J3457" t="str">
        <f t="shared" si="64"/>
        <v>VERITY HRA FEE</v>
      </c>
    </row>
    <row r="3458" spans="1:10" x14ac:dyDescent="0.3">
      <c r="A3458" t="str">
        <f>""</f>
        <v/>
      </c>
      <c r="G3458" t="str">
        <f>""</f>
        <v/>
      </c>
      <c r="H3458" t="str">
        <f>""</f>
        <v/>
      </c>
      <c r="J3458" t="str">
        <f t="shared" si="64"/>
        <v>VERITY HRA FEE</v>
      </c>
    </row>
    <row r="3459" spans="1:10" x14ac:dyDescent="0.3">
      <c r="A3459" t="str">
        <f>""</f>
        <v/>
      </c>
      <c r="G3459" t="str">
        <f>""</f>
        <v/>
      </c>
      <c r="H3459" t="str">
        <f>""</f>
        <v/>
      </c>
      <c r="J3459" t="str">
        <f t="shared" si="64"/>
        <v>VERITY HRA FEE</v>
      </c>
    </row>
    <row r="3460" spans="1:10" x14ac:dyDescent="0.3">
      <c r="A3460" t="str">
        <f>""</f>
        <v/>
      </c>
      <c r="G3460" t="str">
        <f>""</f>
        <v/>
      </c>
      <c r="H3460" t="str">
        <f>""</f>
        <v/>
      </c>
      <c r="J3460" t="str">
        <f t="shared" si="64"/>
        <v>VERITY HRA FEE</v>
      </c>
    </row>
    <row r="3461" spans="1:10" x14ac:dyDescent="0.3">
      <c r="A3461" t="str">
        <f>""</f>
        <v/>
      </c>
      <c r="G3461" t="str">
        <f>""</f>
        <v/>
      </c>
      <c r="H3461" t="str">
        <f>""</f>
        <v/>
      </c>
      <c r="J3461" t="str">
        <f t="shared" si="64"/>
        <v>VERITY HRA FEE</v>
      </c>
    </row>
    <row r="3462" spans="1:10" x14ac:dyDescent="0.3">
      <c r="A3462" t="str">
        <f>""</f>
        <v/>
      </c>
      <c r="G3462" t="str">
        <f>""</f>
        <v/>
      </c>
      <c r="H3462" t="str">
        <f>""</f>
        <v/>
      </c>
      <c r="J3462" t="str">
        <f t="shared" si="64"/>
        <v>VERITY HRA FEE</v>
      </c>
    </row>
    <row r="3463" spans="1:10" x14ac:dyDescent="0.3">
      <c r="A3463" t="str">
        <f>""</f>
        <v/>
      </c>
      <c r="G3463" t="str">
        <f>""</f>
        <v/>
      </c>
      <c r="H3463" t="str">
        <f>""</f>
        <v/>
      </c>
      <c r="J3463" t="str">
        <f t="shared" si="64"/>
        <v>VERITY HRA FEE</v>
      </c>
    </row>
    <row r="3464" spans="1:10" x14ac:dyDescent="0.3">
      <c r="A3464" t="str">
        <f>""</f>
        <v/>
      </c>
      <c r="G3464" t="str">
        <f>""</f>
        <v/>
      </c>
      <c r="H3464" t="str">
        <f>""</f>
        <v/>
      </c>
      <c r="J3464" t="str">
        <f t="shared" si="64"/>
        <v>VERITY HRA FEE</v>
      </c>
    </row>
    <row r="3465" spans="1:10" x14ac:dyDescent="0.3">
      <c r="A3465" t="str">
        <f>""</f>
        <v/>
      </c>
      <c r="G3465" t="str">
        <f>""</f>
        <v/>
      </c>
      <c r="H3465" t="str">
        <f>""</f>
        <v/>
      </c>
      <c r="J3465" t="str">
        <f t="shared" si="64"/>
        <v>VERITY HRA FEE</v>
      </c>
    </row>
    <row r="3466" spans="1:10" x14ac:dyDescent="0.3">
      <c r="A3466" t="str">
        <f>""</f>
        <v/>
      </c>
      <c r="G3466" t="str">
        <f>""</f>
        <v/>
      </c>
      <c r="H3466" t="str">
        <f>""</f>
        <v/>
      </c>
      <c r="J3466" t="str">
        <f t="shared" si="64"/>
        <v>VERITY HRA FEE</v>
      </c>
    </row>
    <row r="3467" spans="1:10" x14ac:dyDescent="0.3">
      <c r="A3467" t="str">
        <f>""</f>
        <v/>
      </c>
      <c r="G3467" t="str">
        <f>""</f>
        <v/>
      </c>
      <c r="H3467" t="str">
        <f>""</f>
        <v/>
      </c>
      <c r="J3467" t="str">
        <f t="shared" si="64"/>
        <v>VERITY HRA FEE</v>
      </c>
    </row>
    <row r="3468" spans="1:10" x14ac:dyDescent="0.3">
      <c r="A3468" t="str">
        <f>""</f>
        <v/>
      </c>
      <c r="G3468" t="str">
        <f>""</f>
        <v/>
      </c>
      <c r="H3468" t="str">
        <f>""</f>
        <v/>
      </c>
      <c r="J3468" t="str">
        <f t="shared" si="64"/>
        <v>VERITY HRA FEE</v>
      </c>
    </row>
    <row r="3469" spans="1:10" x14ac:dyDescent="0.3">
      <c r="A3469" t="str">
        <f>""</f>
        <v/>
      </c>
      <c r="G3469" t="str">
        <f>""</f>
        <v/>
      </c>
      <c r="H3469" t="str">
        <f>""</f>
        <v/>
      </c>
      <c r="J3469" t="str">
        <f t="shared" si="64"/>
        <v>VERITY HRA FEE</v>
      </c>
    </row>
    <row r="3470" spans="1:10" x14ac:dyDescent="0.3">
      <c r="A3470" t="str">
        <f>""</f>
        <v/>
      </c>
      <c r="G3470" t="str">
        <f>""</f>
        <v/>
      </c>
      <c r="H3470" t="str">
        <f>""</f>
        <v/>
      </c>
      <c r="J3470" t="str">
        <f t="shared" si="64"/>
        <v>VERITY HRA FEE</v>
      </c>
    </row>
    <row r="3471" spans="1:10" x14ac:dyDescent="0.3">
      <c r="A3471" t="str">
        <f>""</f>
        <v/>
      </c>
      <c r="G3471" t="str">
        <f>""</f>
        <v/>
      </c>
      <c r="H3471" t="str">
        <f>""</f>
        <v/>
      </c>
      <c r="J3471" t="str">
        <f t="shared" si="64"/>
        <v>VERITY HRA FEE</v>
      </c>
    </row>
    <row r="3472" spans="1:10" x14ac:dyDescent="0.3">
      <c r="A3472" t="str">
        <f>""</f>
        <v/>
      </c>
      <c r="G3472" t="str">
        <f>""</f>
        <v/>
      </c>
      <c r="H3472" t="str">
        <f>""</f>
        <v/>
      </c>
      <c r="J3472" t="str">
        <f t="shared" si="64"/>
        <v>VERITY HRA FEE</v>
      </c>
    </row>
    <row r="3473" spans="1:10" x14ac:dyDescent="0.3">
      <c r="A3473" t="str">
        <f>""</f>
        <v/>
      </c>
      <c r="G3473" t="str">
        <f>""</f>
        <v/>
      </c>
      <c r="H3473" t="str">
        <f>""</f>
        <v/>
      </c>
      <c r="J3473" t="str">
        <f t="shared" si="64"/>
        <v>VERITY HRA FEE</v>
      </c>
    </row>
    <row r="3474" spans="1:10" x14ac:dyDescent="0.3">
      <c r="A3474" t="str">
        <f>""</f>
        <v/>
      </c>
      <c r="G3474" t="str">
        <f>""</f>
        <v/>
      </c>
      <c r="H3474" t="str">
        <f>""</f>
        <v/>
      </c>
      <c r="J3474" t="str">
        <f t="shared" si="64"/>
        <v>VERITY HRA FEE</v>
      </c>
    </row>
    <row r="3475" spans="1:10" x14ac:dyDescent="0.3">
      <c r="A3475" t="str">
        <f>""</f>
        <v/>
      </c>
      <c r="G3475" t="str">
        <f>""</f>
        <v/>
      </c>
      <c r="H3475" t="str">
        <f>""</f>
        <v/>
      </c>
      <c r="J3475" t="str">
        <f t="shared" si="64"/>
        <v>VERITY HRA FEE</v>
      </c>
    </row>
    <row r="3476" spans="1:10" x14ac:dyDescent="0.3">
      <c r="A3476" t="str">
        <f>""</f>
        <v/>
      </c>
      <c r="G3476" t="str">
        <f>""</f>
        <v/>
      </c>
      <c r="H3476" t="str">
        <f>""</f>
        <v/>
      </c>
      <c r="J3476" t="str">
        <f t="shared" si="64"/>
        <v>VERITY HRA FEE</v>
      </c>
    </row>
    <row r="3477" spans="1:10" x14ac:dyDescent="0.3">
      <c r="A3477" t="str">
        <f>""</f>
        <v/>
      </c>
      <c r="G3477" t="str">
        <f>""</f>
        <v/>
      </c>
      <c r="H3477" t="str">
        <f>""</f>
        <v/>
      </c>
      <c r="J3477" t="str">
        <f t="shared" si="64"/>
        <v>VERITY HRA FEE</v>
      </c>
    </row>
    <row r="3478" spans="1:10" x14ac:dyDescent="0.3">
      <c r="A3478" t="str">
        <f>""</f>
        <v/>
      </c>
      <c r="G3478" t="str">
        <f>""</f>
        <v/>
      </c>
      <c r="H3478" t="str">
        <f>""</f>
        <v/>
      </c>
      <c r="J3478" t="str">
        <f t="shared" si="64"/>
        <v>VERITY HRA FEE</v>
      </c>
    </row>
    <row r="3479" spans="1:10" x14ac:dyDescent="0.3">
      <c r="A3479" t="str">
        <f>""</f>
        <v/>
      </c>
      <c r="G3479" t="str">
        <f>""</f>
        <v/>
      </c>
      <c r="H3479" t="str">
        <f>""</f>
        <v/>
      </c>
      <c r="J3479" t="str">
        <f t="shared" si="64"/>
        <v>VERITY HRA FEE</v>
      </c>
    </row>
    <row r="3480" spans="1:10" x14ac:dyDescent="0.3">
      <c r="A3480" t="str">
        <f>""</f>
        <v/>
      </c>
      <c r="G3480" t="str">
        <f>""</f>
        <v/>
      </c>
      <c r="H3480" t="str">
        <f>""</f>
        <v/>
      </c>
      <c r="J3480" t="str">
        <f t="shared" si="64"/>
        <v>VERITY HRA FEE</v>
      </c>
    </row>
    <row r="3481" spans="1:10" x14ac:dyDescent="0.3">
      <c r="A3481" t="str">
        <f>""</f>
        <v/>
      </c>
      <c r="G3481" t="str">
        <f>""</f>
        <v/>
      </c>
      <c r="H3481" t="str">
        <f>""</f>
        <v/>
      </c>
      <c r="J3481" t="str">
        <f t="shared" si="64"/>
        <v>VERITY HRA FEE</v>
      </c>
    </row>
    <row r="3482" spans="1:10" x14ac:dyDescent="0.3">
      <c r="A3482" t="str">
        <f>""</f>
        <v/>
      </c>
      <c r="G3482" t="str">
        <f>""</f>
        <v/>
      </c>
      <c r="H3482" t="str">
        <f>""</f>
        <v/>
      </c>
      <c r="J3482" t="str">
        <f t="shared" si="64"/>
        <v>VERITY HRA FEE</v>
      </c>
    </row>
    <row r="3483" spans="1:10" x14ac:dyDescent="0.3">
      <c r="A3483" t="str">
        <f>""</f>
        <v/>
      </c>
      <c r="G3483" t="str">
        <f>""</f>
        <v/>
      </c>
      <c r="H3483" t="str">
        <f>""</f>
        <v/>
      </c>
      <c r="J3483" t="str">
        <f t="shared" si="64"/>
        <v>VERITY HRA FEE</v>
      </c>
    </row>
    <row r="3484" spans="1:10" x14ac:dyDescent="0.3">
      <c r="A3484" t="str">
        <f>""</f>
        <v/>
      </c>
      <c r="G3484" t="str">
        <f>""</f>
        <v/>
      </c>
      <c r="H3484" t="str">
        <f>""</f>
        <v/>
      </c>
      <c r="J3484" t="str">
        <f t="shared" si="64"/>
        <v>VERITY HRA FEE</v>
      </c>
    </row>
    <row r="3485" spans="1:10" x14ac:dyDescent="0.3">
      <c r="A3485" t="str">
        <f>""</f>
        <v/>
      </c>
      <c r="G3485" t="str">
        <f>""</f>
        <v/>
      </c>
      <c r="H3485" t="str">
        <f>""</f>
        <v/>
      </c>
      <c r="J3485" t="str">
        <f t="shared" si="64"/>
        <v>VERITY HRA FEE</v>
      </c>
    </row>
    <row r="3486" spans="1:10" x14ac:dyDescent="0.3">
      <c r="A3486" t="str">
        <f>""</f>
        <v/>
      </c>
      <c r="G3486" t="str">
        <f>""</f>
        <v/>
      </c>
      <c r="H3486" t="str">
        <f>""</f>
        <v/>
      </c>
      <c r="J3486" t="str">
        <f t="shared" si="64"/>
        <v>VERITY HRA FEE</v>
      </c>
    </row>
    <row r="3487" spans="1:10" x14ac:dyDescent="0.3">
      <c r="A3487" t="str">
        <f>""</f>
        <v/>
      </c>
      <c r="G3487" t="str">
        <f>""</f>
        <v/>
      </c>
      <c r="H3487" t="str">
        <f>""</f>
        <v/>
      </c>
      <c r="J3487" t="str">
        <f t="shared" si="64"/>
        <v>VERITY HRA FEE</v>
      </c>
    </row>
    <row r="3488" spans="1:10" x14ac:dyDescent="0.3">
      <c r="A3488" t="str">
        <f>""</f>
        <v/>
      </c>
      <c r="G3488" t="str">
        <f>""</f>
        <v/>
      </c>
      <c r="H3488" t="str">
        <f>""</f>
        <v/>
      </c>
      <c r="J3488" t="str">
        <f t="shared" si="64"/>
        <v>VERITY HRA FEE</v>
      </c>
    </row>
    <row r="3489" spans="1:10" x14ac:dyDescent="0.3">
      <c r="A3489" t="str">
        <f>""</f>
        <v/>
      </c>
      <c r="F3489" t="s">
        <v>10</v>
      </c>
      <c r="G3489" t="str">
        <f>"HRF201705312318"</f>
        <v>HRF201705312318</v>
      </c>
      <c r="H3489" t="str">
        <f>"VERITY HRA FEE"</f>
        <v>VERITY HRA FEE</v>
      </c>
      <c r="I3489" s="2">
        <v>30</v>
      </c>
      <c r="J3489" t="str">
        <f t="shared" si="64"/>
        <v>VERITY HRA FEE</v>
      </c>
    </row>
    <row r="3490" spans="1:10" x14ac:dyDescent="0.3">
      <c r="A3490" t="str">
        <f>"VERITY"</f>
        <v>VERITY</v>
      </c>
      <c r="B3490" t="s">
        <v>580</v>
      </c>
      <c r="C3490">
        <v>0</v>
      </c>
      <c r="D3490" s="2">
        <v>17663.88</v>
      </c>
      <c r="E3490" s="1">
        <v>42902</v>
      </c>
      <c r="F3490" t="s">
        <v>10</v>
      </c>
      <c r="G3490" t="str">
        <f>"FSA201706143096"</f>
        <v>FSA201706143096</v>
      </c>
      <c r="H3490" t="str">
        <f>"VERITY NAT 125 VENDOR"</f>
        <v>VERITY NAT 125 VENDOR</v>
      </c>
      <c r="I3490" s="2">
        <v>8265.5300000000007</v>
      </c>
      <c r="J3490" t="str">
        <f>"VERITY NAT 125 VENDOR"</f>
        <v>VERITY NAT 125 VENDOR</v>
      </c>
    </row>
    <row r="3491" spans="1:10" x14ac:dyDescent="0.3">
      <c r="A3491" t="str">
        <f>""</f>
        <v/>
      </c>
      <c r="F3491" t="s">
        <v>10</v>
      </c>
      <c r="G3491" t="str">
        <f>"FSA201706143098"</f>
        <v>FSA201706143098</v>
      </c>
      <c r="H3491" t="str">
        <f>"VERITY NAT 125 VENDOR"</f>
        <v>VERITY NAT 125 VENDOR</v>
      </c>
      <c r="I3491" s="2">
        <v>528.16999999999996</v>
      </c>
      <c r="J3491" t="str">
        <f>"VERITY NAT 125 VENDOR"</f>
        <v>VERITY NAT 125 VENDOR</v>
      </c>
    </row>
    <row r="3492" spans="1:10" x14ac:dyDescent="0.3">
      <c r="A3492" t="str">
        <f>""</f>
        <v/>
      </c>
      <c r="F3492" t="s">
        <v>10</v>
      </c>
      <c r="G3492" t="str">
        <f>"FSC201706143096"</f>
        <v>FSC201706143096</v>
      </c>
      <c r="H3492" t="str">
        <f>"VERITY NAT 125 DEP CARE"</f>
        <v>VERITY NAT 125 DEP CARE</v>
      </c>
      <c r="I3492" s="2">
        <v>416.66</v>
      </c>
      <c r="J3492" t="str">
        <f>"VERITY NAT 125 DEP CARE"</f>
        <v>VERITY NAT 125 DEP CARE</v>
      </c>
    </row>
    <row r="3493" spans="1:10" x14ac:dyDescent="0.3">
      <c r="A3493" t="str">
        <f>""</f>
        <v/>
      </c>
      <c r="F3493" t="s">
        <v>10</v>
      </c>
      <c r="G3493" t="str">
        <f>"FSF201706143096"</f>
        <v>FSF201706143096</v>
      </c>
      <c r="H3493" t="str">
        <f>"VERITY NAT 125 VENDOR"</f>
        <v>VERITY NAT 125 VENDOR</v>
      </c>
      <c r="I3493" s="2">
        <v>629</v>
      </c>
      <c r="J3493" t="str">
        <f t="shared" ref="J3493:J3532" si="65">"VERITY NAT 125 VENDOR"</f>
        <v>VERITY NAT 125 VENDOR</v>
      </c>
    </row>
    <row r="3494" spans="1:10" x14ac:dyDescent="0.3">
      <c r="A3494" t="str">
        <f>""</f>
        <v/>
      </c>
      <c r="G3494" t="str">
        <f>""</f>
        <v/>
      </c>
      <c r="H3494" t="str">
        <f>""</f>
        <v/>
      </c>
      <c r="J3494" t="str">
        <f t="shared" si="65"/>
        <v>VERITY NAT 125 VENDOR</v>
      </c>
    </row>
    <row r="3495" spans="1:10" x14ac:dyDescent="0.3">
      <c r="A3495" t="str">
        <f>""</f>
        <v/>
      </c>
      <c r="G3495" t="str">
        <f>""</f>
        <v/>
      </c>
      <c r="H3495" t="str">
        <f>""</f>
        <v/>
      </c>
      <c r="J3495" t="str">
        <f t="shared" si="65"/>
        <v>VERITY NAT 125 VENDOR</v>
      </c>
    </row>
    <row r="3496" spans="1:10" x14ac:dyDescent="0.3">
      <c r="A3496" t="str">
        <f>""</f>
        <v/>
      </c>
      <c r="G3496" t="str">
        <f>""</f>
        <v/>
      </c>
      <c r="H3496" t="str">
        <f>""</f>
        <v/>
      </c>
      <c r="J3496" t="str">
        <f t="shared" si="65"/>
        <v>VERITY NAT 125 VENDOR</v>
      </c>
    </row>
    <row r="3497" spans="1:10" x14ac:dyDescent="0.3">
      <c r="A3497" t="str">
        <f>""</f>
        <v/>
      </c>
      <c r="G3497" t="str">
        <f>""</f>
        <v/>
      </c>
      <c r="H3497" t="str">
        <f>""</f>
        <v/>
      </c>
      <c r="J3497" t="str">
        <f t="shared" si="65"/>
        <v>VERITY NAT 125 VENDOR</v>
      </c>
    </row>
    <row r="3498" spans="1:10" x14ac:dyDescent="0.3">
      <c r="A3498" t="str">
        <f>""</f>
        <v/>
      </c>
      <c r="G3498" t="str">
        <f>""</f>
        <v/>
      </c>
      <c r="H3498" t="str">
        <f>""</f>
        <v/>
      </c>
      <c r="J3498" t="str">
        <f t="shared" si="65"/>
        <v>VERITY NAT 125 VENDOR</v>
      </c>
    </row>
    <row r="3499" spans="1:10" x14ac:dyDescent="0.3">
      <c r="A3499" t="str">
        <f>""</f>
        <v/>
      </c>
      <c r="G3499" t="str">
        <f>""</f>
        <v/>
      </c>
      <c r="H3499" t="str">
        <f>""</f>
        <v/>
      </c>
      <c r="J3499" t="str">
        <f t="shared" si="65"/>
        <v>VERITY NAT 125 VENDOR</v>
      </c>
    </row>
    <row r="3500" spans="1:10" x14ac:dyDescent="0.3">
      <c r="A3500" t="str">
        <f>""</f>
        <v/>
      </c>
      <c r="G3500" t="str">
        <f>""</f>
        <v/>
      </c>
      <c r="H3500" t="str">
        <f>""</f>
        <v/>
      </c>
      <c r="J3500" t="str">
        <f t="shared" si="65"/>
        <v>VERITY NAT 125 VENDOR</v>
      </c>
    </row>
    <row r="3501" spans="1:10" x14ac:dyDescent="0.3">
      <c r="A3501" t="str">
        <f>""</f>
        <v/>
      </c>
      <c r="G3501" t="str">
        <f>""</f>
        <v/>
      </c>
      <c r="H3501" t="str">
        <f>""</f>
        <v/>
      </c>
      <c r="J3501" t="str">
        <f t="shared" si="65"/>
        <v>VERITY NAT 125 VENDOR</v>
      </c>
    </row>
    <row r="3502" spans="1:10" x14ac:dyDescent="0.3">
      <c r="A3502" t="str">
        <f>""</f>
        <v/>
      </c>
      <c r="G3502" t="str">
        <f>""</f>
        <v/>
      </c>
      <c r="H3502" t="str">
        <f>""</f>
        <v/>
      </c>
      <c r="J3502" t="str">
        <f t="shared" si="65"/>
        <v>VERITY NAT 125 VENDOR</v>
      </c>
    </row>
    <row r="3503" spans="1:10" x14ac:dyDescent="0.3">
      <c r="A3503" t="str">
        <f>""</f>
        <v/>
      </c>
      <c r="G3503" t="str">
        <f>""</f>
        <v/>
      </c>
      <c r="H3503" t="str">
        <f>""</f>
        <v/>
      </c>
      <c r="J3503" t="str">
        <f t="shared" si="65"/>
        <v>VERITY NAT 125 VENDOR</v>
      </c>
    </row>
    <row r="3504" spans="1:10" x14ac:dyDescent="0.3">
      <c r="A3504" t="str">
        <f>""</f>
        <v/>
      </c>
      <c r="G3504" t="str">
        <f>""</f>
        <v/>
      </c>
      <c r="H3504" t="str">
        <f>""</f>
        <v/>
      </c>
      <c r="J3504" t="str">
        <f t="shared" si="65"/>
        <v>VERITY NAT 125 VENDOR</v>
      </c>
    </row>
    <row r="3505" spans="1:10" x14ac:dyDescent="0.3">
      <c r="A3505" t="str">
        <f>""</f>
        <v/>
      </c>
      <c r="G3505" t="str">
        <f>""</f>
        <v/>
      </c>
      <c r="H3505" t="str">
        <f>""</f>
        <v/>
      </c>
      <c r="J3505" t="str">
        <f t="shared" si="65"/>
        <v>VERITY NAT 125 VENDOR</v>
      </c>
    </row>
    <row r="3506" spans="1:10" x14ac:dyDescent="0.3">
      <c r="A3506" t="str">
        <f>""</f>
        <v/>
      </c>
      <c r="G3506" t="str">
        <f>""</f>
        <v/>
      </c>
      <c r="H3506" t="str">
        <f>""</f>
        <v/>
      </c>
      <c r="J3506" t="str">
        <f t="shared" si="65"/>
        <v>VERITY NAT 125 VENDOR</v>
      </c>
    </row>
    <row r="3507" spans="1:10" x14ac:dyDescent="0.3">
      <c r="A3507" t="str">
        <f>""</f>
        <v/>
      </c>
      <c r="G3507" t="str">
        <f>""</f>
        <v/>
      </c>
      <c r="H3507" t="str">
        <f>""</f>
        <v/>
      </c>
      <c r="J3507" t="str">
        <f t="shared" si="65"/>
        <v>VERITY NAT 125 VENDOR</v>
      </c>
    </row>
    <row r="3508" spans="1:10" x14ac:dyDescent="0.3">
      <c r="A3508" t="str">
        <f>""</f>
        <v/>
      </c>
      <c r="G3508" t="str">
        <f>""</f>
        <v/>
      </c>
      <c r="H3508" t="str">
        <f>""</f>
        <v/>
      </c>
      <c r="J3508" t="str">
        <f t="shared" si="65"/>
        <v>VERITY NAT 125 VENDOR</v>
      </c>
    </row>
    <row r="3509" spans="1:10" x14ac:dyDescent="0.3">
      <c r="A3509" t="str">
        <f>""</f>
        <v/>
      </c>
      <c r="G3509" t="str">
        <f>""</f>
        <v/>
      </c>
      <c r="H3509" t="str">
        <f>""</f>
        <v/>
      </c>
      <c r="J3509" t="str">
        <f t="shared" si="65"/>
        <v>VERITY NAT 125 VENDOR</v>
      </c>
    </row>
    <row r="3510" spans="1:10" x14ac:dyDescent="0.3">
      <c r="A3510" t="str">
        <f>""</f>
        <v/>
      </c>
      <c r="G3510" t="str">
        <f>""</f>
        <v/>
      </c>
      <c r="H3510" t="str">
        <f>""</f>
        <v/>
      </c>
      <c r="J3510" t="str">
        <f t="shared" si="65"/>
        <v>VERITY NAT 125 VENDOR</v>
      </c>
    </row>
    <row r="3511" spans="1:10" x14ac:dyDescent="0.3">
      <c r="A3511" t="str">
        <f>""</f>
        <v/>
      </c>
      <c r="G3511" t="str">
        <f>""</f>
        <v/>
      </c>
      <c r="H3511" t="str">
        <f>""</f>
        <v/>
      </c>
      <c r="J3511" t="str">
        <f t="shared" si="65"/>
        <v>VERITY NAT 125 VENDOR</v>
      </c>
    </row>
    <row r="3512" spans="1:10" x14ac:dyDescent="0.3">
      <c r="A3512" t="str">
        <f>""</f>
        <v/>
      </c>
      <c r="G3512" t="str">
        <f>""</f>
        <v/>
      </c>
      <c r="H3512" t="str">
        <f>""</f>
        <v/>
      </c>
      <c r="J3512" t="str">
        <f t="shared" si="65"/>
        <v>VERITY NAT 125 VENDOR</v>
      </c>
    </row>
    <row r="3513" spans="1:10" x14ac:dyDescent="0.3">
      <c r="A3513" t="str">
        <f>""</f>
        <v/>
      </c>
      <c r="G3513" t="str">
        <f>""</f>
        <v/>
      </c>
      <c r="H3513" t="str">
        <f>""</f>
        <v/>
      </c>
      <c r="J3513" t="str">
        <f t="shared" si="65"/>
        <v>VERITY NAT 125 VENDOR</v>
      </c>
    </row>
    <row r="3514" spans="1:10" x14ac:dyDescent="0.3">
      <c r="A3514" t="str">
        <f>""</f>
        <v/>
      </c>
      <c r="G3514" t="str">
        <f>""</f>
        <v/>
      </c>
      <c r="H3514" t="str">
        <f>""</f>
        <v/>
      </c>
      <c r="J3514" t="str">
        <f t="shared" si="65"/>
        <v>VERITY NAT 125 VENDOR</v>
      </c>
    </row>
    <row r="3515" spans="1:10" x14ac:dyDescent="0.3">
      <c r="A3515" t="str">
        <f>""</f>
        <v/>
      </c>
      <c r="G3515" t="str">
        <f>""</f>
        <v/>
      </c>
      <c r="H3515" t="str">
        <f>""</f>
        <v/>
      </c>
      <c r="J3515" t="str">
        <f t="shared" si="65"/>
        <v>VERITY NAT 125 VENDOR</v>
      </c>
    </row>
    <row r="3516" spans="1:10" x14ac:dyDescent="0.3">
      <c r="A3516" t="str">
        <f>""</f>
        <v/>
      </c>
      <c r="G3516" t="str">
        <f>""</f>
        <v/>
      </c>
      <c r="H3516" t="str">
        <f>""</f>
        <v/>
      </c>
      <c r="J3516" t="str">
        <f t="shared" si="65"/>
        <v>VERITY NAT 125 VENDOR</v>
      </c>
    </row>
    <row r="3517" spans="1:10" x14ac:dyDescent="0.3">
      <c r="A3517" t="str">
        <f>""</f>
        <v/>
      </c>
      <c r="G3517" t="str">
        <f>""</f>
        <v/>
      </c>
      <c r="H3517" t="str">
        <f>""</f>
        <v/>
      </c>
      <c r="J3517" t="str">
        <f t="shared" si="65"/>
        <v>VERITY NAT 125 VENDOR</v>
      </c>
    </row>
    <row r="3518" spans="1:10" x14ac:dyDescent="0.3">
      <c r="A3518" t="str">
        <f>""</f>
        <v/>
      </c>
      <c r="G3518" t="str">
        <f>""</f>
        <v/>
      </c>
      <c r="H3518" t="str">
        <f>""</f>
        <v/>
      </c>
      <c r="J3518" t="str">
        <f t="shared" si="65"/>
        <v>VERITY NAT 125 VENDOR</v>
      </c>
    </row>
    <row r="3519" spans="1:10" x14ac:dyDescent="0.3">
      <c r="A3519" t="str">
        <f>""</f>
        <v/>
      </c>
      <c r="G3519" t="str">
        <f>""</f>
        <v/>
      </c>
      <c r="H3519" t="str">
        <f>""</f>
        <v/>
      </c>
      <c r="J3519" t="str">
        <f t="shared" si="65"/>
        <v>VERITY NAT 125 VENDOR</v>
      </c>
    </row>
    <row r="3520" spans="1:10" x14ac:dyDescent="0.3">
      <c r="A3520" t="str">
        <f>""</f>
        <v/>
      </c>
      <c r="G3520" t="str">
        <f>""</f>
        <v/>
      </c>
      <c r="H3520" t="str">
        <f>""</f>
        <v/>
      </c>
      <c r="J3520" t="str">
        <f t="shared" si="65"/>
        <v>VERITY NAT 125 VENDOR</v>
      </c>
    </row>
    <row r="3521" spans="1:10" x14ac:dyDescent="0.3">
      <c r="A3521" t="str">
        <f>""</f>
        <v/>
      </c>
      <c r="G3521" t="str">
        <f>""</f>
        <v/>
      </c>
      <c r="H3521" t="str">
        <f>""</f>
        <v/>
      </c>
      <c r="J3521" t="str">
        <f t="shared" si="65"/>
        <v>VERITY NAT 125 VENDOR</v>
      </c>
    </row>
    <row r="3522" spans="1:10" x14ac:dyDescent="0.3">
      <c r="A3522" t="str">
        <f>""</f>
        <v/>
      </c>
      <c r="G3522" t="str">
        <f>""</f>
        <v/>
      </c>
      <c r="H3522" t="str">
        <f>""</f>
        <v/>
      </c>
      <c r="J3522" t="str">
        <f t="shared" si="65"/>
        <v>VERITY NAT 125 VENDOR</v>
      </c>
    </row>
    <row r="3523" spans="1:10" x14ac:dyDescent="0.3">
      <c r="A3523" t="str">
        <f>""</f>
        <v/>
      </c>
      <c r="G3523" t="str">
        <f>""</f>
        <v/>
      </c>
      <c r="H3523" t="str">
        <f>""</f>
        <v/>
      </c>
      <c r="J3523" t="str">
        <f t="shared" si="65"/>
        <v>VERITY NAT 125 VENDOR</v>
      </c>
    </row>
    <row r="3524" spans="1:10" x14ac:dyDescent="0.3">
      <c r="A3524" t="str">
        <f>""</f>
        <v/>
      </c>
      <c r="G3524" t="str">
        <f>""</f>
        <v/>
      </c>
      <c r="H3524" t="str">
        <f>""</f>
        <v/>
      </c>
      <c r="J3524" t="str">
        <f t="shared" si="65"/>
        <v>VERITY NAT 125 VENDOR</v>
      </c>
    </row>
    <row r="3525" spans="1:10" x14ac:dyDescent="0.3">
      <c r="A3525" t="str">
        <f>""</f>
        <v/>
      </c>
      <c r="G3525" t="str">
        <f>""</f>
        <v/>
      </c>
      <c r="H3525" t="str">
        <f>""</f>
        <v/>
      </c>
      <c r="J3525" t="str">
        <f t="shared" si="65"/>
        <v>VERITY NAT 125 VENDOR</v>
      </c>
    </row>
    <row r="3526" spans="1:10" x14ac:dyDescent="0.3">
      <c r="A3526" t="str">
        <f>""</f>
        <v/>
      </c>
      <c r="G3526" t="str">
        <f>""</f>
        <v/>
      </c>
      <c r="H3526" t="str">
        <f>""</f>
        <v/>
      </c>
      <c r="J3526" t="str">
        <f t="shared" si="65"/>
        <v>VERITY NAT 125 VENDOR</v>
      </c>
    </row>
    <row r="3527" spans="1:10" x14ac:dyDescent="0.3">
      <c r="A3527" t="str">
        <f>""</f>
        <v/>
      </c>
      <c r="G3527" t="str">
        <f>""</f>
        <v/>
      </c>
      <c r="H3527" t="str">
        <f>""</f>
        <v/>
      </c>
      <c r="J3527" t="str">
        <f t="shared" si="65"/>
        <v>VERITY NAT 125 VENDOR</v>
      </c>
    </row>
    <row r="3528" spans="1:10" x14ac:dyDescent="0.3">
      <c r="A3528" t="str">
        <f>""</f>
        <v/>
      </c>
      <c r="G3528" t="str">
        <f>""</f>
        <v/>
      </c>
      <c r="H3528" t="str">
        <f>""</f>
        <v/>
      </c>
      <c r="J3528" t="str">
        <f t="shared" si="65"/>
        <v>VERITY NAT 125 VENDOR</v>
      </c>
    </row>
    <row r="3529" spans="1:10" x14ac:dyDescent="0.3">
      <c r="A3529" t="str">
        <f>""</f>
        <v/>
      </c>
      <c r="G3529" t="str">
        <f>""</f>
        <v/>
      </c>
      <c r="H3529" t="str">
        <f>""</f>
        <v/>
      </c>
      <c r="J3529" t="str">
        <f t="shared" si="65"/>
        <v>VERITY NAT 125 VENDOR</v>
      </c>
    </row>
    <row r="3530" spans="1:10" x14ac:dyDescent="0.3">
      <c r="A3530" t="str">
        <f>""</f>
        <v/>
      </c>
      <c r="G3530" t="str">
        <f>""</f>
        <v/>
      </c>
      <c r="H3530" t="str">
        <f>""</f>
        <v/>
      </c>
      <c r="J3530" t="str">
        <f t="shared" si="65"/>
        <v>VERITY NAT 125 VENDOR</v>
      </c>
    </row>
    <row r="3531" spans="1:10" x14ac:dyDescent="0.3">
      <c r="A3531" t="str">
        <f>""</f>
        <v/>
      </c>
      <c r="F3531" t="s">
        <v>10</v>
      </c>
      <c r="G3531" t="str">
        <f>"FSF201706143098"</f>
        <v>FSF201706143098</v>
      </c>
      <c r="H3531" t="str">
        <f>"VERITY NAT 125 VENDOR"</f>
        <v>VERITY NAT 125 VENDOR</v>
      </c>
      <c r="I3531" s="2">
        <v>25.5</v>
      </c>
      <c r="J3531" t="str">
        <f t="shared" si="65"/>
        <v>VERITY NAT 125 VENDOR</v>
      </c>
    </row>
    <row r="3532" spans="1:10" x14ac:dyDescent="0.3">
      <c r="A3532" t="str">
        <f>""</f>
        <v/>
      </c>
      <c r="G3532" t="str">
        <f>""</f>
        <v/>
      </c>
      <c r="H3532" t="str">
        <f>""</f>
        <v/>
      </c>
      <c r="J3532" t="str">
        <f t="shared" si="65"/>
        <v>VERITY NAT 125 VENDOR</v>
      </c>
    </row>
    <row r="3533" spans="1:10" x14ac:dyDescent="0.3">
      <c r="A3533" t="str">
        <f>""</f>
        <v/>
      </c>
      <c r="F3533" t="s">
        <v>10</v>
      </c>
      <c r="G3533" t="str">
        <f>"FSO201706143096"</f>
        <v>FSO201706143096</v>
      </c>
      <c r="H3533" t="str">
        <f>"VERITY FSA ONLY FEE"</f>
        <v>VERITY FSA ONLY FEE</v>
      </c>
      <c r="I3533" s="2">
        <v>24</v>
      </c>
      <c r="J3533" t="str">
        <f t="shared" ref="J3533:J3542" si="66">"VERITY FSA ONLY FEE"</f>
        <v>VERITY FSA ONLY FEE</v>
      </c>
    </row>
    <row r="3534" spans="1:10" x14ac:dyDescent="0.3">
      <c r="A3534" t="str">
        <f>""</f>
        <v/>
      </c>
      <c r="G3534" t="str">
        <f>""</f>
        <v/>
      </c>
      <c r="H3534" t="str">
        <f>""</f>
        <v/>
      </c>
      <c r="J3534" t="str">
        <f t="shared" si="66"/>
        <v>VERITY FSA ONLY FEE</v>
      </c>
    </row>
    <row r="3535" spans="1:10" x14ac:dyDescent="0.3">
      <c r="A3535" t="str">
        <f>""</f>
        <v/>
      </c>
      <c r="G3535" t="str">
        <f>""</f>
        <v/>
      </c>
      <c r="H3535" t="str">
        <f>""</f>
        <v/>
      </c>
      <c r="J3535" t="str">
        <f t="shared" si="66"/>
        <v>VERITY FSA ONLY FEE</v>
      </c>
    </row>
    <row r="3536" spans="1:10" x14ac:dyDescent="0.3">
      <c r="A3536" t="str">
        <f>""</f>
        <v/>
      </c>
      <c r="G3536" t="str">
        <f>""</f>
        <v/>
      </c>
      <c r="H3536" t="str">
        <f>""</f>
        <v/>
      </c>
      <c r="J3536" t="str">
        <f t="shared" si="66"/>
        <v>VERITY FSA ONLY FEE</v>
      </c>
    </row>
    <row r="3537" spans="1:10" x14ac:dyDescent="0.3">
      <c r="A3537" t="str">
        <f>""</f>
        <v/>
      </c>
      <c r="G3537" t="str">
        <f>""</f>
        <v/>
      </c>
      <c r="H3537" t="str">
        <f>""</f>
        <v/>
      </c>
      <c r="J3537" t="str">
        <f t="shared" si="66"/>
        <v>VERITY FSA ONLY FEE</v>
      </c>
    </row>
    <row r="3538" spans="1:10" x14ac:dyDescent="0.3">
      <c r="A3538" t="str">
        <f>""</f>
        <v/>
      </c>
      <c r="G3538" t="str">
        <f>""</f>
        <v/>
      </c>
      <c r="H3538" t="str">
        <f>""</f>
        <v/>
      </c>
      <c r="J3538" t="str">
        <f t="shared" si="66"/>
        <v>VERITY FSA ONLY FEE</v>
      </c>
    </row>
    <row r="3539" spans="1:10" x14ac:dyDescent="0.3">
      <c r="A3539" t="str">
        <f>""</f>
        <v/>
      </c>
      <c r="G3539" t="str">
        <f>""</f>
        <v/>
      </c>
      <c r="H3539" t="str">
        <f>""</f>
        <v/>
      </c>
      <c r="J3539" t="str">
        <f t="shared" si="66"/>
        <v>VERITY FSA ONLY FEE</v>
      </c>
    </row>
    <row r="3540" spans="1:10" x14ac:dyDescent="0.3">
      <c r="A3540" t="str">
        <f>""</f>
        <v/>
      </c>
      <c r="G3540" t="str">
        <f>""</f>
        <v/>
      </c>
      <c r="H3540" t="str">
        <f>""</f>
        <v/>
      </c>
      <c r="J3540" t="str">
        <f t="shared" si="66"/>
        <v>VERITY FSA ONLY FEE</v>
      </c>
    </row>
    <row r="3541" spans="1:10" x14ac:dyDescent="0.3">
      <c r="A3541" t="str">
        <f>""</f>
        <v/>
      </c>
      <c r="G3541" t="str">
        <f>""</f>
        <v/>
      </c>
      <c r="H3541" t="str">
        <f>""</f>
        <v/>
      </c>
      <c r="J3541" t="str">
        <f t="shared" si="66"/>
        <v>VERITY FSA ONLY FEE</v>
      </c>
    </row>
    <row r="3542" spans="1:10" x14ac:dyDescent="0.3">
      <c r="A3542" t="str">
        <f>""</f>
        <v/>
      </c>
      <c r="G3542" t="str">
        <f>""</f>
        <v/>
      </c>
      <c r="H3542" t="str">
        <f>""</f>
        <v/>
      </c>
      <c r="J3542" t="str">
        <f t="shared" si="66"/>
        <v>VERITY FSA ONLY FEE</v>
      </c>
    </row>
    <row r="3543" spans="1:10" x14ac:dyDescent="0.3">
      <c r="A3543" t="str">
        <f>""</f>
        <v/>
      </c>
      <c r="F3543" t="s">
        <v>10</v>
      </c>
      <c r="G3543" t="str">
        <f>"FSO201706143098"</f>
        <v>FSO201706143098</v>
      </c>
      <c r="H3543" t="str">
        <f>"VERITY FSA ONLY"</f>
        <v>VERITY FSA ONLY</v>
      </c>
      <c r="I3543" s="2">
        <v>3</v>
      </c>
      <c r="J3543" t="str">
        <f>"VERITY FSA ONLY"</f>
        <v>VERITY FSA ONLY</v>
      </c>
    </row>
    <row r="3544" spans="1:10" x14ac:dyDescent="0.3">
      <c r="A3544" t="str">
        <f>""</f>
        <v/>
      </c>
      <c r="G3544" t="str">
        <f>""</f>
        <v/>
      </c>
      <c r="H3544" t="str">
        <f>""</f>
        <v/>
      </c>
      <c r="J3544" t="str">
        <f>"VERITY FSA ONLY"</f>
        <v>VERITY FSA ONLY</v>
      </c>
    </row>
    <row r="3545" spans="1:10" x14ac:dyDescent="0.3">
      <c r="A3545" t="str">
        <f>""</f>
        <v/>
      </c>
      <c r="F3545" t="s">
        <v>10</v>
      </c>
      <c r="G3545" t="str">
        <f>"HRA201706143096"</f>
        <v>HRA201706143096</v>
      </c>
      <c r="H3545" t="str">
        <f>"VERITY HRA FEES"</f>
        <v>VERITY HRA FEES</v>
      </c>
      <c r="I3545" s="2">
        <v>6768.02</v>
      </c>
      <c r="J3545" t="str">
        <f t="shared" ref="J3545:J3592" si="67">"VERITY HRA FEES"</f>
        <v>VERITY HRA FEES</v>
      </c>
    </row>
    <row r="3546" spans="1:10" x14ac:dyDescent="0.3">
      <c r="A3546" t="str">
        <f>""</f>
        <v/>
      </c>
      <c r="G3546" t="str">
        <f>""</f>
        <v/>
      </c>
      <c r="H3546" t="str">
        <f>""</f>
        <v/>
      </c>
      <c r="J3546" t="str">
        <f t="shared" si="67"/>
        <v>VERITY HRA FEES</v>
      </c>
    </row>
    <row r="3547" spans="1:10" x14ac:dyDescent="0.3">
      <c r="A3547" t="str">
        <f>""</f>
        <v/>
      </c>
      <c r="G3547" t="str">
        <f>""</f>
        <v/>
      </c>
      <c r="H3547" t="str">
        <f>""</f>
        <v/>
      </c>
      <c r="J3547" t="str">
        <f t="shared" si="67"/>
        <v>VERITY HRA FEES</v>
      </c>
    </row>
    <row r="3548" spans="1:10" x14ac:dyDescent="0.3">
      <c r="A3548" t="str">
        <f>""</f>
        <v/>
      </c>
      <c r="G3548" t="str">
        <f>""</f>
        <v/>
      </c>
      <c r="H3548" t="str">
        <f>""</f>
        <v/>
      </c>
      <c r="J3548" t="str">
        <f t="shared" si="67"/>
        <v>VERITY HRA FEES</v>
      </c>
    </row>
    <row r="3549" spans="1:10" x14ac:dyDescent="0.3">
      <c r="A3549" t="str">
        <f>""</f>
        <v/>
      </c>
      <c r="G3549" t="str">
        <f>""</f>
        <v/>
      </c>
      <c r="H3549" t="str">
        <f>""</f>
        <v/>
      </c>
      <c r="J3549" t="str">
        <f t="shared" si="67"/>
        <v>VERITY HRA FEES</v>
      </c>
    </row>
    <row r="3550" spans="1:10" x14ac:dyDescent="0.3">
      <c r="A3550" t="str">
        <f>""</f>
        <v/>
      </c>
      <c r="G3550" t="str">
        <f>""</f>
        <v/>
      </c>
      <c r="H3550" t="str">
        <f>""</f>
        <v/>
      </c>
      <c r="J3550" t="str">
        <f t="shared" si="67"/>
        <v>VERITY HRA FEES</v>
      </c>
    </row>
    <row r="3551" spans="1:10" x14ac:dyDescent="0.3">
      <c r="A3551" t="str">
        <f>""</f>
        <v/>
      </c>
      <c r="G3551" t="str">
        <f>""</f>
        <v/>
      </c>
      <c r="H3551" t="str">
        <f>""</f>
        <v/>
      </c>
      <c r="J3551" t="str">
        <f t="shared" si="67"/>
        <v>VERITY HRA FEES</v>
      </c>
    </row>
    <row r="3552" spans="1:10" x14ac:dyDescent="0.3">
      <c r="A3552" t="str">
        <f>""</f>
        <v/>
      </c>
      <c r="G3552" t="str">
        <f>""</f>
        <v/>
      </c>
      <c r="H3552" t="str">
        <f>""</f>
        <v/>
      </c>
      <c r="J3552" t="str">
        <f t="shared" si="67"/>
        <v>VERITY HRA FEES</v>
      </c>
    </row>
    <row r="3553" spans="1:10" x14ac:dyDescent="0.3">
      <c r="A3553" t="str">
        <f>""</f>
        <v/>
      </c>
      <c r="G3553" t="str">
        <f>""</f>
        <v/>
      </c>
      <c r="H3553" t="str">
        <f>""</f>
        <v/>
      </c>
      <c r="J3553" t="str">
        <f t="shared" si="67"/>
        <v>VERITY HRA FEES</v>
      </c>
    </row>
    <row r="3554" spans="1:10" x14ac:dyDescent="0.3">
      <c r="A3554" t="str">
        <f>""</f>
        <v/>
      </c>
      <c r="G3554" t="str">
        <f>""</f>
        <v/>
      </c>
      <c r="H3554" t="str">
        <f>""</f>
        <v/>
      </c>
      <c r="J3554" t="str">
        <f t="shared" si="67"/>
        <v>VERITY HRA FEES</v>
      </c>
    </row>
    <row r="3555" spans="1:10" x14ac:dyDescent="0.3">
      <c r="A3555" t="str">
        <f>""</f>
        <v/>
      </c>
      <c r="G3555" t="str">
        <f>""</f>
        <v/>
      </c>
      <c r="H3555" t="str">
        <f>""</f>
        <v/>
      </c>
      <c r="J3555" t="str">
        <f t="shared" si="67"/>
        <v>VERITY HRA FEES</v>
      </c>
    </row>
    <row r="3556" spans="1:10" x14ac:dyDescent="0.3">
      <c r="A3556" t="str">
        <f>""</f>
        <v/>
      </c>
      <c r="G3556" t="str">
        <f>""</f>
        <v/>
      </c>
      <c r="H3556" t="str">
        <f>""</f>
        <v/>
      </c>
      <c r="J3556" t="str">
        <f t="shared" si="67"/>
        <v>VERITY HRA FEES</v>
      </c>
    </row>
    <row r="3557" spans="1:10" x14ac:dyDescent="0.3">
      <c r="A3557" t="str">
        <f>""</f>
        <v/>
      </c>
      <c r="G3557" t="str">
        <f>""</f>
        <v/>
      </c>
      <c r="H3557" t="str">
        <f>""</f>
        <v/>
      </c>
      <c r="J3557" t="str">
        <f t="shared" si="67"/>
        <v>VERITY HRA FEES</v>
      </c>
    </row>
    <row r="3558" spans="1:10" x14ac:dyDescent="0.3">
      <c r="A3558" t="str">
        <f>""</f>
        <v/>
      </c>
      <c r="G3558" t="str">
        <f>""</f>
        <v/>
      </c>
      <c r="H3558" t="str">
        <f>""</f>
        <v/>
      </c>
      <c r="J3558" t="str">
        <f t="shared" si="67"/>
        <v>VERITY HRA FEES</v>
      </c>
    </row>
    <row r="3559" spans="1:10" x14ac:dyDescent="0.3">
      <c r="A3559" t="str">
        <f>""</f>
        <v/>
      </c>
      <c r="G3559" t="str">
        <f>""</f>
        <v/>
      </c>
      <c r="H3559" t="str">
        <f>""</f>
        <v/>
      </c>
      <c r="J3559" t="str">
        <f t="shared" si="67"/>
        <v>VERITY HRA FEES</v>
      </c>
    </row>
    <row r="3560" spans="1:10" x14ac:dyDescent="0.3">
      <c r="A3560" t="str">
        <f>""</f>
        <v/>
      </c>
      <c r="G3560" t="str">
        <f>""</f>
        <v/>
      </c>
      <c r="H3560" t="str">
        <f>""</f>
        <v/>
      </c>
      <c r="J3560" t="str">
        <f t="shared" si="67"/>
        <v>VERITY HRA FEES</v>
      </c>
    </row>
    <row r="3561" spans="1:10" x14ac:dyDescent="0.3">
      <c r="A3561" t="str">
        <f>""</f>
        <v/>
      </c>
      <c r="G3561" t="str">
        <f>""</f>
        <v/>
      </c>
      <c r="H3561" t="str">
        <f>""</f>
        <v/>
      </c>
      <c r="J3561" t="str">
        <f t="shared" si="67"/>
        <v>VERITY HRA FEES</v>
      </c>
    </row>
    <row r="3562" spans="1:10" x14ac:dyDescent="0.3">
      <c r="A3562" t="str">
        <f>""</f>
        <v/>
      </c>
      <c r="G3562" t="str">
        <f>""</f>
        <v/>
      </c>
      <c r="H3562" t="str">
        <f>""</f>
        <v/>
      </c>
      <c r="J3562" t="str">
        <f t="shared" si="67"/>
        <v>VERITY HRA FEES</v>
      </c>
    </row>
    <row r="3563" spans="1:10" x14ac:dyDescent="0.3">
      <c r="A3563" t="str">
        <f>""</f>
        <v/>
      </c>
      <c r="G3563" t="str">
        <f>""</f>
        <v/>
      </c>
      <c r="H3563" t="str">
        <f>""</f>
        <v/>
      </c>
      <c r="J3563" t="str">
        <f t="shared" si="67"/>
        <v>VERITY HRA FEES</v>
      </c>
    </row>
    <row r="3564" spans="1:10" x14ac:dyDescent="0.3">
      <c r="A3564" t="str">
        <f>""</f>
        <v/>
      </c>
      <c r="G3564" t="str">
        <f>""</f>
        <v/>
      </c>
      <c r="H3564" t="str">
        <f>""</f>
        <v/>
      </c>
      <c r="J3564" t="str">
        <f t="shared" si="67"/>
        <v>VERITY HRA FEES</v>
      </c>
    </row>
    <row r="3565" spans="1:10" x14ac:dyDescent="0.3">
      <c r="A3565" t="str">
        <f>""</f>
        <v/>
      </c>
      <c r="G3565" t="str">
        <f>""</f>
        <v/>
      </c>
      <c r="H3565" t="str">
        <f>""</f>
        <v/>
      </c>
      <c r="J3565" t="str">
        <f t="shared" si="67"/>
        <v>VERITY HRA FEES</v>
      </c>
    </row>
    <row r="3566" spans="1:10" x14ac:dyDescent="0.3">
      <c r="A3566" t="str">
        <f>""</f>
        <v/>
      </c>
      <c r="G3566" t="str">
        <f>""</f>
        <v/>
      </c>
      <c r="H3566" t="str">
        <f>""</f>
        <v/>
      </c>
      <c r="J3566" t="str">
        <f t="shared" si="67"/>
        <v>VERITY HRA FEES</v>
      </c>
    </row>
    <row r="3567" spans="1:10" x14ac:dyDescent="0.3">
      <c r="A3567" t="str">
        <f>""</f>
        <v/>
      </c>
      <c r="G3567" t="str">
        <f>""</f>
        <v/>
      </c>
      <c r="H3567" t="str">
        <f>""</f>
        <v/>
      </c>
      <c r="J3567" t="str">
        <f t="shared" si="67"/>
        <v>VERITY HRA FEES</v>
      </c>
    </row>
    <row r="3568" spans="1:10" x14ac:dyDescent="0.3">
      <c r="A3568" t="str">
        <f>""</f>
        <v/>
      </c>
      <c r="G3568" t="str">
        <f>""</f>
        <v/>
      </c>
      <c r="H3568" t="str">
        <f>""</f>
        <v/>
      </c>
      <c r="J3568" t="str">
        <f t="shared" si="67"/>
        <v>VERITY HRA FEES</v>
      </c>
    </row>
    <row r="3569" spans="1:10" x14ac:dyDescent="0.3">
      <c r="A3569" t="str">
        <f>""</f>
        <v/>
      </c>
      <c r="G3569" t="str">
        <f>""</f>
        <v/>
      </c>
      <c r="H3569" t="str">
        <f>""</f>
        <v/>
      </c>
      <c r="J3569" t="str">
        <f t="shared" si="67"/>
        <v>VERITY HRA FEES</v>
      </c>
    </row>
    <row r="3570" spans="1:10" x14ac:dyDescent="0.3">
      <c r="A3570" t="str">
        <f>""</f>
        <v/>
      </c>
      <c r="G3570" t="str">
        <f>""</f>
        <v/>
      </c>
      <c r="H3570" t="str">
        <f>""</f>
        <v/>
      </c>
      <c r="J3570" t="str">
        <f t="shared" si="67"/>
        <v>VERITY HRA FEES</v>
      </c>
    </row>
    <row r="3571" spans="1:10" x14ac:dyDescent="0.3">
      <c r="A3571" t="str">
        <f>""</f>
        <v/>
      </c>
      <c r="G3571" t="str">
        <f>""</f>
        <v/>
      </c>
      <c r="H3571" t="str">
        <f>""</f>
        <v/>
      </c>
      <c r="J3571" t="str">
        <f t="shared" si="67"/>
        <v>VERITY HRA FEES</v>
      </c>
    </row>
    <row r="3572" spans="1:10" x14ac:dyDescent="0.3">
      <c r="A3572" t="str">
        <f>""</f>
        <v/>
      </c>
      <c r="G3572" t="str">
        <f>""</f>
        <v/>
      </c>
      <c r="H3572" t="str">
        <f>""</f>
        <v/>
      </c>
      <c r="J3572" t="str">
        <f t="shared" si="67"/>
        <v>VERITY HRA FEES</v>
      </c>
    </row>
    <row r="3573" spans="1:10" x14ac:dyDescent="0.3">
      <c r="A3573" t="str">
        <f>""</f>
        <v/>
      </c>
      <c r="G3573" t="str">
        <f>""</f>
        <v/>
      </c>
      <c r="H3573" t="str">
        <f>""</f>
        <v/>
      </c>
      <c r="J3573" t="str">
        <f t="shared" si="67"/>
        <v>VERITY HRA FEES</v>
      </c>
    </row>
    <row r="3574" spans="1:10" x14ac:dyDescent="0.3">
      <c r="A3574" t="str">
        <f>""</f>
        <v/>
      </c>
      <c r="G3574" t="str">
        <f>""</f>
        <v/>
      </c>
      <c r="H3574" t="str">
        <f>""</f>
        <v/>
      </c>
      <c r="J3574" t="str">
        <f t="shared" si="67"/>
        <v>VERITY HRA FEES</v>
      </c>
    </row>
    <row r="3575" spans="1:10" x14ac:dyDescent="0.3">
      <c r="A3575" t="str">
        <f>""</f>
        <v/>
      </c>
      <c r="G3575" t="str">
        <f>""</f>
        <v/>
      </c>
      <c r="H3575" t="str">
        <f>""</f>
        <v/>
      </c>
      <c r="J3575" t="str">
        <f t="shared" si="67"/>
        <v>VERITY HRA FEES</v>
      </c>
    </row>
    <row r="3576" spans="1:10" x14ac:dyDescent="0.3">
      <c r="A3576" t="str">
        <f>""</f>
        <v/>
      </c>
      <c r="G3576" t="str">
        <f>""</f>
        <v/>
      </c>
      <c r="H3576" t="str">
        <f>""</f>
        <v/>
      </c>
      <c r="J3576" t="str">
        <f t="shared" si="67"/>
        <v>VERITY HRA FEES</v>
      </c>
    </row>
    <row r="3577" spans="1:10" x14ac:dyDescent="0.3">
      <c r="A3577" t="str">
        <f>""</f>
        <v/>
      </c>
      <c r="G3577" t="str">
        <f>""</f>
        <v/>
      </c>
      <c r="H3577" t="str">
        <f>""</f>
        <v/>
      </c>
      <c r="J3577" t="str">
        <f t="shared" si="67"/>
        <v>VERITY HRA FEES</v>
      </c>
    </row>
    <row r="3578" spans="1:10" x14ac:dyDescent="0.3">
      <c r="A3578" t="str">
        <f>""</f>
        <v/>
      </c>
      <c r="G3578" t="str">
        <f>""</f>
        <v/>
      </c>
      <c r="H3578" t="str">
        <f>""</f>
        <v/>
      </c>
      <c r="J3578" t="str">
        <f t="shared" si="67"/>
        <v>VERITY HRA FEES</v>
      </c>
    </row>
    <row r="3579" spans="1:10" x14ac:dyDescent="0.3">
      <c r="A3579" t="str">
        <f>""</f>
        <v/>
      </c>
      <c r="G3579" t="str">
        <f>""</f>
        <v/>
      </c>
      <c r="H3579" t="str">
        <f>""</f>
        <v/>
      </c>
      <c r="J3579" t="str">
        <f t="shared" si="67"/>
        <v>VERITY HRA FEES</v>
      </c>
    </row>
    <row r="3580" spans="1:10" x14ac:dyDescent="0.3">
      <c r="A3580" t="str">
        <f>""</f>
        <v/>
      </c>
      <c r="G3580" t="str">
        <f>""</f>
        <v/>
      </c>
      <c r="H3580" t="str">
        <f>""</f>
        <v/>
      </c>
      <c r="J3580" t="str">
        <f t="shared" si="67"/>
        <v>VERITY HRA FEES</v>
      </c>
    </row>
    <row r="3581" spans="1:10" x14ac:dyDescent="0.3">
      <c r="A3581" t="str">
        <f>""</f>
        <v/>
      </c>
      <c r="G3581" t="str">
        <f>""</f>
        <v/>
      </c>
      <c r="H3581" t="str">
        <f>""</f>
        <v/>
      </c>
      <c r="J3581" t="str">
        <f t="shared" si="67"/>
        <v>VERITY HRA FEES</v>
      </c>
    </row>
    <row r="3582" spans="1:10" x14ac:dyDescent="0.3">
      <c r="A3582" t="str">
        <f>""</f>
        <v/>
      </c>
      <c r="G3582" t="str">
        <f>""</f>
        <v/>
      </c>
      <c r="H3582" t="str">
        <f>""</f>
        <v/>
      </c>
      <c r="J3582" t="str">
        <f t="shared" si="67"/>
        <v>VERITY HRA FEES</v>
      </c>
    </row>
    <row r="3583" spans="1:10" x14ac:dyDescent="0.3">
      <c r="A3583" t="str">
        <f>""</f>
        <v/>
      </c>
      <c r="G3583" t="str">
        <f>""</f>
        <v/>
      </c>
      <c r="H3583" t="str">
        <f>""</f>
        <v/>
      </c>
      <c r="J3583" t="str">
        <f t="shared" si="67"/>
        <v>VERITY HRA FEES</v>
      </c>
    </row>
    <row r="3584" spans="1:10" x14ac:dyDescent="0.3">
      <c r="A3584" t="str">
        <f>""</f>
        <v/>
      </c>
      <c r="G3584" t="str">
        <f>""</f>
        <v/>
      </c>
      <c r="H3584" t="str">
        <f>""</f>
        <v/>
      </c>
      <c r="J3584" t="str">
        <f t="shared" si="67"/>
        <v>VERITY HRA FEES</v>
      </c>
    </row>
    <row r="3585" spans="1:10" x14ac:dyDescent="0.3">
      <c r="A3585" t="str">
        <f>""</f>
        <v/>
      </c>
      <c r="G3585" t="str">
        <f>""</f>
        <v/>
      </c>
      <c r="H3585" t="str">
        <f>""</f>
        <v/>
      </c>
      <c r="J3585" t="str">
        <f t="shared" si="67"/>
        <v>VERITY HRA FEES</v>
      </c>
    </row>
    <row r="3586" spans="1:10" x14ac:dyDescent="0.3">
      <c r="A3586" t="str">
        <f>""</f>
        <v/>
      </c>
      <c r="G3586" t="str">
        <f>""</f>
        <v/>
      </c>
      <c r="H3586" t="str">
        <f>""</f>
        <v/>
      </c>
      <c r="J3586" t="str">
        <f t="shared" si="67"/>
        <v>VERITY HRA FEES</v>
      </c>
    </row>
    <row r="3587" spans="1:10" x14ac:dyDescent="0.3">
      <c r="A3587" t="str">
        <f>""</f>
        <v/>
      </c>
      <c r="G3587" t="str">
        <f>""</f>
        <v/>
      </c>
      <c r="H3587" t="str">
        <f>""</f>
        <v/>
      </c>
      <c r="J3587" t="str">
        <f t="shared" si="67"/>
        <v>VERITY HRA FEES</v>
      </c>
    </row>
    <row r="3588" spans="1:10" x14ac:dyDescent="0.3">
      <c r="A3588" t="str">
        <f>""</f>
        <v/>
      </c>
      <c r="G3588" t="str">
        <f>""</f>
        <v/>
      </c>
      <c r="H3588" t="str">
        <f>""</f>
        <v/>
      </c>
      <c r="J3588" t="str">
        <f t="shared" si="67"/>
        <v>VERITY HRA FEES</v>
      </c>
    </row>
    <row r="3589" spans="1:10" x14ac:dyDescent="0.3">
      <c r="A3589" t="str">
        <f>""</f>
        <v/>
      </c>
      <c r="G3589" t="str">
        <f>""</f>
        <v/>
      </c>
      <c r="H3589" t="str">
        <f>""</f>
        <v/>
      </c>
      <c r="J3589" t="str">
        <f t="shared" si="67"/>
        <v>VERITY HRA FEES</v>
      </c>
    </row>
    <row r="3590" spans="1:10" x14ac:dyDescent="0.3">
      <c r="A3590" t="str">
        <f>""</f>
        <v/>
      </c>
      <c r="G3590" t="str">
        <f>""</f>
        <v/>
      </c>
      <c r="H3590" t="str">
        <f>""</f>
        <v/>
      </c>
      <c r="J3590" t="str">
        <f t="shared" si="67"/>
        <v>VERITY HRA FEES</v>
      </c>
    </row>
    <row r="3591" spans="1:10" x14ac:dyDescent="0.3">
      <c r="A3591" t="str">
        <f>""</f>
        <v/>
      </c>
      <c r="G3591" t="str">
        <f>""</f>
        <v/>
      </c>
      <c r="H3591" t="str">
        <f>""</f>
        <v/>
      </c>
      <c r="J3591" t="str">
        <f t="shared" si="67"/>
        <v>VERITY HRA FEES</v>
      </c>
    </row>
    <row r="3592" spans="1:10" x14ac:dyDescent="0.3">
      <c r="A3592" t="str">
        <f>""</f>
        <v/>
      </c>
      <c r="F3592" t="s">
        <v>10</v>
      </c>
      <c r="G3592" t="str">
        <f>"HRA201706143098"</f>
        <v>HRA201706143098</v>
      </c>
      <c r="H3592" t="str">
        <f>"VERITY HRA FEES"</f>
        <v>VERITY HRA FEES</v>
      </c>
      <c r="I3592" s="2">
        <v>200</v>
      </c>
      <c r="J3592" t="str">
        <f t="shared" si="67"/>
        <v>VERITY HRA FEES</v>
      </c>
    </row>
    <row r="3593" spans="1:10" x14ac:dyDescent="0.3">
      <c r="A3593" t="str">
        <f>""</f>
        <v/>
      </c>
      <c r="F3593" t="s">
        <v>10</v>
      </c>
      <c r="G3593" t="str">
        <f>"HRF201706143096"</f>
        <v>HRF201706143096</v>
      </c>
      <c r="H3593" t="str">
        <f>"VERITY HRA FEE"</f>
        <v>VERITY HRA FEE</v>
      </c>
      <c r="I3593" s="2">
        <v>774</v>
      </c>
      <c r="J3593" t="str">
        <f t="shared" ref="J3593:J3632" si="68">"VERITY HRA FEE"</f>
        <v>VERITY HRA FEE</v>
      </c>
    </row>
    <row r="3594" spans="1:10" x14ac:dyDescent="0.3">
      <c r="A3594" t="str">
        <f>""</f>
        <v/>
      </c>
      <c r="G3594" t="str">
        <f>""</f>
        <v/>
      </c>
      <c r="H3594" t="str">
        <f>""</f>
        <v/>
      </c>
      <c r="J3594" t="str">
        <f t="shared" si="68"/>
        <v>VERITY HRA FEE</v>
      </c>
    </row>
    <row r="3595" spans="1:10" x14ac:dyDescent="0.3">
      <c r="A3595" t="str">
        <f>""</f>
        <v/>
      </c>
      <c r="G3595" t="str">
        <f>""</f>
        <v/>
      </c>
      <c r="H3595" t="str">
        <f>""</f>
        <v/>
      </c>
      <c r="J3595" t="str">
        <f t="shared" si="68"/>
        <v>VERITY HRA FEE</v>
      </c>
    </row>
    <row r="3596" spans="1:10" x14ac:dyDescent="0.3">
      <c r="A3596" t="str">
        <f>""</f>
        <v/>
      </c>
      <c r="G3596" t="str">
        <f>""</f>
        <v/>
      </c>
      <c r="H3596" t="str">
        <f>""</f>
        <v/>
      </c>
      <c r="J3596" t="str">
        <f t="shared" si="68"/>
        <v>VERITY HRA FEE</v>
      </c>
    </row>
    <row r="3597" spans="1:10" x14ac:dyDescent="0.3">
      <c r="A3597" t="str">
        <f>""</f>
        <v/>
      </c>
      <c r="G3597" t="str">
        <f>""</f>
        <v/>
      </c>
      <c r="H3597" t="str">
        <f>""</f>
        <v/>
      </c>
      <c r="J3597" t="str">
        <f t="shared" si="68"/>
        <v>VERITY HRA FEE</v>
      </c>
    </row>
    <row r="3598" spans="1:10" x14ac:dyDescent="0.3">
      <c r="A3598" t="str">
        <f>""</f>
        <v/>
      </c>
      <c r="G3598" t="str">
        <f>""</f>
        <v/>
      </c>
      <c r="H3598" t="str">
        <f>""</f>
        <v/>
      </c>
      <c r="J3598" t="str">
        <f t="shared" si="68"/>
        <v>VERITY HRA FEE</v>
      </c>
    </row>
    <row r="3599" spans="1:10" x14ac:dyDescent="0.3">
      <c r="A3599" t="str">
        <f>""</f>
        <v/>
      </c>
      <c r="G3599" t="str">
        <f>""</f>
        <v/>
      </c>
      <c r="H3599" t="str">
        <f>""</f>
        <v/>
      </c>
      <c r="J3599" t="str">
        <f t="shared" si="68"/>
        <v>VERITY HRA FEE</v>
      </c>
    </row>
    <row r="3600" spans="1:10" x14ac:dyDescent="0.3">
      <c r="A3600" t="str">
        <f>""</f>
        <v/>
      </c>
      <c r="G3600" t="str">
        <f>""</f>
        <v/>
      </c>
      <c r="H3600" t="str">
        <f>""</f>
        <v/>
      </c>
      <c r="J3600" t="str">
        <f t="shared" si="68"/>
        <v>VERITY HRA FEE</v>
      </c>
    </row>
    <row r="3601" spans="1:10" x14ac:dyDescent="0.3">
      <c r="A3601" t="str">
        <f>""</f>
        <v/>
      </c>
      <c r="G3601" t="str">
        <f>""</f>
        <v/>
      </c>
      <c r="H3601" t="str">
        <f>""</f>
        <v/>
      </c>
      <c r="J3601" t="str">
        <f t="shared" si="68"/>
        <v>VERITY HRA FEE</v>
      </c>
    </row>
    <row r="3602" spans="1:10" x14ac:dyDescent="0.3">
      <c r="A3602" t="str">
        <f>""</f>
        <v/>
      </c>
      <c r="G3602" t="str">
        <f>""</f>
        <v/>
      </c>
      <c r="H3602" t="str">
        <f>""</f>
        <v/>
      </c>
      <c r="J3602" t="str">
        <f t="shared" si="68"/>
        <v>VERITY HRA FEE</v>
      </c>
    </row>
    <row r="3603" spans="1:10" x14ac:dyDescent="0.3">
      <c r="A3603" t="str">
        <f>""</f>
        <v/>
      </c>
      <c r="G3603" t="str">
        <f>""</f>
        <v/>
      </c>
      <c r="H3603" t="str">
        <f>""</f>
        <v/>
      </c>
      <c r="J3603" t="str">
        <f t="shared" si="68"/>
        <v>VERITY HRA FEE</v>
      </c>
    </row>
    <row r="3604" spans="1:10" x14ac:dyDescent="0.3">
      <c r="A3604" t="str">
        <f>""</f>
        <v/>
      </c>
      <c r="G3604" t="str">
        <f>""</f>
        <v/>
      </c>
      <c r="H3604" t="str">
        <f>""</f>
        <v/>
      </c>
      <c r="J3604" t="str">
        <f t="shared" si="68"/>
        <v>VERITY HRA FEE</v>
      </c>
    </row>
    <row r="3605" spans="1:10" x14ac:dyDescent="0.3">
      <c r="A3605" t="str">
        <f>""</f>
        <v/>
      </c>
      <c r="G3605" t="str">
        <f>""</f>
        <v/>
      </c>
      <c r="H3605" t="str">
        <f>""</f>
        <v/>
      </c>
      <c r="J3605" t="str">
        <f t="shared" si="68"/>
        <v>VERITY HRA FEE</v>
      </c>
    </row>
    <row r="3606" spans="1:10" x14ac:dyDescent="0.3">
      <c r="A3606" t="str">
        <f>""</f>
        <v/>
      </c>
      <c r="G3606" t="str">
        <f>""</f>
        <v/>
      </c>
      <c r="H3606" t="str">
        <f>""</f>
        <v/>
      </c>
      <c r="J3606" t="str">
        <f t="shared" si="68"/>
        <v>VERITY HRA FEE</v>
      </c>
    </row>
    <row r="3607" spans="1:10" x14ac:dyDescent="0.3">
      <c r="A3607" t="str">
        <f>""</f>
        <v/>
      </c>
      <c r="G3607" t="str">
        <f>""</f>
        <v/>
      </c>
      <c r="H3607" t="str">
        <f>""</f>
        <v/>
      </c>
      <c r="J3607" t="str">
        <f t="shared" si="68"/>
        <v>VERITY HRA FEE</v>
      </c>
    </row>
    <row r="3608" spans="1:10" x14ac:dyDescent="0.3">
      <c r="A3608" t="str">
        <f>""</f>
        <v/>
      </c>
      <c r="G3608" t="str">
        <f>""</f>
        <v/>
      </c>
      <c r="H3608" t="str">
        <f>""</f>
        <v/>
      </c>
      <c r="J3608" t="str">
        <f t="shared" si="68"/>
        <v>VERITY HRA FEE</v>
      </c>
    </row>
    <row r="3609" spans="1:10" x14ac:dyDescent="0.3">
      <c r="A3609" t="str">
        <f>""</f>
        <v/>
      </c>
      <c r="G3609" t="str">
        <f>""</f>
        <v/>
      </c>
      <c r="H3609" t="str">
        <f>""</f>
        <v/>
      </c>
      <c r="J3609" t="str">
        <f t="shared" si="68"/>
        <v>VERITY HRA FEE</v>
      </c>
    </row>
    <row r="3610" spans="1:10" x14ac:dyDescent="0.3">
      <c r="A3610" t="str">
        <f>""</f>
        <v/>
      </c>
      <c r="G3610" t="str">
        <f>""</f>
        <v/>
      </c>
      <c r="H3610" t="str">
        <f>""</f>
        <v/>
      </c>
      <c r="J3610" t="str">
        <f t="shared" si="68"/>
        <v>VERITY HRA FEE</v>
      </c>
    </row>
    <row r="3611" spans="1:10" x14ac:dyDescent="0.3">
      <c r="A3611" t="str">
        <f>""</f>
        <v/>
      </c>
      <c r="G3611" t="str">
        <f>""</f>
        <v/>
      </c>
      <c r="H3611" t="str">
        <f>""</f>
        <v/>
      </c>
      <c r="J3611" t="str">
        <f t="shared" si="68"/>
        <v>VERITY HRA FEE</v>
      </c>
    </row>
    <row r="3612" spans="1:10" x14ac:dyDescent="0.3">
      <c r="A3612" t="str">
        <f>""</f>
        <v/>
      </c>
      <c r="G3612" t="str">
        <f>""</f>
        <v/>
      </c>
      <c r="H3612" t="str">
        <f>""</f>
        <v/>
      </c>
      <c r="J3612" t="str">
        <f t="shared" si="68"/>
        <v>VERITY HRA FEE</v>
      </c>
    </row>
    <row r="3613" spans="1:10" x14ac:dyDescent="0.3">
      <c r="A3613" t="str">
        <f>""</f>
        <v/>
      </c>
      <c r="G3613" t="str">
        <f>""</f>
        <v/>
      </c>
      <c r="H3613" t="str">
        <f>""</f>
        <v/>
      </c>
      <c r="J3613" t="str">
        <f t="shared" si="68"/>
        <v>VERITY HRA FEE</v>
      </c>
    </row>
    <row r="3614" spans="1:10" x14ac:dyDescent="0.3">
      <c r="A3614" t="str">
        <f>""</f>
        <v/>
      </c>
      <c r="G3614" t="str">
        <f>""</f>
        <v/>
      </c>
      <c r="H3614" t="str">
        <f>""</f>
        <v/>
      </c>
      <c r="J3614" t="str">
        <f t="shared" si="68"/>
        <v>VERITY HRA FEE</v>
      </c>
    </row>
    <row r="3615" spans="1:10" x14ac:dyDescent="0.3">
      <c r="A3615" t="str">
        <f>""</f>
        <v/>
      </c>
      <c r="G3615" t="str">
        <f>""</f>
        <v/>
      </c>
      <c r="H3615" t="str">
        <f>""</f>
        <v/>
      </c>
      <c r="J3615" t="str">
        <f t="shared" si="68"/>
        <v>VERITY HRA FEE</v>
      </c>
    </row>
    <row r="3616" spans="1:10" x14ac:dyDescent="0.3">
      <c r="A3616" t="str">
        <f>""</f>
        <v/>
      </c>
      <c r="G3616" t="str">
        <f>""</f>
        <v/>
      </c>
      <c r="H3616" t="str">
        <f>""</f>
        <v/>
      </c>
      <c r="J3616" t="str">
        <f t="shared" si="68"/>
        <v>VERITY HRA FEE</v>
      </c>
    </row>
    <row r="3617" spans="1:10" x14ac:dyDescent="0.3">
      <c r="A3617" t="str">
        <f>""</f>
        <v/>
      </c>
      <c r="G3617" t="str">
        <f>""</f>
        <v/>
      </c>
      <c r="H3617" t="str">
        <f>""</f>
        <v/>
      </c>
      <c r="J3617" t="str">
        <f t="shared" si="68"/>
        <v>VERITY HRA FEE</v>
      </c>
    </row>
    <row r="3618" spans="1:10" x14ac:dyDescent="0.3">
      <c r="A3618" t="str">
        <f>""</f>
        <v/>
      </c>
      <c r="G3618" t="str">
        <f>""</f>
        <v/>
      </c>
      <c r="H3618" t="str">
        <f>""</f>
        <v/>
      </c>
      <c r="J3618" t="str">
        <f t="shared" si="68"/>
        <v>VERITY HRA FEE</v>
      </c>
    </row>
    <row r="3619" spans="1:10" x14ac:dyDescent="0.3">
      <c r="A3619" t="str">
        <f>""</f>
        <v/>
      </c>
      <c r="G3619" t="str">
        <f>""</f>
        <v/>
      </c>
      <c r="H3619" t="str">
        <f>""</f>
        <v/>
      </c>
      <c r="J3619" t="str">
        <f t="shared" si="68"/>
        <v>VERITY HRA FEE</v>
      </c>
    </row>
    <row r="3620" spans="1:10" x14ac:dyDescent="0.3">
      <c r="A3620" t="str">
        <f>""</f>
        <v/>
      </c>
      <c r="G3620" t="str">
        <f>""</f>
        <v/>
      </c>
      <c r="H3620" t="str">
        <f>""</f>
        <v/>
      </c>
      <c r="J3620" t="str">
        <f t="shared" si="68"/>
        <v>VERITY HRA FEE</v>
      </c>
    </row>
    <row r="3621" spans="1:10" x14ac:dyDescent="0.3">
      <c r="A3621" t="str">
        <f>""</f>
        <v/>
      </c>
      <c r="G3621" t="str">
        <f>""</f>
        <v/>
      </c>
      <c r="H3621" t="str">
        <f>""</f>
        <v/>
      </c>
      <c r="J3621" t="str">
        <f t="shared" si="68"/>
        <v>VERITY HRA FEE</v>
      </c>
    </row>
    <row r="3622" spans="1:10" x14ac:dyDescent="0.3">
      <c r="A3622" t="str">
        <f>""</f>
        <v/>
      </c>
      <c r="G3622" t="str">
        <f>""</f>
        <v/>
      </c>
      <c r="H3622" t="str">
        <f>""</f>
        <v/>
      </c>
      <c r="J3622" t="str">
        <f t="shared" si="68"/>
        <v>VERITY HRA FEE</v>
      </c>
    </row>
    <row r="3623" spans="1:10" x14ac:dyDescent="0.3">
      <c r="A3623" t="str">
        <f>""</f>
        <v/>
      </c>
      <c r="G3623" t="str">
        <f>""</f>
        <v/>
      </c>
      <c r="H3623" t="str">
        <f>""</f>
        <v/>
      </c>
      <c r="J3623" t="str">
        <f t="shared" si="68"/>
        <v>VERITY HRA FEE</v>
      </c>
    </row>
    <row r="3624" spans="1:10" x14ac:dyDescent="0.3">
      <c r="A3624" t="str">
        <f>""</f>
        <v/>
      </c>
      <c r="G3624" t="str">
        <f>""</f>
        <v/>
      </c>
      <c r="H3624" t="str">
        <f>""</f>
        <v/>
      </c>
      <c r="J3624" t="str">
        <f t="shared" si="68"/>
        <v>VERITY HRA FEE</v>
      </c>
    </row>
    <row r="3625" spans="1:10" x14ac:dyDescent="0.3">
      <c r="A3625" t="str">
        <f>""</f>
        <v/>
      </c>
      <c r="G3625" t="str">
        <f>""</f>
        <v/>
      </c>
      <c r="H3625" t="str">
        <f>""</f>
        <v/>
      </c>
      <c r="J3625" t="str">
        <f t="shared" si="68"/>
        <v>VERITY HRA FEE</v>
      </c>
    </row>
    <row r="3626" spans="1:10" x14ac:dyDescent="0.3">
      <c r="A3626" t="str">
        <f>""</f>
        <v/>
      </c>
      <c r="G3626" t="str">
        <f>""</f>
        <v/>
      </c>
      <c r="H3626" t="str">
        <f>""</f>
        <v/>
      </c>
      <c r="J3626" t="str">
        <f t="shared" si="68"/>
        <v>VERITY HRA FEE</v>
      </c>
    </row>
    <row r="3627" spans="1:10" x14ac:dyDescent="0.3">
      <c r="A3627" t="str">
        <f>""</f>
        <v/>
      </c>
      <c r="G3627" t="str">
        <f>""</f>
        <v/>
      </c>
      <c r="H3627" t="str">
        <f>""</f>
        <v/>
      </c>
      <c r="J3627" t="str">
        <f t="shared" si="68"/>
        <v>VERITY HRA FEE</v>
      </c>
    </row>
    <row r="3628" spans="1:10" x14ac:dyDescent="0.3">
      <c r="A3628" t="str">
        <f>""</f>
        <v/>
      </c>
      <c r="G3628" t="str">
        <f>""</f>
        <v/>
      </c>
      <c r="H3628" t="str">
        <f>""</f>
        <v/>
      </c>
      <c r="J3628" t="str">
        <f t="shared" si="68"/>
        <v>VERITY HRA FEE</v>
      </c>
    </row>
    <row r="3629" spans="1:10" x14ac:dyDescent="0.3">
      <c r="A3629" t="str">
        <f>""</f>
        <v/>
      </c>
      <c r="G3629" t="str">
        <f>""</f>
        <v/>
      </c>
      <c r="H3629" t="str">
        <f>""</f>
        <v/>
      </c>
      <c r="J3629" t="str">
        <f t="shared" si="68"/>
        <v>VERITY HRA FEE</v>
      </c>
    </row>
    <row r="3630" spans="1:10" x14ac:dyDescent="0.3">
      <c r="A3630" t="str">
        <f>""</f>
        <v/>
      </c>
      <c r="G3630" t="str">
        <f>""</f>
        <v/>
      </c>
      <c r="H3630" t="str">
        <f>""</f>
        <v/>
      </c>
      <c r="J3630" t="str">
        <f t="shared" si="68"/>
        <v>VERITY HRA FEE</v>
      </c>
    </row>
    <row r="3631" spans="1:10" x14ac:dyDescent="0.3">
      <c r="A3631" t="str">
        <f>""</f>
        <v/>
      </c>
      <c r="G3631" t="str">
        <f>""</f>
        <v/>
      </c>
      <c r="H3631" t="str">
        <f>""</f>
        <v/>
      </c>
      <c r="J3631" t="str">
        <f t="shared" si="68"/>
        <v>VERITY HRA FEE</v>
      </c>
    </row>
    <row r="3632" spans="1:10" x14ac:dyDescent="0.3">
      <c r="A3632" t="str">
        <f>""</f>
        <v/>
      </c>
      <c r="F3632" t="s">
        <v>10</v>
      </c>
      <c r="G3632" t="str">
        <f>"HRF201706143098"</f>
        <v>HRF201706143098</v>
      </c>
      <c r="H3632" t="str">
        <f>"VERITY HRA FEE"</f>
        <v>VERITY HRA FEE</v>
      </c>
      <c r="I3632" s="2">
        <v>30</v>
      </c>
      <c r="J3632" t="str">
        <f t="shared" si="68"/>
        <v>VERITY HRA FEE</v>
      </c>
    </row>
    <row r="3633" spans="1:10" x14ac:dyDescent="0.3">
      <c r="A3633" t="str">
        <f t="shared" ref="A3633:A3664" si="69">"1"</f>
        <v>1</v>
      </c>
      <c r="B3633" t="s">
        <v>581</v>
      </c>
      <c r="C3633">
        <v>45555</v>
      </c>
      <c r="D3633" s="2">
        <v>381</v>
      </c>
      <c r="E3633" s="1">
        <v>42916</v>
      </c>
      <c r="F3633" t="s">
        <v>10</v>
      </c>
      <c r="G3633" t="str">
        <f>"201707113500"</f>
        <v>201707113500</v>
      </c>
      <c r="H3633" t="str">
        <f>""</f>
        <v/>
      </c>
      <c r="I3633" s="2">
        <v>381</v>
      </c>
      <c r="J3633" t="str">
        <f>"BASTROP COUNTY ANIMAL CONTROL"</f>
        <v>BASTROP COUNTY ANIMAL CONTROL</v>
      </c>
    </row>
    <row r="3634" spans="1:10" x14ac:dyDescent="0.3">
      <c r="A3634" t="str">
        <f t="shared" si="69"/>
        <v>1</v>
      </c>
      <c r="B3634" t="s">
        <v>582</v>
      </c>
      <c r="C3634">
        <v>45556</v>
      </c>
      <c r="D3634" s="2">
        <v>596.95000000000005</v>
      </c>
      <c r="E3634" s="1">
        <v>42916</v>
      </c>
      <c r="F3634" t="s">
        <v>10</v>
      </c>
      <c r="G3634" t="str">
        <f>"201707113501"</f>
        <v>201707113501</v>
      </c>
      <c r="H3634" t="str">
        <f>""</f>
        <v/>
      </c>
      <c r="I3634" s="2">
        <v>596.95000000000005</v>
      </c>
      <c r="J3634" t="str">
        <f>"BASTROP VETERINARY HOSPITAL"</f>
        <v>BASTROP VETERINARY HOSPITAL</v>
      </c>
    </row>
    <row r="3635" spans="1:10" x14ac:dyDescent="0.3">
      <c r="A3635" t="str">
        <f t="shared" si="69"/>
        <v>1</v>
      </c>
      <c r="B3635" t="s">
        <v>583</v>
      </c>
      <c r="C3635">
        <v>45557</v>
      </c>
      <c r="D3635" s="2">
        <v>80</v>
      </c>
      <c r="E3635" s="1">
        <v>42916</v>
      </c>
      <c r="F3635" t="s">
        <v>10</v>
      </c>
      <c r="G3635" t="str">
        <f>"201707113502"</f>
        <v>201707113502</v>
      </c>
      <c r="H3635" t="str">
        <f>""</f>
        <v/>
      </c>
      <c r="I3635" s="2">
        <v>80</v>
      </c>
      <c r="J3635" t="str">
        <f>"BRAZOS VALLEY SCHOOL CREDIT UN"</f>
        <v>BRAZOS VALLEY SCHOOL CREDIT UN</v>
      </c>
    </row>
    <row r="3636" spans="1:10" x14ac:dyDescent="0.3">
      <c r="A3636" t="str">
        <f t="shared" si="69"/>
        <v>1</v>
      </c>
      <c r="B3636" t="s">
        <v>584</v>
      </c>
      <c r="C3636">
        <v>45558</v>
      </c>
      <c r="D3636" s="2">
        <v>300</v>
      </c>
      <c r="E3636" s="1">
        <v>42916</v>
      </c>
      <c r="F3636" t="s">
        <v>10</v>
      </c>
      <c r="G3636" t="str">
        <f>"201707113503"</f>
        <v>201707113503</v>
      </c>
      <c r="H3636" t="str">
        <f>"Miscel"</f>
        <v>Miscel</v>
      </c>
      <c r="I3636" s="2">
        <v>300</v>
      </c>
      <c r="J3636" t="str">
        <f>"BRENHAM NATIONAL BANK"</f>
        <v>BRENHAM NATIONAL BANK</v>
      </c>
    </row>
    <row r="3637" spans="1:10" x14ac:dyDescent="0.3">
      <c r="A3637" t="str">
        <f t="shared" si="69"/>
        <v>1</v>
      </c>
      <c r="B3637" t="s">
        <v>585</v>
      </c>
      <c r="C3637">
        <v>45559</v>
      </c>
      <c r="D3637" s="2">
        <v>30</v>
      </c>
      <c r="E3637" s="1">
        <v>42916</v>
      </c>
      <c r="F3637" t="s">
        <v>10</v>
      </c>
      <c r="G3637" t="str">
        <f>"201707113504"</f>
        <v>201707113504</v>
      </c>
      <c r="H3637" t="str">
        <f>"Mis"</f>
        <v>Mis</v>
      </c>
      <c r="I3637" s="2">
        <v>30</v>
      </c>
      <c r="J3637" t="str">
        <f>"BROOKSHIRE BROTHERS LTD."</f>
        <v>BROOKSHIRE BROTHERS LTD.</v>
      </c>
    </row>
    <row r="3638" spans="1:10" x14ac:dyDescent="0.3">
      <c r="A3638" t="str">
        <f t="shared" si="69"/>
        <v>1</v>
      </c>
      <c r="B3638" t="s">
        <v>586</v>
      </c>
      <c r="C3638">
        <v>45560</v>
      </c>
      <c r="D3638" s="2">
        <v>30</v>
      </c>
      <c r="E3638" s="1">
        <v>42916</v>
      </c>
      <c r="F3638" t="s">
        <v>10</v>
      </c>
      <c r="G3638" t="str">
        <f>"201707113505"</f>
        <v>201707113505</v>
      </c>
      <c r="H3638" t="str">
        <f>"Miscellaneous"</f>
        <v>Miscellaneous</v>
      </c>
      <c r="I3638" s="2">
        <v>30</v>
      </c>
      <c r="J3638" t="str">
        <f>"BRUCE R. FAUST"</f>
        <v>BRUCE R. FAUST</v>
      </c>
    </row>
    <row r="3639" spans="1:10" x14ac:dyDescent="0.3">
      <c r="A3639" t="str">
        <f t="shared" si="69"/>
        <v>1</v>
      </c>
      <c r="B3639" t="s">
        <v>587</v>
      </c>
      <c r="C3639">
        <v>45561</v>
      </c>
      <c r="D3639" s="2">
        <v>43.49</v>
      </c>
      <c r="E3639" s="1">
        <v>42916</v>
      </c>
      <c r="F3639" t="s">
        <v>10</v>
      </c>
      <c r="G3639" t="str">
        <f>"201707113506"</f>
        <v>201707113506</v>
      </c>
      <c r="H3639" t="str">
        <f>"Miscellaneous"</f>
        <v>Miscellaneous</v>
      </c>
      <c r="I3639" s="2">
        <v>43.49</v>
      </c>
      <c r="J3639" t="str">
        <f>"BUC-EES"</f>
        <v>BUC-EES</v>
      </c>
    </row>
    <row r="3640" spans="1:10" x14ac:dyDescent="0.3">
      <c r="A3640" t="str">
        <f t="shared" si="69"/>
        <v>1</v>
      </c>
      <c r="B3640" t="s">
        <v>588</v>
      </c>
      <c r="C3640">
        <v>45562</v>
      </c>
      <c r="D3640" s="2">
        <v>150</v>
      </c>
      <c r="E3640" s="1">
        <v>42916</v>
      </c>
      <c r="F3640" t="s">
        <v>10</v>
      </c>
      <c r="G3640" t="str">
        <f>"201707113507"</f>
        <v>201707113507</v>
      </c>
      <c r="H3640" t="str">
        <f>"Miscella"</f>
        <v>Miscella</v>
      </c>
      <c r="I3640" s="2">
        <v>150</v>
      </c>
      <c r="J3640" t="str">
        <f>"CAN AND LETHU TRIEU"</f>
        <v>CAN AND LETHU TRIEU</v>
      </c>
    </row>
    <row r="3641" spans="1:10" x14ac:dyDescent="0.3">
      <c r="A3641" t="str">
        <f t="shared" si="69"/>
        <v>1</v>
      </c>
      <c r="B3641" t="s">
        <v>589</v>
      </c>
      <c r="C3641">
        <v>45563</v>
      </c>
      <c r="D3641" s="2">
        <v>1279.32</v>
      </c>
      <c r="E3641" s="1">
        <v>42916</v>
      </c>
      <c r="F3641" t="s">
        <v>10</v>
      </c>
      <c r="G3641" t="str">
        <f>"201707113508"</f>
        <v>201707113508</v>
      </c>
      <c r="H3641" t="str">
        <f>"Mi"</f>
        <v>Mi</v>
      </c>
      <c r="I3641" s="2">
        <v>1279.32</v>
      </c>
      <c r="J3641" t="str">
        <f>"CARMINE FEED &amp; FERTILIZER"</f>
        <v>CARMINE FEED &amp; FERTILIZER</v>
      </c>
    </row>
    <row r="3642" spans="1:10" x14ac:dyDescent="0.3">
      <c r="A3642" t="str">
        <f t="shared" si="69"/>
        <v>1</v>
      </c>
      <c r="B3642" t="s">
        <v>590</v>
      </c>
      <c r="C3642">
        <v>45564</v>
      </c>
      <c r="D3642" s="2">
        <v>280</v>
      </c>
      <c r="E3642" s="1">
        <v>42916</v>
      </c>
      <c r="F3642" t="s">
        <v>10</v>
      </c>
      <c r="G3642" t="str">
        <f>"201707113509"</f>
        <v>201707113509</v>
      </c>
      <c r="H3642" t="str">
        <f>"Miscella"</f>
        <v>Miscella</v>
      </c>
      <c r="I3642" s="2">
        <v>280</v>
      </c>
      <c r="J3642" t="str">
        <f>"CENTER DRIVE IN III"</f>
        <v>CENTER DRIVE IN III</v>
      </c>
    </row>
    <row r="3643" spans="1:10" x14ac:dyDescent="0.3">
      <c r="A3643" t="str">
        <f t="shared" si="69"/>
        <v>1</v>
      </c>
      <c r="B3643" t="s">
        <v>591</v>
      </c>
      <c r="C3643">
        <v>45565</v>
      </c>
      <c r="D3643" s="2">
        <v>180</v>
      </c>
      <c r="E3643" s="1">
        <v>42916</v>
      </c>
      <c r="F3643" t="s">
        <v>10</v>
      </c>
      <c r="G3643" t="str">
        <f>"201707113510"</f>
        <v>201707113510</v>
      </c>
      <c r="H3643" t="str">
        <f>""</f>
        <v/>
      </c>
      <c r="I3643" s="2">
        <v>180</v>
      </c>
      <c r="J3643" t="str">
        <f>"CITI SECURITY AND INVESTIGATIV"</f>
        <v>CITI SECURITY AND INVESTIGATIV</v>
      </c>
    </row>
    <row r="3644" spans="1:10" x14ac:dyDescent="0.3">
      <c r="A3644" t="str">
        <f t="shared" si="69"/>
        <v>1</v>
      </c>
      <c r="B3644" t="s">
        <v>592</v>
      </c>
      <c r="C3644">
        <v>45566</v>
      </c>
      <c r="D3644" s="2">
        <v>162.38</v>
      </c>
      <c r="E3644" s="1">
        <v>42916</v>
      </c>
      <c r="F3644" t="s">
        <v>10</v>
      </c>
      <c r="G3644" t="str">
        <f>"201707113511"</f>
        <v>201707113511</v>
      </c>
      <c r="H3644" t="str">
        <f>"Miscellaneo"</f>
        <v>Miscellaneo</v>
      </c>
      <c r="I3644" s="2">
        <v>162.38</v>
      </c>
      <c r="J3644" t="str">
        <f>"CITY OF GIDDINGS"</f>
        <v>CITY OF GIDDINGS</v>
      </c>
    </row>
    <row r="3645" spans="1:10" x14ac:dyDescent="0.3">
      <c r="A3645" t="str">
        <f t="shared" si="69"/>
        <v>1</v>
      </c>
      <c r="B3645" t="s">
        <v>593</v>
      </c>
      <c r="C3645">
        <v>45567</v>
      </c>
      <c r="D3645" s="2">
        <v>21</v>
      </c>
      <c r="E3645" s="1">
        <v>42916</v>
      </c>
      <c r="F3645" t="s">
        <v>10</v>
      </c>
      <c r="G3645" t="str">
        <f>"201707113512"</f>
        <v>201707113512</v>
      </c>
      <c r="H3645" t="str">
        <f>"Miscellaneous"</f>
        <v>Miscellaneous</v>
      </c>
      <c r="I3645" s="2">
        <v>21</v>
      </c>
      <c r="J3645" t="str">
        <f>"CLARA LITTLES"</f>
        <v>CLARA LITTLES</v>
      </c>
    </row>
    <row r="3646" spans="1:10" x14ac:dyDescent="0.3">
      <c r="A3646" t="str">
        <f t="shared" si="69"/>
        <v>1</v>
      </c>
      <c r="B3646" t="s">
        <v>594</v>
      </c>
      <c r="C3646">
        <v>45568</v>
      </c>
      <c r="D3646" s="2">
        <v>250</v>
      </c>
      <c r="E3646" s="1">
        <v>42916</v>
      </c>
      <c r="F3646" t="s">
        <v>10</v>
      </c>
      <c r="G3646" t="str">
        <f>"201707113513"</f>
        <v>201707113513</v>
      </c>
      <c r="H3646" t="str">
        <f>"Miscellaneous"</f>
        <v>Miscellaneous</v>
      </c>
      <c r="I3646" s="2">
        <v>250</v>
      </c>
      <c r="J3646" t="str">
        <f>"COLLIER FARMS"</f>
        <v>COLLIER FARMS</v>
      </c>
    </row>
    <row r="3647" spans="1:10" x14ac:dyDescent="0.3">
      <c r="A3647" t="str">
        <f t="shared" si="69"/>
        <v>1</v>
      </c>
      <c r="B3647" t="s">
        <v>595</v>
      </c>
      <c r="C3647">
        <v>45569</v>
      </c>
      <c r="D3647" s="2">
        <v>60</v>
      </c>
      <c r="E3647" s="1">
        <v>42916</v>
      </c>
      <c r="F3647" t="s">
        <v>10</v>
      </c>
      <c r="G3647" t="str">
        <f>"201707113514"</f>
        <v>201707113514</v>
      </c>
      <c r="H3647" t="str">
        <f>"Miscell"</f>
        <v>Miscell</v>
      </c>
      <c r="I3647" s="2">
        <v>60</v>
      </c>
      <c r="J3647" t="str">
        <f>"CVC ATTORNEY GENERAL"</f>
        <v>CVC ATTORNEY GENERAL</v>
      </c>
    </row>
    <row r="3648" spans="1:10" x14ac:dyDescent="0.3">
      <c r="A3648" t="str">
        <f t="shared" si="69"/>
        <v>1</v>
      </c>
      <c r="B3648" t="s">
        <v>596</v>
      </c>
      <c r="C3648">
        <v>45570</v>
      </c>
      <c r="D3648" s="2">
        <v>165</v>
      </c>
      <c r="E3648" s="1">
        <v>42916</v>
      </c>
      <c r="F3648" t="s">
        <v>10</v>
      </c>
      <c r="G3648" t="str">
        <f>"201707113515"</f>
        <v>201707113515</v>
      </c>
      <c r="H3648" t="str">
        <f>"Miscellaneous"</f>
        <v>Miscellaneous</v>
      </c>
      <c r="I3648" s="2">
        <v>165</v>
      </c>
      <c r="J3648" t="str">
        <f>"DEBORAH TATUM"</f>
        <v>DEBORAH TATUM</v>
      </c>
    </row>
    <row r="3649" spans="1:10" x14ac:dyDescent="0.3">
      <c r="A3649" t="str">
        <f t="shared" si="69"/>
        <v>1</v>
      </c>
      <c r="B3649" t="s">
        <v>597</v>
      </c>
      <c r="C3649">
        <v>45571</v>
      </c>
      <c r="D3649" s="2">
        <v>300</v>
      </c>
      <c r="E3649" s="1">
        <v>42916</v>
      </c>
      <c r="F3649" t="s">
        <v>10</v>
      </c>
      <c r="G3649" t="str">
        <f>"201707113516"</f>
        <v>201707113516</v>
      </c>
      <c r="H3649" t="str">
        <f>"Miscellan"</f>
        <v>Miscellan</v>
      </c>
      <c r="I3649" s="2">
        <v>300</v>
      </c>
      <c r="J3649" t="str">
        <f>"ENERGY TRANSFER CO"</f>
        <v>ENERGY TRANSFER CO</v>
      </c>
    </row>
    <row r="3650" spans="1:10" x14ac:dyDescent="0.3">
      <c r="A3650" t="str">
        <f t="shared" si="69"/>
        <v>1</v>
      </c>
      <c r="B3650" t="s">
        <v>598</v>
      </c>
      <c r="C3650">
        <v>45572</v>
      </c>
      <c r="D3650" s="2">
        <v>200</v>
      </c>
      <c r="E3650" s="1">
        <v>42916</v>
      </c>
      <c r="F3650" t="s">
        <v>10</v>
      </c>
      <c r="G3650" t="str">
        <f>"201707113517"</f>
        <v>201707113517</v>
      </c>
      <c r="H3650" t="str">
        <f>"Miscel"</f>
        <v>Miscel</v>
      </c>
      <c r="I3650" s="2">
        <v>200</v>
      </c>
      <c r="J3650" t="str">
        <f>"ESTATE OF ALBERT ALMS"</f>
        <v>ESTATE OF ALBERT ALMS</v>
      </c>
    </row>
    <row r="3651" spans="1:10" x14ac:dyDescent="0.3">
      <c r="A3651" t="str">
        <f t="shared" si="69"/>
        <v>1</v>
      </c>
      <c r="B3651" t="s">
        <v>599</v>
      </c>
      <c r="C3651">
        <v>45573</v>
      </c>
      <c r="D3651" s="2">
        <v>95</v>
      </c>
      <c r="E3651" s="1">
        <v>42916</v>
      </c>
      <c r="F3651" t="s">
        <v>10</v>
      </c>
      <c r="G3651" t="str">
        <f>"201707113518"</f>
        <v>201707113518</v>
      </c>
      <c r="H3651" t="str">
        <f>""</f>
        <v/>
      </c>
      <c r="I3651" s="2">
        <v>95</v>
      </c>
      <c r="J3651" t="str">
        <f>"FIRST NATIONAL BANK OF GIDDING"</f>
        <v>FIRST NATIONAL BANK OF GIDDING</v>
      </c>
    </row>
    <row r="3652" spans="1:10" x14ac:dyDescent="0.3">
      <c r="A3652" t="str">
        <f t="shared" si="69"/>
        <v>1</v>
      </c>
      <c r="B3652" t="s">
        <v>600</v>
      </c>
      <c r="C3652">
        <v>45574</v>
      </c>
      <c r="D3652" s="2">
        <v>60</v>
      </c>
      <c r="E3652" s="1">
        <v>42916</v>
      </c>
      <c r="F3652" t="s">
        <v>10</v>
      </c>
      <c r="G3652" t="str">
        <f>"201707113519"</f>
        <v>201707113519</v>
      </c>
      <c r="H3652" t="str">
        <f>"M"</f>
        <v>M</v>
      </c>
      <c r="I3652" s="2">
        <v>60</v>
      </c>
      <c r="J3652" t="str">
        <f>"GIDDINGS POLICE DEPARTMENT"</f>
        <v>GIDDINGS POLICE DEPARTMENT</v>
      </c>
    </row>
    <row r="3653" spans="1:10" x14ac:dyDescent="0.3">
      <c r="A3653" t="str">
        <f t="shared" si="69"/>
        <v>1</v>
      </c>
      <c r="B3653" t="s">
        <v>601</v>
      </c>
      <c r="C3653">
        <v>45575</v>
      </c>
      <c r="D3653" s="2">
        <v>260</v>
      </c>
      <c r="E3653" s="1">
        <v>42916</v>
      </c>
      <c r="F3653" t="s">
        <v>10</v>
      </c>
      <c r="G3653" t="str">
        <f>"201707113520"</f>
        <v>201707113520</v>
      </c>
      <c r="H3653" t="str">
        <f>"Miscellaneous"</f>
        <v>Miscellaneous</v>
      </c>
      <c r="I3653" s="2">
        <v>260</v>
      </c>
      <c r="J3653" t="str">
        <f>"GILBERTO REYES"</f>
        <v>GILBERTO REYES</v>
      </c>
    </row>
    <row r="3654" spans="1:10" x14ac:dyDescent="0.3">
      <c r="A3654" t="str">
        <f t="shared" si="69"/>
        <v>1</v>
      </c>
      <c r="B3654" t="s">
        <v>602</v>
      </c>
      <c r="C3654">
        <v>45576</v>
      </c>
      <c r="D3654" s="2">
        <v>140</v>
      </c>
      <c r="E3654" s="1">
        <v>42916</v>
      </c>
      <c r="F3654" t="s">
        <v>10</v>
      </c>
      <c r="G3654" t="str">
        <f>"201707113521"</f>
        <v>201707113521</v>
      </c>
      <c r="H3654" t="str">
        <f>"Miscellaneo"</f>
        <v>Miscellaneo</v>
      </c>
      <c r="I3654" s="2">
        <v>140</v>
      </c>
      <c r="J3654" t="str">
        <f>"GLORIA K. ARNOLD"</f>
        <v>GLORIA K. ARNOLD</v>
      </c>
    </row>
    <row r="3655" spans="1:10" x14ac:dyDescent="0.3">
      <c r="A3655" t="str">
        <f t="shared" si="69"/>
        <v>1</v>
      </c>
      <c r="B3655" t="s">
        <v>603</v>
      </c>
      <c r="C3655">
        <v>45577</v>
      </c>
      <c r="D3655" s="2">
        <v>150</v>
      </c>
      <c r="E3655" s="1">
        <v>42916</v>
      </c>
      <c r="F3655" t="s">
        <v>10</v>
      </c>
      <c r="G3655" t="str">
        <f>"201707113522"</f>
        <v>201707113522</v>
      </c>
      <c r="H3655" t="str">
        <f>"Miscell"</f>
        <v>Miscell</v>
      </c>
      <c r="I3655" s="2">
        <v>150</v>
      </c>
      <c r="J3655" t="str">
        <f>"GOOD LIFE RANCH  LLC"</f>
        <v>GOOD LIFE RANCH  LLC</v>
      </c>
    </row>
    <row r="3656" spans="1:10" x14ac:dyDescent="0.3">
      <c r="A3656" t="str">
        <f t="shared" si="69"/>
        <v>1</v>
      </c>
      <c r="B3656" t="s">
        <v>604</v>
      </c>
      <c r="C3656">
        <v>45578</v>
      </c>
      <c r="D3656" s="2">
        <v>50</v>
      </c>
      <c r="E3656" s="1">
        <v>42916</v>
      </c>
      <c r="F3656" t="s">
        <v>10</v>
      </c>
      <c r="G3656" t="str">
        <f>"201707113523"</f>
        <v>201707113523</v>
      </c>
      <c r="H3656" t="str">
        <f>"CH"</f>
        <v>CH</v>
      </c>
      <c r="I3656" s="2">
        <v>50</v>
      </c>
      <c r="J3656" t="str">
        <f>"GREAT MIDWEST INS CO. ATTN: CH"</f>
        <v>GREAT MIDWEST INS CO. ATTN: CH</v>
      </c>
    </row>
    <row r="3657" spans="1:10" x14ac:dyDescent="0.3">
      <c r="A3657" t="str">
        <f t="shared" si="69"/>
        <v>1</v>
      </c>
      <c r="B3657" t="s">
        <v>605</v>
      </c>
      <c r="C3657">
        <v>45579</v>
      </c>
      <c r="D3657" s="2">
        <v>730</v>
      </c>
      <c r="E3657" s="1">
        <v>42916</v>
      </c>
      <c r="F3657" t="s">
        <v>10</v>
      </c>
      <c r="G3657" t="str">
        <f>"201707113524"</f>
        <v>201707113524</v>
      </c>
      <c r="H3657" t="str">
        <f>"M"</f>
        <v>M</v>
      </c>
      <c r="I3657" s="2">
        <v>730</v>
      </c>
      <c r="J3657" t="str">
        <f>"HHSC ARTS (MAIL CODE 1470)"</f>
        <v>HHSC ARTS (MAIL CODE 1470)</v>
      </c>
    </row>
    <row r="3658" spans="1:10" x14ac:dyDescent="0.3">
      <c r="A3658" t="str">
        <f t="shared" si="69"/>
        <v>1</v>
      </c>
      <c r="B3658" t="s">
        <v>606</v>
      </c>
      <c r="C3658">
        <v>45580</v>
      </c>
      <c r="D3658" s="2">
        <v>225</v>
      </c>
      <c r="E3658" s="1">
        <v>42916</v>
      </c>
      <c r="F3658" t="s">
        <v>10</v>
      </c>
      <c r="G3658" t="str">
        <f>"201707113525"</f>
        <v>201707113525</v>
      </c>
      <c r="H3658" t="str">
        <f>"Miscellaneous"</f>
        <v>Miscellaneous</v>
      </c>
      <c r="I3658" s="2">
        <v>225</v>
      </c>
      <c r="J3658" t="str">
        <f>"ISIAH FRANKLIN"</f>
        <v>ISIAH FRANKLIN</v>
      </c>
    </row>
    <row r="3659" spans="1:10" x14ac:dyDescent="0.3">
      <c r="A3659" t="str">
        <f t="shared" si="69"/>
        <v>1</v>
      </c>
      <c r="B3659" t="s">
        <v>607</v>
      </c>
      <c r="C3659">
        <v>45581</v>
      </c>
      <c r="D3659" s="2">
        <v>100</v>
      </c>
      <c r="E3659" s="1">
        <v>42916</v>
      </c>
      <c r="F3659" t="s">
        <v>10</v>
      </c>
      <c r="G3659" t="str">
        <f>"201707113526"</f>
        <v>201707113526</v>
      </c>
      <c r="H3659" t="str">
        <f>"Miscellaneous"</f>
        <v>Miscellaneous</v>
      </c>
      <c r="I3659" s="2">
        <v>100</v>
      </c>
      <c r="J3659" t="str">
        <f>"JAMES HOOPER"</f>
        <v>JAMES HOOPER</v>
      </c>
    </row>
    <row r="3660" spans="1:10" x14ac:dyDescent="0.3">
      <c r="A3660" t="str">
        <f t="shared" si="69"/>
        <v>1</v>
      </c>
      <c r="B3660" t="s">
        <v>608</v>
      </c>
      <c r="C3660">
        <v>45582</v>
      </c>
      <c r="D3660" s="2">
        <v>105</v>
      </c>
      <c r="E3660" s="1">
        <v>42916</v>
      </c>
      <c r="F3660" t="s">
        <v>10</v>
      </c>
      <c r="G3660" t="str">
        <f>"201707113527"</f>
        <v>201707113527</v>
      </c>
      <c r="H3660" t="str">
        <f>"Miscellaneous"</f>
        <v>Miscellaneous</v>
      </c>
      <c r="I3660" s="2">
        <v>105</v>
      </c>
      <c r="J3660" t="str">
        <f>"JAMES MITSCHKE"</f>
        <v>JAMES MITSCHKE</v>
      </c>
    </row>
    <row r="3661" spans="1:10" x14ac:dyDescent="0.3">
      <c r="A3661" t="str">
        <f t="shared" si="69"/>
        <v>1</v>
      </c>
      <c r="B3661" t="s">
        <v>609</v>
      </c>
      <c r="C3661">
        <v>45583</v>
      </c>
      <c r="D3661" s="2">
        <v>400</v>
      </c>
      <c r="E3661" s="1">
        <v>42916</v>
      </c>
      <c r="F3661" t="s">
        <v>10</v>
      </c>
      <c r="G3661" t="str">
        <f>"201707113528"</f>
        <v>201707113528</v>
      </c>
      <c r="H3661" t="str">
        <f>"Miscellaneous"</f>
        <v>Miscellaneous</v>
      </c>
      <c r="I3661" s="2">
        <v>400</v>
      </c>
      <c r="J3661" t="str">
        <f>"JB HUNT"</f>
        <v>JB HUNT</v>
      </c>
    </row>
    <row r="3662" spans="1:10" x14ac:dyDescent="0.3">
      <c r="A3662" t="str">
        <f t="shared" si="69"/>
        <v>1</v>
      </c>
      <c r="B3662" t="s">
        <v>610</v>
      </c>
      <c r="C3662">
        <v>45584</v>
      </c>
      <c r="D3662" s="2">
        <v>250</v>
      </c>
      <c r="E3662" s="1">
        <v>42916</v>
      </c>
      <c r="F3662" t="s">
        <v>10</v>
      </c>
      <c r="G3662" t="str">
        <f>"201707113529"</f>
        <v>201707113529</v>
      </c>
      <c r="H3662" t="str">
        <f>"Miscellaneous"</f>
        <v>Miscellaneous</v>
      </c>
      <c r="I3662" s="2">
        <v>250</v>
      </c>
      <c r="J3662" t="str">
        <f>"JEFF SALZGEBER"</f>
        <v>JEFF SALZGEBER</v>
      </c>
    </row>
    <row r="3663" spans="1:10" x14ac:dyDescent="0.3">
      <c r="A3663" t="str">
        <f t="shared" si="69"/>
        <v>1</v>
      </c>
      <c r="B3663" t="s">
        <v>611</v>
      </c>
      <c r="C3663">
        <v>45585</v>
      </c>
      <c r="D3663" s="2">
        <v>100</v>
      </c>
      <c r="E3663" s="1">
        <v>42916</v>
      </c>
      <c r="F3663" t="s">
        <v>10</v>
      </c>
      <c r="G3663" t="str">
        <f>"201707113530"</f>
        <v>201707113530</v>
      </c>
      <c r="H3663" t="str">
        <f>""</f>
        <v/>
      </c>
      <c r="I3663" s="2">
        <v>100</v>
      </c>
      <c r="J3663" t="str">
        <f>"JERRY EDMOND FAMILY WORSHIP CE"</f>
        <v>JERRY EDMOND FAMILY WORSHIP CE</v>
      </c>
    </row>
    <row r="3664" spans="1:10" x14ac:dyDescent="0.3">
      <c r="A3664" t="str">
        <f t="shared" si="69"/>
        <v>1</v>
      </c>
      <c r="B3664" t="s">
        <v>612</v>
      </c>
      <c r="C3664">
        <v>45586</v>
      </c>
      <c r="D3664" s="2">
        <v>200</v>
      </c>
      <c r="E3664" s="1">
        <v>42916</v>
      </c>
      <c r="F3664" t="s">
        <v>10</v>
      </c>
      <c r="G3664" t="str">
        <f>"201707113531"</f>
        <v>201707113531</v>
      </c>
      <c r="H3664" t="str">
        <f>"Miscellaneous"</f>
        <v>Miscellaneous</v>
      </c>
      <c r="I3664" s="2">
        <v>200</v>
      </c>
      <c r="J3664" t="str">
        <f>"JOE GRADY TUCK"</f>
        <v>JOE GRADY TUCK</v>
      </c>
    </row>
    <row r="3665" spans="1:10" x14ac:dyDescent="0.3">
      <c r="A3665" t="str">
        <f t="shared" ref="A3665:A3696" si="70">"1"</f>
        <v>1</v>
      </c>
      <c r="B3665" t="s">
        <v>613</v>
      </c>
      <c r="C3665">
        <v>45587</v>
      </c>
      <c r="D3665" s="2">
        <v>408</v>
      </c>
      <c r="E3665" s="1">
        <v>42916</v>
      </c>
      <c r="F3665" t="s">
        <v>10</v>
      </c>
      <c r="G3665" t="str">
        <f>"201707113532"</f>
        <v>201707113532</v>
      </c>
      <c r="H3665" t="str">
        <f>"Miscellaneous"</f>
        <v>Miscellaneous</v>
      </c>
      <c r="I3665" s="2">
        <v>408</v>
      </c>
      <c r="J3665" t="str">
        <f>"KEVIN EDWARDS"</f>
        <v>KEVIN EDWARDS</v>
      </c>
    </row>
    <row r="3666" spans="1:10" x14ac:dyDescent="0.3">
      <c r="A3666" t="str">
        <f t="shared" si="70"/>
        <v>1</v>
      </c>
      <c r="B3666" t="s">
        <v>614</v>
      </c>
      <c r="C3666">
        <v>45588</v>
      </c>
      <c r="D3666" s="2">
        <v>68</v>
      </c>
      <c r="E3666" s="1">
        <v>42916</v>
      </c>
      <c r="F3666" t="s">
        <v>10</v>
      </c>
      <c r="G3666" t="str">
        <f>"201707113533"</f>
        <v>201707113533</v>
      </c>
      <c r="H3666" t="str">
        <f>"Miscellaneo"</f>
        <v>Miscellaneo</v>
      </c>
      <c r="I3666" s="2">
        <v>68</v>
      </c>
      <c r="J3666" t="str">
        <f>"KORMEX FOODS INC"</f>
        <v>KORMEX FOODS INC</v>
      </c>
    </row>
    <row r="3667" spans="1:10" x14ac:dyDescent="0.3">
      <c r="A3667" t="str">
        <f t="shared" si="70"/>
        <v>1</v>
      </c>
      <c r="B3667" t="s">
        <v>615</v>
      </c>
      <c r="C3667">
        <v>45589</v>
      </c>
      <c r="D3667" s="2">
        <v>240</v>
      </c>
      <c r="E3667" s="1">
        <v>42916</v>
      </c>
      <c r="F3667" t="s">
        <v>10</v>
      </c>
      <c r="G3667" t="str">
        <f>"201707113534"</f>
        <v>201707113534</v>
      </c>
      <c r="H3667" t="str">
        <f>"Miscellaneo"</f>
        <v>Miscellaneo</v>
      </c>
      <c r="I3667" s="2">
        <v>240</v>
      </c>
      <c r="J3667" t="str">
        <f>"LARRY WILLINGHAM"</f>
        <v>LARRY WILLINGHAM</v>
      </c>
    </row>
    <row r="3668" spans="1:10" x14ac:dyDescent="0.3">
      <c r="A3668" t="str">
        <f t="shared" si="70"/>
        <v>1</v>
      </c>
      <c r="B3668" t="s">
        <v>616</v>
      </c>
      <c r="C3668">
        <v>45590</v>
      </c>
      <c r="D3668" s="2">
        <v>50</v>
      </c>
      <c r="E3668" s="1">
        <v>42916</v>
      </c>
      <c r="F3668" t="s">
        <v>10</v>
      </c>
      <c r="G3668" t="str">
        <f>"201707113535"</f>
        <v>201707113535</v>
      </c>
      <c r="H3668" t="str">
        <f>"Miscella"</f>
        <v>Miscella</v>
      </c>
      <c r="I3668" s="2">
        <v>50</v>
      </c>
      <c r="J3668" t="str">
        <f>"LUIS OROSTIETA  JR."</f>
        <v>LUIS OROSTIETA  JR.</v>
      </c>
    </row>
    <row r="3669" spans="1:10" x14ac:dyDescent="0.3">
      <c r="A3669" t="str">
        <f t="shared" si="70"/>
        <v>1</v>
      </c>
      <c r="B3669" t="s">
        <v>617</v>
      </c>
      <c r="C3669">
        <v>45591</v>
      </c>
      <c r="D3669" s="2">
        <v>100</v>
      </c>
      <c r="E3669" s="1">
        <v>42916</v>
      </c>
      <c r="F3669" t="s">
        <v>10</v>
      </c>
      <c r="G3669" t="str">
        <f>"201707113536"</f>
        <v>201707113536</v>
      </c>
      <c r="H3669" t="str">
        <f>"Mi"</f>
        <v>Mi</v>
      </c>
      <c r="I3669" s="2">
        <v>100</v>
      </c>
      <c r="J3669" t="str">
        <f>"MCCOY'S BUILDING SUPPLIES"</f>
        <v>MCCOY'S BUILDING SUPPLIES</v>
      </c>
    </row>
    <row r="3670" spans="1:10" x14ac:dyDescent="0.3">
      <c r="A3670" t="str">
        <f t="shared" si="70"/>
        <v>1</v>
      </c>
      <c r="B3670" t="s">
        <v>618</v>
      </c>
      <c r="C3670">
        <v>45592</v>
      </c>
      <c r="D3670" s="2">
        <v>1000</v>
      </c>
      <c r="E3670" s="1">
        <v>42916</v>
      </c>
      <c r="F3670" t="s">
        <v>10</v>
      </c>
      <c r="G3670" t="str">
        <f>"201707113537"</f>
        <v>201707113537</v>
      </c>
      <c r="H3670" t="str">
        <f>"Miscellaneous"</f>
        <v>Miscellaneous</v>
      </c>
      <c r="I3670" s="2">
        <v>1000</v>
      </c>
      <c r="J3670" t="str">
        <f>"MIKE GUTHRIE"</f>
        <v>MIKE GUTHRIE</v>
      </c>
    </row>
    <row r="3671" spans="1:10" x14ac:dyDescent="0.3">
      <c r="A3671" t="str">
        <f t="shared" si="70"/>
        <v>1</v>
      </c>
      <c r="B3671" t="s">
        <v>619</v>
      </c>
      <c r="C3671">
        <v>45593</v>
      </c>
      <c r="D3671" s="2">
        <v>200</v>
      </c>
      <c r="E3671" s="1">
        <v>42916</v>
      </c>
      <c r="F3671" t="s">
        <v>10</v>
      </c>
      <c r="G3671" t="str">
        <f>"201707113538"</f>
        <v>201707113538</v>
      </c>
      <c r="H3671" t="str">
        <f>"Miscellaneous"</f>
        <v>Miscellaneous</v>
      </c>
      <c r="I3671" s="2">
        <v>200</v>
      </c>
      <c r="J3671" t="str">
        <f>"MIKE HORNE"</f>
        <v>MIKE HORNE</v>
      </c>
    </row>
    <row r="3672" spans="1:10" x14ac:dyDescent="0.3">
      <c r="A3672" t="str">
        <f t="shared" si="70"/>
        <v>1</v>
      </c>
      <c r="B3672" t="s">
        <v>620</v>
      </c>
      <c r="C3672">
        <v>45594</v>
      </c>
      <c r="D3672" s="2">
        <v>270</v>
      </c>
      <c r="E3672" s="1">
        <v>42916</v>
      </c>
      <c r="F3672" t="s">
        <v>10</v>
      </c>
      <c r="G3672" t="str">
        <f>"201707113539"</f>
        <v>201707113539</v>
      </c>
      <c r="H3672" t="str">
        <f>""</f>
        <v/>
      </c>
      <c r="I3672" s="2">
        <v>270</v>
      </c>
      <c r="J3672" t="str">
        <f>"MT. VERNON PROPERTY SERVICES"</f>
        <v>MT. VERNON PROPERTY SERVICES</v>
      </c>
    </row>
    <row r="3673" spans="1:10" x14ac:dyDescent="0.3">
      <c r="A3673" t="str">
        <f t="shared" si="70"/>
        <v>1</v>
      </c>
      <c r="B3673" t="s">
        <v>621</v>
      </c>
      <c r="C3673">
        <v>45595</v>
      </c>
      <c r="D3673" s="2">
        <v>70</v>
      </c>
      <c r="E3673" s="1">
        <v>42916</v>
      </c>
      <c r="F3673" t="s">
        <v>10</v>
      </c>
      <c r="G3673" t="str">
        <f>"201707113540"</f>
        <v>201707113540</v>
      </c>
      <c r="H3673" t="str">
        <f>"Miscellaneous"</f>
        <v>Miscellaneous</v>
      </c>
      <c r="I3673" s="2">
        <v>70</v>
      </c>
      <c r="J3673" t="str">
        <f>"MURPHY USA"</f>
        <v>MURPHY USA</v>
      </c>
    </row>
    <row r="3674" spans="1:10" x14ac:dyDescent="0.3">
      <c r="A3674" t="str">
        <f t="shared" si="70"/>
        <v>1</v>
      </c>
      <c r="B3674" t="s">
        <v>622</v>
      </c>
      <c r="C3674">
        <v>45596</v>
      </c>
      <c r="D3674" s="2">
        <v>120</v>
      </c>
      <c r="E3674" s="1">
        <v>42916</v>
      </c>
      <c r="F3674" t="s">
        <v>10</v>
      </c>
      <c r="G3674" t="str">
        <f>"201707113541"</f>
        <v>201707113541</v>
      </c>
      <c r="H3674" t="str">
        <f>"Miscellaneo"</f>
        <v>Miscellaneo</v>
      </c>
      <c r="I3674" s="2">
        <v>120</v>
      </c>
      <c r="J3674" t="str">
        <f>"PATRICIA HOFFMAN"</f>
        <v>PATRICIA HOFFMAN</v>
      </c>
    </row>
    <row r="3675" spans="1:10" x14ac:dyDescent="0.3">
      <c r="A3675" t="str">
        <f t="shared" si="70"/>
        <v>1</v>
      </c>
      <c r="B3675" t="s">
        <v>623</v>
      </c>
      <c r="C3675">
        <v>45597</v>
      </c>
      <c r="D3675" s="2">
        <v>300</v>
      </c>
      <c r="E3675" s="1">
        <v>42916</v>
      </c>
      <c r="F3675" t="s">
        <v>10</v>
      </c>
      <c r="G3675" t="str">
        <f>"201707113542"</f>
        <v>201707113542</v>
      </c>
      <c r="H3675" t="str">
        <f>"Miscel"</f>
        <v>Miscel</v>
      </c>
      <c r="I3675" s="2">
        <v>300</v>
      </c>
      <c r="J3675" t="str">
        <f>"PETERSON FAMILY FOODS"</f>
        <v>PETERSON FAMILY FOODS</v>
      </c>
    </row>
    <row r="3676" spans="1:10" x14ac:dyDescent="0.3">
      <c r="A3676" t="str">
        <f t="shared" si="70"/>
        <v>1</v>
      </c>
      <c r="B3676" t="s">
        <v>624</v>
      </c>
      <c r="C3676">
        <v>45598</v>
      </c>
      <c r="D3676" s="2">
        <v>85</v>
      </c>
      <c r="E3676" s="1">
        <v>42916</v>
      </c>
      <c r="F3676" t="s">
        <v>10</v>
      </c>
      <c r="G3676" t="str">
        <f>"201707113543"</f>
        <v>201707113543</v>
      </c>
      <c r="H3676" t="str">
        <f>"Misce"</f>
        <v>Misce</v>
      </c>
      <c r="I3676" s="2">
        <v>85</v>
      </c>
      <c r="J3676" t="str">
        <f>"ROBERT DAN BURTTSCHELL"</f>
        <v>ROBERT DAN BURTTSCHELL</v>
      </c>
    </row>
    <row r="3677" spans="1:10" x14ac:dyDescent="0.3">
      <c r="A3677" t="str">
        <f t="shared" si="70"/>
        <v>1</v>
      </c>
      <c r="B3677" t="s">
        <v>625</v>
      </c>
      <c r="C3677">
        <v>45599</v>
      </c>
      <c r="D3677" s="2">
        <v>100</v>
      </c>
      <c r="E3677" s="1">
        <v>42916</v>
      </c>
      <c r="F3677" t="s">
        <v>10</v>
      </c>
      <c r="G3677" t="str">
        <f>"201707113544"</f>
        <v>201707113544</v>
      </c>
      <c r="H3677" t="str">
        <f>"Miscellaneous"</f>
        <v>Miscellaneous</v>
      </c>
      <c r="I3677" s="2">
        <v>100</v>
      </c>
      <c r="J3677" t="str">
        <f>"RUTH COLEMAN"</f>
        <v>RUTH COLEMAN</v>
      </c>
    </row>
    <row r="3678" spans="1:10" x14ac:dyDescent="0.3">
      <c r="A3678" t="str">
        <f t="shared" si="70"/>
        <v>1</v>
      </c>
      <c r="B3678" t="s">
        <v>626</v>
      </c>
      <c r="C3678">
        <v>45600</v>
      </c>
      <c r="D3678" s="2">
        <v>171</v>
      </c>
      <c r="E3678" s="1">
        <v>42916</v>
      </c>
      <c r="F3678" t="s">
        <v>10</v>
      </c>
      <c r="G3678" t="str">
        <f>"201707113545"</f>
        <v>201707113545</v>
      </c>
      <c r="H3678" t="str">
        <f>"Miscellaneo"</f>
        <v>Miscellaneo</v>
      </c>
      <c r="I3678" s="2">
        <v>171</v>
      </c>
      <c r="J3678" t="str">
        <f>"SHERWIN SIEGMUND"</f>
        <v>SHERWIN SIEGMUND</v>
      </c>
    </row>
    <row r="3679" spans="1:10" x14ac:dyDescent="0.3">
      <c r="A3679" t="str">
        <f t="shared" si="70"/>
        <v>1</v>
      </c>
      <c r="B3679" t="s">
        <v>627</v>
      </c>
      <c r="C3679">
        <v>45601</v>
      </c>
      <c r="D3679" s="2">
        <v>140</v>
      </c>
      <c r="E3679" s="1">
        <v>42916</v>
      </c>
      <c r="F3679" t="s">
        <v>10</v>
      </c>
      <c r="G3679" t="str">
        <f>"201707113546"</f>
        <v>201707113546</v>
      </c>
      <c r="H3679" t="str">
        <f>"Miscellane"</f>
        <v>Miscellane</v>
      </c>
      <c r="I3679" s="2">
        <v>140</v>
      </c>
      <c r="J3679" t="str">
        <f>"SHIRLEY ANN MEIER"</f>
        <v>SHIRLEY ANN MEIER</v>
      </c>
    </row>
    <row r="3680" spans="1:10" x14ac:dyDescent="0.3">
      <c r="A3680" t="str">
        <f t="shared" si="70"/>
        <v>1</v>
      </c>
      <c r="B3680" t="s">
        <v>628</v>
      </c>
      <c r="C3680">
        <v>45602</v>
      </c>
      <c r="D3680" s="2">
        <v>1450</v>
      </c>
      <c r="E3680" s="1">
        <v>42916</v>
      </c>
      <c r="F3680" t="s">
        <v>10</v>
      </c>
      <c r="G3680" t="str">
        <f>"201707113547"</f>
        <v>201707113547</v>
      </c>
      <c r="H3680" t="str">
        <f>""</f>
        <v/>
      </c>
      <c r="I3680" s="2">
        <v>1450</v>
      </c>
      <c r="J3680" t="str">
        <f>"SMITHVILLE HOUSING AUTHORITY"</f>
        <v>SMITHVILLE HOUSING AUTHORITY</v>
      </c>
    </row>
    <row r="3681" spans="1:10" x14ac:dyDescent="0.3">
      <c r="A3681" t="str">
        <f t="shared" si="70"/>
        <v>1</v>
      </c>
      <c r="B3681" t="s">
        <v>629</v>
      </c>
      <c r="C3681">
        <v>45603</v>
      </c>
      <c r="D3681" s="2">
        <v>210</v>
      </c>
      <c r="E3681" s="1">
        <v>42916</v>
      </c>
      <c r="F3681" t="s">
        <v>10</v>
      </c>
      <c r="G3681" t="str">
        <f>"201707113548"</f>
        <v>201707113548</v>
      </c>
      <c r="H3681" t="str">
        <f>"Miscellaneous"</f>
        <v>Miscellaneous</v>
      </c>
      <c r="I3681" s="2">
        <v>210</v>
      </c>
      <c r="J3681" t="str">
        <f>"SOMERVILLE ISD"</f>
        <v>SOMERVILLE ISD</v>
      </c>
    </row>
    <row r="3682" spans="1:10" x14ac:dyDescent="0.3">
      <c r="A3682" t="str">
        <f t="shared" si="70"/>
        <v>1</v>
      </c>
      <c r="B3682" t="s">
        <v>630</v>
      </c>
      <c r="C3682">
        <v>45604</v>
      </c>
      <c r="D3682" s="2">
        <v>104</v>
      </c>
      <c r="E3682" s="1">
        <v>42916</v>
      </c>
      <c r="F3682" t="s">
        <v>10</v>
      </c>
      <c r="G3682" t="str">
        <f>"201707113549"</f>
        <v>201707113549</v>
      </c>
      <c r="H3682" t="str">
        <f>""</f>
        <v/>
      </c>
      <c r="I3682" s="2">
        <v>104</v>
      </c>
      <c r="J3682" t="str">
        <f>"ST. MARGRET'S CATHOLIC CHURCH"</f>
        <v>ST. MARGRET'S CATHOLIC CHURCH</v>
      </c>
    </row>
    <row r="3683" spans="1:10" x14ac:dyDescent="0.3">
      <c r="A3683" t="str">
        <f t="shared" si="70"/>
        <v>1</v>
      </c>
      <c r="B3683" t="s">
        <v>631</v>
      </c>
      <c r="C3683">
        <v>45605</v>
      </c>
      <c r="D3683" s="2">
        <v>190</v>
      </c>
      <c r="E3683" s="1">
        <v>42916</v>
      </c>
      <c r="F3683" t="s">
        <v>10</v>
      </c>
      <c r="G3683" t="str">
        <f>"201707113550"</f>
        <v>201707113550</v>
      </c>
      <c r="H3683" t="str">
        <f>"Miscellaneo"</f>
        <v>Miscellaneo</v>
      </c>
      <c r="I3683" s="2">
        <v>190</v>
      </c>
      <c r="J3683" t="str">
        <f>"STATE FARM LLOYD"</f>
        <v>STATE FARM LLOYD</v>
      </c>
    </row>
    <row r="3684" spans="1:10" x14ac:dyDescent="0.3">
      <c r="A3684" t="str">
        <f t="shared" si="70"/>
        <v>1</v>
      </c>
      <c r="B3684" t="s">
        <v>632</v>
      </c>
      <c r="C3684">
        <v>45606</v>
      </c>
      <c r="D3684" s="2">
        <v>60</v>
      </c>
      <c r="E3684" s="1">
        <v>42916</v>
      </c>
      <c r="F3684" t="s">
        <v>10</v>
      </c>
      <c r="G3684" t="str">
        <f>"201707113551"</f>
        <v>201707113551</v>
      </c>
      <c r="H3684" t="str">
        <f>"Miscella"</f>
        <v>Miscella</v>
      </c>
      <c r="I3684" s="2">
        <v>60</v>
      </c>
      <c r="J3684" t="str">
        <f>"STEVEN WAYNE MEDACK"</f>
        <v>STEVEN WAYNE MEDACK</v>
      </c>
    </row>
    <row r="3685" spans="1:10" x14ac:dyDescent="0.3">
      <c r="A3685" t="str">
        <f t="shared" si="70"/>
        <v>1</v>
      </c>
      <c r="B3685" t="s">
        <v>633</v>
      </c>
      <c r="C3685">
        <v>45607</v>
      </c>
      <c r="D3685" s="2">
        <v>100</v>
      </c>
      <c r="E3685" s="1">
        <v>42916</v>
      </c>
      <c r="F3685" t="s">
        <v>10</v>
      </c>
      <c r="G3685" t="str">
        <f>"201707113552"</f>
        <v>201707113552</v>
      </c>
      <c r="H3685" t="str">
        <f>"Miscellaneous"</f>
        <v>Miscellaneous</v>
      </c>
      <c r="I3685" s="2">
        <v>100</v>
      </c>
      <c r="J3685" t="str">
        <f>"SYLVIA DELEON"</f>
        <v>SYLVIA DELEON</v>
      </c>
    </row>
    <row r="3686" spans="1:10" x14ac:dyDescent="0.3">
      <c r="A3686" t="str">
        <f t="shared" si="70"/>
        <v>1</v>
      </c>
      <c r="B3686" t="s">
        <v>485</v>
      </c>
      <c r="C3686">
        <v>45608</v>
      </c>
      <c r="D3686" s="2">
        <v>50</v>
      </c>
      <c r="E3686" s="1">
        <v>42916</v>
      </c>
      <c r="F3686" t="s">
        <v>10</v>
      </c>
      <c r="G3686" t="str">
        <f>"201707113553"</f>
        <v>201707113553</v>
      </c>
      <c r="H3686" t="str">
        <f>"Misce"</f>
        <v>Misce</v>
      </c>
      <c r="I3686" s="2">
        <v>50</v>
      </c>
      <c r="J3686" t="str">
        <f>"TEXAS MUNICIPAL LEAGUE"</f>
        <v>TEXAS MUNICIPAL LEAGUE</v>
      </c>
    </row>
    <row r="3687" spans="1:10" x14ac:dyDescent="0.3">
      <c r="A3687" t="str">
        <f t="shared" si="70"/>
        <v>1</v>
      </c>
      <c r="B3687" t="s">
        <v>634</v>
      </c>
      <c r="C3687">
        <v>45609</v>
      </c>
      <c r="D3687" s="2">
        <v>70</v>
      </c>
      <c r="E3687" s="1">
        <v>42916</v>
      </c>
      <c r="F3687" t="s">
        <v>10</v>
      </c>
      <c r="G3687" t="str">
        <f>"201707113554"</f>
        <v>201707113554</v>
      </c>
      <c r="H3687" t="str">
        <f>"Miscellaneous"</f>
        <v>Miscellaneous</v>
      </c>
      <c r="I3687" s="2">
        <v>70</v>
      </c>
      <c r="J3687" t="str">
        <f>"TOOTSIE'S"</f>
        <v>TOOTSIE'S</v>
      </c>
    </row>
    <row r="3688" spans="1:10" x14ac:dyDescent="0.3">
      <c r="A3688" t="str">
        <f t="shared" si="70"/>
        <v>1</v>
      </c>
      <c r="B3688" t="s">
        <v>635</v>
      </c>
      <c r="C3688">
        <v>45610</v>
      </c>
      <c r="D3688" s="2">
        <v>150</v>
      </c>
      <c r="E3688" s="1">
        <v>42916</v>
      </c>
      <c r="F3688" t="s">
        <v>10</v>
      </c>
      <c r="G3688" t="str">
        <f>"201707113555"</f>
        <v>201707113555</v>
      </c>
      <c r="H3688" t="str">
        <f>"Miscellaneous"</f>
        <v>Miscellaneous</v>
      </c>
      <c r="I3688" s="2">
        <v>150</v>
      </c>
      <c r="J3688" t="str">
        <f>"TUYET THI TRAN"</f>
        <v>TUYET THI TRAN</v>
      </c>
    </row>
    <row r="3689" spans="1:10" x14ac:dyDescent="0.3">
      <c r="A3689" t="str">
        <f t="shared" si="70"/>
        <v>1</v>
      </c>
      <c r="B3689" t="s">
        <v>636</v>
      </c>
      <c r="C3689">
        <v>45611</v>
      </c>
      <c r="D3689" s="2">
        <v>300</v>
      </c>
      <c r="E3689" s="1">
        <v>42916</v>
      </c>
      <c r="F3689" t="s">
        <v>10</v>
      </c>
      <c r="G3689" t="str">
        <f>"201707113556"</f>
        <v>201707113556</v>
      </c>
      <c r="H3689" t="str">
        <f>""</f>
        <v/>
      </c>
      <c r="I3689" s="2">
        <v>300</v>
      </c>
      <c r="J3689" t="str">
        <f>"TX ASSOC OF COUNTIES RISK MANA"</f>
        <v>TX ASSOC OF COUNTIES RISK MANA</v>
      </c>
    </row>
    <row r="3690" spans="1:10" x14ac:dyDescent="0.3">
      <c r="A3690" t="str">
        <f t="shared" si="70"/>
        <v>1</v>
      </c>
      <c r="B3690" t="s">
        <v>637</v>
      </c>
      <c r="C3690">
        <v>45612</v>
      </c>
      <c r="D3690" s="2">
        <v>158</v>
      </c>
      <c r="E3690" s="1">
        <v>42916</v>
      </c>
      <c r="F3690" t="s">
        <v>10</v>
      </c>
      <c r="G3690" t="str">
        <f>"201707113557"</f>
        <v>201707113557</v>
      </c>
      <c r="H3690" t="str">
        <f>"Miscellaneous"</f>
        <v>Miscellaneous</v>
      </c>
      <c r="I3690" s="2">
        <v>158</v>
      </c>
      <c r="J3690" t="str">
        <f>"TXDOT"</f>
        <v>TXDOT</v>
      </c>
    </row>
    <row r="3691" spans="1:10" x14ac:dyDescent="0.3">
      <c r="A3691" t="str">
        <f t="shared" si="70"/>
        <v>1</v>
      </c>
      <c r="B3691" t="s">
        <v>638</v>
      </c>
      <c r="C3691">
        <v>45613</v>
      </c>
      <c r="D3691" s="2">
        <v>56.51</v>
      </c>
      <c r="E3691" s="1">
        <v>42916</v>
      </c>
      <c r="F3691" t="s">
        <v>10</v>
      </c>
      <c r="G3691" t="str">
        <f>"201707113558"</f>
        <v>201707113558</v>
      </c>
      <c r="H3691" t="str">
        <f>""</f>
        <v/>
      </c>
      <c r="I3691" s="2">
        <v>56.51</v>
      </c>
      <c r="J3691" t="str">
        <f>"USAA CORP SECURITY INVESTIGATI"</f>
        <v>USAA CORP SECURITY INVESTIGATI</v>
      </c>
    </row>
    <row r="3692" spans="1:10" x14ac:dyDescent="0.3">
      <c r="A3692" t="str">
        <f t="shared" si="70"/>
        <v>1</v>
      </c>
      <c r="B3692" t="s">
        <v>639</v>
      </c>
      <c r="C3692">
        <v>45614</v>
      </c>
      <c r="D3692" s="2">
        <v>1178.8900000000001</v>
      </c>
      <c r="E3692" s="1">
        <v>42916</v>
      </c>
      <c r="F3692" t="s">
        <v>10</v>
      </c>
      <c r="G3692" t="str">
        <f>"201707113559"</f>
        <v>201707113559</v>
      </c>
      <c r="H3692" t="str">
        <f>""</f>
        <v/>
      </c>
      <c r="I3692" s="2">
        <v>1178.8900000000001</v>
      </c>
      <c r="J3692" t="str">
        <f>"WAL-MART RESTITUTION RECOVERY"</f>
        <v>WAL-MART RESTITUTION RECOVERY</v>
      </c>
    </row>
    <row r="3693" spans="1:10" x14ac:dyDescent="0.3">
      <c r="A3693" t="str">
        <f t="shared" si="70"/>
        <v>1</v>
      </c>
      <c r="B3693" t="s">
        <v>640</v>
      </c>
      <c r="C3693">
        <v>45615</v>
      </c>
      <c r="D3693" s="2">
        <v>60</v>
      </c>
      <c r="E3693" s="1">
        <v>42916</v>
      </c>
      <c r="F3693" t="s">
        <v>10</v>
      </c>
      <c r="G3693" t="str">
        <f>"201707113560"</f>
        <v>201707113560</v>
      </c>
      <c r="H3693" t="str">
        <f>"Miscellan"</f>
        <v>Miscellan</v>
      </c>
      <c r="I3693" s="2">
        <v>60</v>
      </c>
      <c r="J3693" t="str">
        <f>"WILLETTA RODRIGUEZ"</f>
        <v>WILLETTA RODRIGUEZ</v>
      </c>
    </row>
    <row r="3694" spans="1:10" x14ac:dyDescent="0.3">
      <c r="A3694" t="str">
        <f t="shared" si="70"/>
        <v>1</v>
      </c>
      <c r="B3694" t="s">
        <v>641</v>
      </c>
      <c r="C3694">
        <v>45616</v>
      </c>
      <c r="D3694" s="2">
        <v>135</v>
      </c>
      <c r="E3694" s="1">
        <v>42916</v>
      </c>
      <c r="F3694" t="s">
        <v>10</v>
      </c>
      <c r="G3694" t="str">
        <f>"201707113561"</f>
        <v>201707113561</v>
      </c>
      <c r="H3694" t="str">
        <f>"Miscellaneous"</f>
        <v>Miscellaneous</v>
      </c>
      <c r="I3694" s="2">
        <v>135</v>
      </c>
      <c r="J3694" t="str">
        <f>"WILLIAM HOLLE"</f>
        <v>WILLIAM HOLLE</v>
      </c>
    </row>
    <row r="3695" spans="1:10" x14ac:dyDescent="0.3">
      <c r="A3695" t="str">
        <f t="shared" si="70"/>
        <v>1</v>
      </c>
      <c r="B3695" t="s">
        <v>642</v>
      </c>
      <c r="C3695">
        <v>45617</v>
      </c>
      <c r="D3695" s="2">
        <v>160</v>
      </c>
      <c r="E3695" s="1">
        <v>42916</v>
      </c>
      <c r="F3695" t="s">
        <v>10</v>
      </c>
      <c r="G3695" t="str">
        <f>"201707113562"</f>
        <v>201707113562</v>
      </c>
      <c r="H3695" t="str">
        <f>"Mis"</f>
        <v>Mis</v>
      </c>
      <c r="I3695" s="2">
        <v>160</v>
      </c>
      <c r="J3695" t="str">
        <f>"BASTROP COUNTY TREASURER"</f>
        <v>BASTROP COUNTY TREASURER</v>
      </c>
    </row>
    <row r="3696" spans="1:10" x14ac:dyDescent="0.3">
      <c r="A3696" t="str">
        <f t="shared" si="70"/>
        <v>1</v>
      </c>
      <c r="B3696" t="s">
        <v>643</v>
      </c>
      <c r="C3696">
        <v>45618</v>
      </c>
      <c r="D3696" s="2">
        <v>12366</v>
      </c>
      <c r="E3696" s="1">
        <v>42916</v>
      </c>
      <c r="F3696" t="s">
        <v>10</v>
      </c>
      <c r="G3696" t="str">
        <f>"201707113563"</f>
        <v>201707113563</v>
      </c>
      <c r="H3696" t="str">
        <f>""</f>
        <v/>
      </c>
      <c r="I3696" s="2">
        <v>12366</v>
      </c>
      <c r="J3696" t="str">
        <f>"WASHINGTON COUNTY DISTRICT CLE"</f>
        <v>WASHINGTON COUNTY DISTRICT CLE</v>
      </c>
    </row>
    <row r="3697" spans="1:10" x14ac:dyDescent="0.3">
      <c r="A3697" t="str">
        <f t="shared" ref="A3697:A3707" si="71">"1"</f>
        <v>1</v>
      </c>
      <c r="B3697" t="s">
        <v>644</v>
      </c>
      <c r="C3697">
        <v>45619</v>
      </c>
      <c r="D3697" s="2">
        <v>3073</v>
      </c>
      <c r="E3697" s="1">
        <v>42916</v>
      </c>
      <c r="F3697" t="s">
        <v>10</v>
      </c>
      <c r="G3697" t="str">
        <f>"201707113564"</f>
        <v>201707113564</v>
      </c>
      <c r="H3697" t="str">
        <f>""</f>
        <v/>
      </c>
      <c r="I3697" s="2">
        <v>3073</v>
      </c>
      <c r="J3697" t="str">
        <f>"BURLESON COUNTY DISTRICT CLERK"</f>
        <v>BURLESON COUNTY DISTRICT CLERK</v>
      </c>
    </row>
    <row r="3698" spans="1:10" x14ac:dyDescent="0.3">
      <c r="A3698" t="str">
        <f t="shared" si="71"/>
        <v>1</v>
      </c>
      <c r="B3698" t="s">
        <v>645</v>
      </c>
      <c r="C3698">
        <v>45620</v>
      </c>
      <c r="D3698" s="2">
        <v>630</v>
      </c>
      <c r="E3698" s="1">
        <v>42916</v>
      </c>
      <c r="F3698" t="s">
        <v>10</v>
      </c>
      <c r="G3698" t="str">
        <f>"201707113565"</f>
        <v>201707113565</v>
      </c>
      <c r="H3698" t="str">
        <f>""</f>
        <v/>
      </c>
      <c r="I3698" s="2">
        <v>630</v>
      </c>
      <c r="J3698" t="str">
        <f>"WASHINGTON CO CRIMESTOPPERS"</f>
        <v>WASHINGTON CO CRIMESTOPPERS</v>
      </c>
    </row>
    <row r="3699" spans="1:10" x14ac:dyDescent="0.3">
      <c r="A3699" t="str">
        <f t="shared" si="71"/>
        <v>1</v>
      </c>
      <c r="B3699" t="s">
        <v>643</v>
      </c>
      <c r="C3699">
        <v>45621</v>
      </c>
      <c r="D3699" s="2">
        <v>55</v>
      </c>
      <c r="E3699" s="1">
        <v>42916</v>
      </c>
      <c r="F3699" t="s">
        <v>10</v>
      </c>
      <c r="G3699" t="str">
        <f>"201707113566"</f>
        <v>201707113566</v>
      </c>
      <c r="H3699" t="str">
        <f>""</f>
        <v/>
      </c>
      <c r="I3699" s="2">
        <v>55</v>
      </c>
      <c r="J3699" t="str">
        <f>"WASHINGTON COUNTY DISTRICT CLE"</f>
        <v>WASHINGTON COUNTY DISTRICT CLE</v>
      </c>
    </row>
    <row r="3700" spans="1:10" x14ac:dyDescent="0.3">
      <c r="A3700" t="str">
        <f t="shared" si="71"/>
        <v>1</v>
      </c>
      <c r="B3700" t="s">
        <v>646</v>
      </c>
      <c r="C3700">
        <v>45622</v>
      </c>
      <c r="D3700" s="2">
        <v>30</v>
      </c>
      <c r="E3700" s="1">
        <v>42916</v>
      </c>
      <c r="F3700" t="s">
        <v>10</v>
      </c>
      <c r="G3700" t="str">
        <f>"201707113567"</f>
        <v>201707113567</v>
      </c>
      <c r="H3700" t="str">
        <f>"CAROL"</f>
        <v>CAROL</v>
      </c>
      <c r="I3700" s="2">
        <v>30</v>
      </c>
      <c r="J3700" t="str">
        <f>"MADD - EAST TEXAS  ATTN: CAROL"</f>
        <v>MADD - EAST TEXAS  ATTN: CAROL</v>
      </c>
    </row>
    <row r="3701" spans="1:10" x14ac:dyDescent="0.3">
      <c r="A3701" t="str">
        <f t="shared" si="71"/>
        <v>1</v>
      </c>
      <c r="B3701" t="s">
        <v>647</v>
      </c>
      <c r="C3701">
        <v>45623</v>
      </c>
      <c r="D3701" s="2">
        <v>725</v>
      </c>
      <c r="E3701" s="1">
        <v>42916</v>
      </c>
      <c r="F3701" t="s">
        <v>10</v>
      </c>
      <c r="G3701" t="str">
        <f>"201707113568"</f>
        <v>201707113568</v>
      </c>
      <c r="H3701" t="str">
        <f>""</f>
        <v/>
      </c>
      <c r="I3701" s="2">
        <v>725</v>
      </c>
      <c r="J3701" t="str">
        <f>"BLUEBONNET AREA CRIMESTOPPERS"</f>
        <v>BLUEBONNET AREA CRIMESTOPPERS</v>
      </c>
    </row>
    <row r="3702" spans="1:10" x14ac:dyDescent="0.3">
      <c r="A3702" t="str">
        <f t="shared" si="71"/>
        <v>1</v>
      </c>
      <c r="B3702" t="s">
        <v>648</v>
      </c>
      <c r="C3702">
        <v>45624</v>
      </c>
      <c r="D3702" s="2">
        <v>890</v>
      </c>
      <c r="E3702" s="1">
        <v>42916</v>
      </c>
      <c r="F3702" t="s">
        <v>10</v>
      </c>
      <c r="G3702" t="str">
        <f>"201707113569"</f>
        <v>201707113569</v>
      </c>
      <c r="H3702" t="str">
        <f>""</f>
        <v/>
      </c>
      <c r="I3702" s="2">
        <v>890</v>
      </c>
      <c r="J3702" t="str">
        <f>"TEXAS DPS  RESTITUTION ACCOUNT"</f>
        <v>TEXAS DPS  RESTITUTION ACCOUNT</v>
      </c>
    </row>
    <row r="3703" spans="1:10" x14ac:dyDescent="0.3">
      <c r="A3703" t="str">
        <f t="shared" si="71"/>
        <v>1</v>
      </c>
      <c r="B3703" t="s">
        <v>649</v>
      </c>
      <c r="C3703">
        <v>45625</v>
      </c>
      <c r="D3703" s="2">
        <v>40</v>
      </c>
      <c r="E3703" s="1">
        <v>42916</v>
      </c>
      <c r="F3703" t="s">
        <v>10</v>
      </c>
      <c r="G3703" t="str">
        <f>"201707113570"</f>
        <v>201707113570</v>
      </c>
      <c r="H3703" t="str">
        <f>""</f>
        <v/>
      </c>
      <c r="I3703" s="2">
        <v>40</v>
      </c>
      <c r="J3703" t="str">
        <f>"WASHINGTON COUNTY TREASURER"</f>
        <v>WASHINGTON COUNTY TREASURER</v>
      </c>
    </row>
    <row r="3704" spans="1:10" x14ac:dyDescent="0.3">
      <c r="A3704" t="str">
        <f t="shared" si="71"/>
        <v>1</v>
      </c>
      <c r="B3704" t="s">
        <v>650</v>
      </c>
      <c r="C3704">
        <v>45626</v>
      </c>
      <c r="D3704" s="2">
        <v>10</v>
      </c>
      <c r="E3704" s="1">
        <v>42916</v>
      </c>
      <c r="F3704" t="s">
        <v>10</v>
      </c>
      <c r="G3704" t="str">
        <f>"201707113571"</f>
        <v>201707113571</v>
      </c>
      <c r="H3704" t="str">
        <f>"Mi"</f>
        <v>Mi</v>
      </c>
      <c r="I3704" s="2">
        <v>10</v>
      </c>
      <c r="J3704" t="str">
        <f>"BURLESON COUNTY TREASURER"</f>
        <v>BURLESON COUNTY TREASURER</v>
      </c>
    </row>
    <row r="3705" spans="1:10" x14ac:dyDescent="0.3">
      <c r="A3705" t="str">
        <f t="shared" si="71"/>
        <v>1</v>
      </c>
      <c r="B3705" t="s">
        <v>651</v>
      </c>
      <c r="C3705">
        <v>45627</v>
      </c>
      <c r="D3705" s="2">
        <v>25</v>
      </c>
      <c r="E3705" s="1">
        <v>42916</v>
      </c>
      <c r="F3705" t="s">
        <v>10</v>
      </c>
      <c r="G3705" t="str">
        <f>"201707113572"</f>
        <v>201707113572</v>
      </c>
      <c r="H3705" t="str">
        <f>"Miscellaneo"</f>
        <v>Miscellaneo</v>
      </c>
      <c r="I3705" s="2">
        <v>25</v>
      </c>
    </row>
    <row r="3706" spans="1:10" x14ac:dyDescent="0.3">
      <c r="A3706" t="str">
        <f t="shared" si="71"/>
        <v>1</v>
      </c>
      <c r="B3706" t="s">
        <v>652</v>
      </c>
      <c r="C3706">
        <v>45628</v>
      </c>
      <c r="D3706" s="2">
        <v>567.25</v>
      </c>
      <c r="E3706" s="1">
        <v>42916</v>
      </c>
      <c r="F3706" t="s">
        <v>10</v>
      </c>
      <c r="G3706" t="str">
        <f>"201707113573"</f>
        <v>201707113573</v>
      </c>
      <c r="H3706" t="str">
        <f>""</f>
        <v/>
      </c>
      <c r="I3706" s="2">
        <v>567.25</v>
      </c>
      <c r="J3706" t="str">
        <f>"BASTROP COUNTY DISTRICT CLERK"</f>
        <v>BASTROP COUNTY DISTRICT CLERK</v>
      </c>
    </row>
    <row r="3707" spans="1:10" x14ac:dyDescent="0.3">
      <c r="A3707" t="str">
        <f t="shared" si="71"/>
        <v>1</v>
      </c>
      <c r="B3707" t="s">
        <v>606</v>
      </c>
      <c r="C3707">
        <v>45629</v>
      </c>
      <c r="D3707" s="2">
        <v>302</v>
      </c>
      <c r="E3707" s="1">
        <v>42916</v>
      </c>
      <c r="F3707" t="s">
        <v>10</v>
      </c>
      <c r="G3707" t="str">
        <f>"201707113574"</f>
        <v>201707113574</v>
      </c>
      <c r="H3707" t="str">
        <f>"Miscellaneous"</f>
        <v>Miscellaneous</v>
      </c>
      <c r="I3707" s="2">
        <v>302</v>
      </c>
      <c r="J3707" t="str">
        <f>"ISIAH FRANKLIN"</f>
        <v>ISIAH FRANKLIN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AP-CHK-RPT-20180501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2018-05-01T19:13:17Z</dcterms:created>
  <dcterms:modified xsi:type="dcterms:W3CDTF">2018-05-01T19:13:17Z</dcterms:modified>
</cp:coreProperties>
</file>